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9\2019 WA ERM annual review of 2018 activity\Testimony\Johnson\"/>
    </mc:Choice>
  </mc:AlternateContent>
  <bookViews>
    <workbookView xWindow="-90" yWindow="105" windowWidth="15345" windowHeight="4740" tabRatio="283"/>
  </bookViews>
  <sheets>
    <sheet name="Table" sheetId="2" r:id="rId1"/>
    <sheet name="Mon Variance" sheetId="5" r:id="rId2"/>
    <sheet name="Ann Variance " sheetId="4" r:id="rId3"/>
    <sheet name="Mid C Index" sheetId="3" r:id="rId4"/>
    <sheet name="Calculation" sheetId="1" r:id="rId5"/>
  </sheets>
  <externalReferences>
    <externalReference r:id="rId6"/>
  </externalReferences>
  <definedNames>
    <definedName name="_xlnm.Print_Area" localSheetId="4">Calculation!$A$1:$N$144</definedName>
    <definedName name="_xlnm.Print_Area" localSheetId="0">Table!$C$1:$G$24</definedName>
    <definedName name="_xlnm.Print_Titles" localSheetId="4">Calculation!$1:$5</definedName>
  </definedNames>
  <calcPr calcId="152511"/>
</workbook>
</file>

<file path=xl/calcChain.xml><?xml version="1.0" encoding="utf-8"?>
<calcChain xmlns="http://schemas.openxmlformats.org/spreadsheetml/2006/main">
  <c r="F19" i="2" l="1"/>
  <c r="F17" i="2"/>
  <c r="F15" i="2"/>
  <c r="F13" i="2"/>
  <c r="F9" i="2"/>
  <c r="F7" i="2"/>
  <c r="B77" i="5" l="1"/>
  <c r="B66" i="5"/>
  <c r="B67" i="5"/>
  <c r="B68" i="5"/>
  <c r="B70" i="5"/>
  <c r="B71" i="5"/>
  <c r="B72" i="5"/>
  <c r="B73" i="5"/>
  <c r="B74" i="5"/>
  <c r="B75" i="5"/>
  <c r="B76" i="5"/>
  <c r="G70" i="5"/>
  <c r="K70" i="5"/>
  <c r="D71" i="5"/>
  <c r="F71" i="5"/>
  <c r="H71" i="5"/>
  <c r="J71" i="5"/>
  <c r="L71" i="5"/>
  <c r="N71" i="5"/>
  <c r="E72" i="5"/>
  <c r="I72" i="5"/>
  <c r="M72" i="5"/>
  <c r="D73" i="5"/>
  <c r="F73" i="5"/>
  <c r="H73" i="5"/>
  <c r="J73" i="5"/>
  <c r="L73" i="5"/>
  <c r="N73" i="5"/>
  <c r="G74" i="5"/>
  <c r="K74" i="5"/>
  <c r="D75" i="5"/>
  <c r="F75" i="5"/>
  <c r="H75" i="5"/>
  <c r="J75" i="5"/>
  <c r="L75" i="5"/>
  <c r="N75" i="5"/>
  <c r="E76" i="5"/>
  <c r="I76" i="5"/>
  <c r="M76" i="5"/>
  <c r="G66" i="5"/>
  <c r="G68" i="5" s="1"/>
  <c r="K66" i="5"/>
  <c r="K68" i="5" s="1"/>
  <c r="C75" i="5"/>
  <c r="C74" i="5"/>
  <c r="C73" i="5"/>
  <c r="C76" i="5"/>
  <c r="C72" i="5"/>
  <c r="N56" i="5"/>
  <c r="M56" i="5"/>
  <c r="L56" i="5"/>
  <c r="K56" i="5"/>
  <c r="J56" i="5"/>
  <c r="I56" i="5"/>
  <c r="H56" i="5"/>
  <c r="G56" i="5"/>
  <c r="F56" i="5"/>
  <c r="E56" i="5"/>
  <c r="D56" i="5"/>
  <c r="C56" i="5"/>
  <c r="O56" i="5" s="1"/>
  <c r="N55" i="5"/>
  <c r="M55" i="5"/>
  <c r="M75" i="5" s="1"/>
  <c r="L55" i="5"/>
  <c r="K55" i="5"/>
  <c r="K75" i="5" s="1"/>
  <c r="J55" i="5"/>
  <c r="I55" i="5"/>
  <c r="I75" i="5" s="1"/>
  <c r="H55" i="5"/>
  <c r="G55" i="5"/>
  <c r="G75" i="5" s="1"/>
  <c r="F55" i="5"/>
  <c r="E55" i="5"/>
  <c r="E75" i="5" s="1"/>
  <c r="D55" i="5"/>
  <c r="C55" i="5"/>
  <c r="O55" i="5" s="1"/>
  <c r="N54" i="5"/>
  <c r="N76" i="5" s="1"/>
  <c r="M54" i="5"/>
  <c r="L54" i="5"/>
  <c r="L76" i="5" s="1"/>
  <c r="K54" i="5"/>
  <c r="K76" i="5" s="1"/>
  <c r="J54" i="5"/>
  <c r="J76" i="5" s="1"/>
  <c r="I54" i="5"/>
  <c r="H54" i="5"/>
  <c r="H76" i="5" s="1"/>
  <c r="G54" i="5"/>
  <c r="G76" i="5" s="1"/>
  <c r="F54" i="5"/>
  <c r="F76" i="5" s="1"/>
  <c r="E54" i="5"/>
  <c r="D54" i="5"/>
  <c r="D76" i="5" s="1"/>
  <c r="C54" i="5"/>
  <c r="O54" i="5" s="1"/>
  <c r="N53" i="5"/>
  <c r="M53" i="5"/>
  <c r="M73" i="5" s="1"/>
  <c r="L53" i="5"/>
  <c r="K53" i="5"/>
  <c r="K73" i="5" s="1"/>
  <c r="J53" i="5"/>
  <c r="I53" i="5"/>
  <c r="I73" i="5" s="1"/>
  <c r="H53" i="5"/>
  <c r="G53" i="5"/>
  <c r="G73" i="5" s="1"/>
  <c r="F53" i="5"/>
  <c r="E53" i="5"/>
  <c r="E73" i="5" s="1"/>
  <c r="D53" i="5"/>
  <c r="C53" i="5"/>
  <c r="O53" i="5" s="1"/>
  <c r="N52" i="5"/>
  <c r="M52" i="5"/>
  <c r="L52" i="5"/>
  <c r="K52" i="5"/>
  <c r="J52" i="5"/>
  <c r="I52" i="5"/>
  <c r="H52" i="5"/>
  <c r="G52" i="5"/>
  <c r="F52" i="5"/>
  <c r="E52" i="5"/>
  <c r="D52" i="5"/>
  <c r="C52" i="5"/>
  <c r="O52" i="5" s="1"/>
  <c r="N51" i="5"/>
  <c r="M51" i="5"/>
  <c r="L51" i="5"/>
  <c r="K51" i="5"/>
  <c r="J51" i="5"/>
  <c r="I51" i="5"/>
  <c r="H51" i="5"/>
  <c r="G51" i="5"/>
  <c r="F51" i="5"/>
  <c r="E51" i="5"/>
  <c r="D51" i="5"/>
  <c r="C51" i="5"/>
  <c r="O51" i="5" s="1"/>
  <c r="N50" i="5"/>
  <c r="M50" i="5"/>
  <c r="L50" i="5"/>
  <c r="K50" i="5"/>
  <c r="J50" i="5"/>
  <c r="I50" i="5"/>
  <c r="H50" i="5"/>
  <c r="G50" i="5"/>
  <c r="F50" i="5"/>
  <c r="E50" i="5"/>
  <c r="D50" i="5"/>
  <c r="C50" i="5"/>
  <c r="O50" i="5" s="1"/>
  <c r="N49" i="5"/>
  <c r="N57" i="5" s="1"/>
  <c r="M49" i="5"/>
  <c r="M57" i="5" s="1"/>
  <c r="L49" i="5"/>
  <c r="L57" i="5" s="1"/>
  <c r="K49" i="5"/>
  <c r="K57" i="5" s="1"/>
  <c r="J49" i="5"/>
  <c r="J57" i="5" s="1"/>
  <c r="I49" i="5"/>
  <c r="I57" i="5" s="1"/>
  <c r="H49" i="5"/>
  <c r="H57" i="5" s="1"/>
  <c r="G49" i="5"/>
  <c r="G57" i="5" s="1"/>
  <c r="F49" i="5"/>
  <c r="F57" i="5" s="1"/>
  <c r="E49" i="5"/>
  <c r="E57" i="5" s="1"/>
  <c r="D49" i="5"/>
  <c r="D57" i="5" s="1"/>
  <c r="C49" i="5"/>
  <c r="C57" i="5" s="1"/>
  <c r="O57" i="5" s="1"/>
  <c r="N46" i="5"/>
  <c r="M46" i="5"/>
  <c r="L46" i="5"/>
  <c r="K46" i="5"/>
  <c r="J46" i="5"/>
  <c r="I46" i="5"/>
  <c r="H46" i="5"/>
  <c r="G46" i="5"/>
  <c r="F46" i="5"/>
  <c r="E46" i="5"/>
  <c r="D46" i="5"/>
  <c r="C46" i="5"/>
  <c r="O46" i="5" s="1"/>
  <c r="N45" i="5"/>
  <c r="M45" i="5"/>
  <c r="L45" i="5"/>
  <c r="K45" i="5"/>
  <c r="J45" i="5"/>
  <c r="I45" i="5"/>
  <c r="H45" i="5"/>
  <c r="G45" i="5"/>
  <c r="F45" i="5"/>
  <c r="E45" i="5"/>
  <c r="D45" i="5"/>
  <c r="C45" i="5"/>
  <c r="O45" i="5" s="1"/>
  <c r="N44" i="5"/>
  <c r="N72" i="5" s="1"/>
  <c r="M44" i="5"/>
  <c r="L44" i="5"/>
  <c r="L72" i="5" s="1"/>
  <c r="K44" i="5"/>
  <c r="K72" i="5" s="1"/>
  <c r="J44" i="5"/>
  <c r="J72" i="5" s="1"/>
  <c r="I44" i="5"/>
  <c r="H44" i="5"/>
  <c r="H72" i="5" s="1"/>
  <c r="G44" i="5"/>
  <c r="G72" i="5" s="1"/>
  <c r="F44" i="5"/>
  <c r="F72" i="5" s="1"/>
  <c r="E44" i="5"/>
  <c r="D44" i="5"/>
  <c r="D72" i="5" s="1"/>
  <c r="C44" i="5"/>
  <c r="O44" i="5" s="1"/>
  <c r="N43" i="5"/>
  <c r="M43" i="5"/>
  <c r="M71" i="5" s="1"/>
  <c r="L43" i="5"/>
  <c r="K43" i="5"/>
  <c r="K71" i="5" s="1"/>
  <c r="J43" i="5"/>
  <c r="I43" i="5"/>
  <c r="I71" i="5" s="1"/>
  <c r="H43" i="5"/>
  <c r="G43" i="5"/>
  <c r="G71" i="5" s="1"/>
  <c r="F43" i="5"/>
  <c r="E43" i="5"/>
  <c r="E71" i="5" s="1"/>
  <c r="D43" i="5"/>
  <c r="C43" i="5"/>
  <c r="N42" i="5"/>
  <c r="N70" i="5" s="1"/>
  <c r="M42" i="5"/>
  <c r="M70" i="5" s="1"/>
  <c r="L42" i="5"/>
  <c r="L70" i="5" s="1"/>
  <c r="K42" i="5"/>
  <c r="J42" i="5"/>
  <c r="J70" i="5" s="1"/>
  <c r="I42" i="5"/>
  <c r="I70" i="5" s="1"/>
  <c r="H42" i="5"/>
  <c r="H70" i="5" s="1"/>
  <c r="G42" i="5"/>
  <c r="F42" i="5"/>
  <c r="F70" i="5" s="1"/>
  <c r="E42" i="5"/>
  <c r="E70" i="5" s="1"/>
  <c r="D42" i="5"/>
  <c r="D70" i="5" s="1"/>
  <c r="C42" i="5"/>
  <c r="N41" i="5"/>
  <c r="N69" i="5" s="1"/>
  <c r="M41" i="5"/>
  <c r="L41" i="5"/>
  <c r="L69" i="5" s="1"/>
  <c r="K41" i="5"/>
  <c r="J41" i="5"/>
  <c r="J69" i="5" s="1"/>
  <c r="I41" i="5"/>
  <c r="H41" i="5"/>
  <c r="H69" i="5" s="1"/>
  <c r="G41" i="5"/>
  <c r="F41" i="5"/>
  <c r="F69" i="5" s="1"/>
  <c r="E41" i="5"/>
  <c r="D41" i="5"/>
  <c r="D69" i="5" s="1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O40" i="5" s="1"/>
  <c r="N39" i="5"/>
  <c r="M39" i="5"/>
  <c r="L39" i="5"/>
  <c r="K39" i="5"/>
  <c r="J39" i="5"/>
  <c r="I39" i="5"/>
  <c r="H39" i="5"/>
  <c r="G39" i="5"/>
  <c r="F39" i="5"/>
  <c r="E39" i="5"/>
  <c r="D39" i="5"/>
  <c r="C39" i="5"/>
  <c r="O39" i="5" s="1"/>
  <c r="N38" i="5"/>
  <c r="M38" i="5"/>
  <c r="L38" i="5"/>
  <c r="K38" i="5"/>
  <c r="J38" i="5"/>
  <c r="I38" i="5"/>
  <c r="H38" i="5"/>
  <c r="G38" i="5"/>
  <c r="F38" i="5"/>
  <c r="E38" i="5"/>
  <c r="D38" i="5"/>
  <c r="C38" i="5"/>
  <c r="O38" i="5" s="1"/>
  <c r="N37" i="5"/>
  <c r="M37" i="5"/>
  <c r="M69" i="5" s="1"/>
  <c r="L37" i="5"/>
  <c r="K37" i="5"/>
  <c r="K69" i="5" s="1"/>
  <c r="J37" i="5"/>
  <c r="I37" i="5"/>
  <c r="I69" i="5" s="1"/>
  <c r="H37" i="5"/>
  <c r="G37" i="5"/>
  <c r="G69" i="5" s="1"/>
  <c r="F37" i="5"/>
  <c r="E37" i="5"/>
  <c r="E69" i="5" s="1"/>
  <c r="D37" i="5"/>
  <c r="C37" i="5"/>
  <c r="O37" i="5" s="1"/>
  <c r="N36" i="5"/>
  <c r="N66" i="5" s="1"/>
  <c r="N68" i="5" s="1"/>
  <c r="M36" i="5"/>
  <c r="M66" i="5" s="1"/>
  <c r="M68" i="5" s="1"/>
  <c r="L36" i="5"/>
  <c r="L66" i="5" s="1"/>
  <c r="L68" i="5" s="1"/>
  <c r="K36" i="5"/>
  <c r="J36" i="5"/>
  <c r="J66" i="5" s="1"/>
  <c r="J68" i="5" s="1"/>
  <c r="I36" i="5"/>
  <c r="I66" i="5" s="1"/>
  <c r="I68" i="5" s="1"/>
  <c r="H36" i="5"/>
  <c r="H66" i="5" s="1"/>
  <c r="H68" i="5" s="1"/>
  <c r="G36" i="5"/>
  <c r="F36" i="5"/>
  <c r="F66" i="5" s="1"/>
  <c r="F68" i="5" s="1"/>
  <c r="E36" i="5"/>
  <c r="E66" i="5" s="1"/>
  <c r="E68" i="5" s="1"/>
  <c r="D36" i="5"/>
  <c r="D66" i="5" s="1"/>
  <c r="D68" i="5" s="1"/>
  <c r="C36" i="5"/>
  <c r="N35" i="5"/>
  <c r="N47" i="5" s="1"/>
  <c r="N59" i="5" s="1"/>
  <c r="M35" i="5"/>
  <c r="L35" i="5"/>
  <c r="L47" i="5" s="1"/>
  <c r="L59" i="5" s="1"/>
  <c r="K35" i="5"/>
  <c r="J35" i="5"/>
  <c r="J47" i="5" s="1"/>
  <c r="J59" i="5" s="1"/>
  <c r="I35" i="5"/>
  <c r="H35" i="5"/>
  <c r="H47" i="5" s="1"/>
  <c r="H59" i="5" s="1"/>
  <c r="G35" i="5"/>
  <c r="F35" i="5"/>
  <c r="F47" i="5" s="1"/>
  <c r="F59" i="5" s="1"/>
  <c r="E35" i="5"/>
  <c r="D35" i="5"/>
  <c r="D47" i="5" s="1"/>
  <c r="D59" i="5" s="1"/>
  <c r="C35" i="5"/>
  <c r="C47" i="5" s="1"/>
  <c r="AC31" i="5"/>
  <c r="AB31" i="5"/>
  <c r="AA31" i="5"/>
  <c r="Z31" i="5"/>
  <c r="Y31" i="5"/>
  <c r="X31" i="5"/>
  <c r="W31" i="5"/>
  <c r="V31" i="5"/>
  <c r="U31" i="5"/>
  <c r="T31" i="5"/>
  <c r="S31" i="5"/>
  <c r="R31" i="5"/>
  <c r="AC30" i="5"/>
  <c r="AB30" i="5"/>
  <c r="AA30" i="5"/>
  <c r="Z30" i="5"/>
  <c r="Y30" i="5"/>
  <c r="X30" i="5"/>
  <c r="W30" i="5"/>
  <c r="V30" i="5"/>
  <c r="U30" i="5"/>
  <c r="T30" i="5"/>
  <c r="S30" i="5"/>
  <c r="R30" i="5"/>
  <c r="AC29" i="5"/>
  <c r="AB29" i="5"/>
  <c r="AA29" i="5"/>
  <c r="Z29" i="5"/>
  <c r="Y29" i="5"/>
  <c r="X29" i="5"/>
  <c r="W29" i="5"/>
  <c r="V29" i="5"/>
  <c r="U29" i="5"/>
  <c r="T29" i="5"/>
  <c r="S29" i="5"/>
  <c r="R29" i="5"/>
  <c r="AC28" i="5"/>
  <c r="AB28" i="5"/>
  <c r="AA28" i="5"/>
  <c r="Z28" i="5"/>
  <c r="Y28" i="5"/>
  <c r="X28" i="5"/>
  <c r="W28" i="5"/>
  <c r="V28" i="5"/>
  <c r="U28" i="5"/>
  <c r="T28" i="5"/>
  <c r="S28" i="5"/>
  <c r="R28" i="5"/>
  <c r="N28" i="5"/>
  <c r="M28" i="5"/>
  <c r="L28" i="5"/>
  <c r="K28" i="5"/>
  <c r="J28" i="5"/>
  <c r="I28" i="5"/>
  <c r="H28" i="5"/>
  <c r="G28" i="5"/>
  <c r="F28" i="5"/>
  <c r="E28" i="5"/>
  <c r="D28" i="5"/>
  <c r="C28" i="5"/>
  <c r="O28" i="5" s="1"/>
  <c r="AC27" i="5"/>
  <c r="AB27" i="5"/>
  <c r="AA27" i="5"/>
  <c r="Z27" i="5"/>
  <c r="Y27" i="5"/>
  <c r="X27" i="5"/>
  <c r="W27" i="5"/>
  <c r="V27" i="5"/>
  <c r="U27" i="5"/>
  <c r="T27" i="5"/>
  <c r="S27" i="5"/>
  <c r="R27" i="5"/>
  <c r="O27" i="5"/>
  <c r="AC26" i="5"/>
  <c r="AB26" i="5"/>
  <c r="AA26" i="5"/>
  <c r="Z26" i="5"/>
  <c r="Y26" i="5"/>
  <c r="X26" i="5"/>
  <c r="W26" i="5"/>
  <c r="V26" i="5"/>
  <c r="U26" i="5"/>
  <c r="T26" i="5"/>
  <c r="S26" i="5"/>
  <c r="R26" i="5"/>
  <c r="O26" i="5"/>
  <c r="AC25" i="5"/>
  <c r="AB25" i="5"/>
  <c r="AA25" i="5"/>
  <c r="Z25" i="5"/>
  <c r="Y25" i="5"/>
  <c r="X25" i="5"/>
  <c r="W25" i="5"/>
  <c r="V25" i="5"/>
  <c r="U25" i="5"/>
  <c r="T25" i="5"/>
  <c r="S25" i="5"/>
  <c r="R25" i="5"/>
  <c r="O25" i="5"/>
  <c r="AC24" i="5"/>
  <c r="AB24" i="5"/>
  <c r="AA24" i="5"/>
  <c r="Z24" i="5"/>
  <c r="Y24" i="5"/>
  <c r="X24" i="5"/>
  <c r="W24" i="5"/>
  <c r="V24" i="5"/>
  <c r="U24" i="5"/>
  <c r="T24" i="5"/>
  <c r="S24" i="5"/>
  <c r="R24" i="5"/>
  <c r="O24" i="5"/>
  <c r="AC23" i="5"/>
  <c r="AB23" i="5"/>
  <c r="AA23" i="5"/>
  <c r="Z23" i="5"/>
  <c r="Y23" i="5"/>
  <c r="X23" i="5"/>
  <c r="W23" i="5"/>
  <c r="V23" i="5"/>
  <c r="U23" i="5"/>
  <c r="T23" i="5"/>
  <c r="S23" i="5"/>
  <c r="R23" i="5"/>
  <c r="O23" i="5"/>
  <c r="AC22" i="5"/>
  <c r="AB22" i="5"/>
  <c r="AA22" i="5"/>
  <c r="Z22" i="5"/>
  <c r="Y22" i="5"/>
  <c r="X22" i="5"/>
  <c r="W22" i="5"/>
  <c r="V22" i="5"/>
  <c r="U22" i="5"/>
  <c r="T22" i="5"/>
  <c r="S22" i="5"/>
  <c r="R22" i="5"/>
  <c r="O22" i="5"/>
  <c r="AC21" i="5"/>
  <c r="AB21" i="5"/>
  <c r="AA21" i="5"/>
  <c r="Z21" i="5"/>
  <c r="Y21" i="5"/>
  <c r="X21" i="5"/>
  <c r="W21" i="5"/>
  <c r="V21" i="5"/>
  <c r="U21" i="5"/>
  <c r="T21" i="5"/>
  <c r="S21" i="5"/>
  <c r="R21" i="5"/>
  <c r="O21" i="5"/>
  <c r="AC20" i="5"/>
  <c r="AB20" i="5"/>
  <c r="AA20" i="5"/>
  <c r="Z20" i="5"/>
  <c r="Y20" i="5"/>
  <c r="X20" i="5"/>
  <c r="W20" i="5"/>
  <c r="V20" i="5"/>
  <c r="U20" i="5"/>
  <c r="T20" i="5"/>
  <c r="S20" i="5"/>
  <c r="R20" i="5"/>
  <c r="O20" i="5"/>
  <c r="AC19" i="5"/>
  <c r="AB19" i="5"/>
  <c r="AA19" i="5"/>
  <c r="Z19" i="5"/>
  <c r="Y19" i="5"/>
  <c r="X19" i="5"/>
  <c r="W19" i="5"/>
  <c r="V19" i="5"/>
  <c r="U19" i="5"/>
  <c r="T19" i="5"/>
  <c r="S19" i="5"/>
  <c r="R19" i="5"/>
  <c r="O19" i="5"/>
  <c r="AC18" i="5"/>
  <c r="AB18" i="5"/>
  <c r="AA18" i="5"/>
  <c r="Z18" i="5"/>
  <c r="Y18" i="5"/>
  <c r="X18" i="5"/>
  <c r="W18" i="5"/>
  <c r="V18" i="5"/>
  <c r="U18" i="5"/>
  <c r="T18" i="5"/>
  <c r="S18" i="5"/>
  <c r="R18" i="5"/>
  <c r="O18" i="5"/>
  <c r="N16" i="5"/>
  <c r="N30" i="5" s="1"/>
  <c r="M16" i="5"/>
  <c r="M30" i="5" s="1"/>
  <c r="L16" i="5"/>
  <c r="L30" i="5" s="1"/>
  <c r="K16" i="5"/>
  <c r="K30" i="5" s="1"/>
  <c r="J16" i="5"/>
  <c r="J30" i="5" s="1"/>
  <c r="I16" i="5"/>
  <c r="I30" i="5" s="1"/>
  <c r="H16" i="5"/>
  <c r="H30" i="5" s="1"/>
  <c r="G16" i="5"/>
  <c r="G30" i="5" s="1"/>
  <c r="F16" i="5"/>
  <c r="F30" i="5" s="1"/>
  <c r="E16" i="5"/>
  <c r="E30" i="5" s="1"/>
  <c r="D16" i="5"/>
  <c r="D30" i="5" s="1"/>
  <c r="C16" i="5"/>
  <c r="C30" i="5" s="1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AC1" i="5"/>
  <c r="R1" i="5"/>
  <c r="AA1" i="5"/>
  <c r="Z1" i="5"/>
  <c r="V1" i="5"/>
  <c r="Y1" i="5"/>
  <c r="U1" i="5"/>
  <c r="AB1" i="5"/>
  <c r="S1" i="5"/>
  <c r="W1" i="5"/>
  <c r="X1" i="5"/>
  <c r="T1" i="5"/>
  <c r="O41" i="5" l="1"/>
  <c r="N65" i="5"/>
  <c r="N79" i="5" s="1"/>
  <c r="J65" i="5"/>
  <c r="J79" i="5" s="1"/>
  <c r="F65" i="5"/>
  <c r="F79" i="5" s="1"/>
  <c r="L65" i="5"/>
  <c r="L79" i="5" s="1"/>
  <c r="H65" i="5"/>
  <c r="H79" i="5" s="1"/>
  <c r="D65" i="5"/>
  <c r="D79" i="5" s="1"/>
  <c r="E47" i="5"/>
  <c r="E59" i="5" s="1"/>
  <c r="E65" i="5"/>
  <c r="E79" i="5" s="1"/>
  <c r="G47" i="5"/>
  <c r="G59" i="5" s="1"/>
  <c r="G65" i="5"/>
  <c r="I47" i="5"/>
  <c r="I59" i="5" s="1"/>
  <c r="I65" i="5"/>
  <c r="I79" i="5" s="1"/>
  <c r="K47" i="5"/>
  <c r="K59" i="5" s="1"/>
  <c r="K65" i="5"/>
  <c r="M47" i="5"/>
  <c r="M59" i="5" s="1"/>
  <c r="M65" i="5"/>
  <c r="M79" i="5" s="1"/>
  <c r="O36" i="5"/>
  <c r="C66" i="5"/>
  <c r="C68" i="5" s="1"/>
  <c r="O42" i="5"/>
  <c r="C70" i="5"/>
  <c r="O43" i="5"/>
  <c r="C71" i="5"/>
  <c r="C65" i="5"/>
  <c r="C69" i="5"/>
  <c r="B69" i="5" s="1"/>
  <c r="F5" i="2" s="1"/>
  <c r="L81" i="5"/>
  <c r="D81" i="5"/>
  <c r="M74" i="5"/>
  <c r="I74" i="5"/>
  <c r="E74" i="5"/>
  <c r="N74" i="5"/>
  <c r="L74" i="5"/>
  <c r="J74" i="5"/>
  <c r="J81" i="5" s="1"/>
  <c r="H74" i="5"/>
  <c r="H81" i="5" s="1"/>
  <c r="F74" i="5"/>
  <c r="D74" i="5"/>
  <c r="AD1" i="5"/>
  <c r="C59" i="5"/>
  <c r="O35" i="5"/>
  <c r="O16" i="5"/>
  <c r="O30" i="5" s="1"/>
  <c r="O49" i="5"/>
  <c r="O47" i="5" l="1"/>
  <c r="O59" i="5" s="1"/>
  <c r="F81" i="5"/>
  <c r="N81" i="5"/>
  <c r="K79" i="5"/>
  <c r="K81" i="5" s="1"/>
  <c r="G79" i="5"/>
  <c r="G81" i="5" s="1"/>
  <c r="B65" i="5"/>
  <c r="F11" i="2" s="1"/>
  <c r="C79" i="5"/>
  <c r="M81" i="5"/>
  <c r="I81" i="5"/>
  <c r="E81" i="5"/>
  <c r="B79" i="5" l="1"/>
  <c r="C81" i="5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5" i="4"/>
  <c r="L6" i="4"/>
  <c r="J6" i="4"/>
  <c r="B48" i="1" l="1"/>
  <c r="B43" i="1"/>
  <c r="B137" i="1" l="1"/>
  <c r="D91" i="1" l="1"/>
  <c r="E91" i="1"/>
  <c r="F91" i="1"/>
  <c r="G91" i="1"/>
  <c r="H91" i="1"/>
  <c r="I91" i="1"/>
  <c r="J91" i="1"/>
  <c r="K91" i="1"/>
  <c r="L91" i="1"/>
  <c r="M91" i="1"/>
  <c r="N91" i="1"/>
  <c r="C91" i="1"/>
  <c r="D97" i="1" l="1"/>
  <c r="E97" i="1"/>
  <c r="F97" i="1"/>
  <c r="G97" i="1"/>
  <c r="H97" i="1"/>
  <c r="I97" i="1"/>
  <c r="J97" i="1"/>
  <c r="K97" i="1"/>
  <c r="L97" i="1"/>
  <c r="M97" i="1"/>
  <c r="N97" i="1"/>
  <c r="C97" i="1"/>
  <c r="B119" i="1" l="1"/>
  <c r="B128" i="1" l="1"/>
  <c r="B127" i="1"/>
  <c r="B124" i="1"/>
  <c r="B123" i="1"/>
  <c r="D129" i="1"/>
  <c r="E129" i="1"/>
  <c r="F129" i="1"/>
  <c r="G129" i="1"/>
  <c r="H129" i="1"/>
  <c r="I129" i="1"/>
  <c r="J129" i="1"/>
  <c r="K129" i="1"/>
  <c r="L129" i="1"/>
  <c r="M129" i="1"/>
  <c r="N129" i="1"/>
  <c r="C129" i="1"/>
  <c r="D125" i="1"/>
  <c r="E125" i="1"/>
  <c r="F125" i="1"/>
  <c r="G125" i="1"/>
  <c r="H125" i="1"/>
  <c r="I125" i="1"/>
  <c r="J125" i="1"/>
  <c r="K125" i="1"/>
  <c r="L125" i="1"/>
  <c r="M125" i="1"/>
  <c r="N125" i="1"/>
  <c r="C125" i="1"/>
  <c r="B125" i="1" l="1"/>
  <c r="M131" i="1"/>
  <c r="M132" i="1" s="1"/>
  <c r="K131" i="1"/>
  <c r="K132" i="1" s="1"/>
  <c r="I131" i="1"/>
  <c r="I132" i="1" s="1"/>
  <c r="G131" i="1"/>
  <c r="G132" i="1" s="1"/>
  <c r="E131" i="1"/>
  <c r="E132" i="1" s="1"/>
  <c r="N131" i="1"/>
  <c r="N132" i="1" s="1"/>
  <c r="L131" i="1"/>
  <c r="L132" i="1" s="1"/>
  <c r="J131" i="1"/>
  <c r="J132" i="1" s="1"/>
  <c r="H131" i="1"/>
  <c r="H132" i="1" s="1"/>
  <c r="F131" i="1"/>
  <c r="F132" i="1" s="1"/>
  <c r="D131" i="1"/>
  <c r="D132" i="1" s="1"/>
  <c r="B129" i="1"/>
  <c r="C131" i="1"/>
  <c r="C132" i="1" s="1"/>
  <c r="B131" i="1" l="1"/>
  <c r="B89" i="1"/>
  <c r="B90" i="1" s="1"/>
  <c r="B88" i="1"/>
  <c r="B87" i="1" s="1"/>
  <c r="B95" i="1"/>
  <c r="B91" i="1"/>
  <c r="B92" i="1" s="1"/>
  <c r="D7" i="1"/>
  <c r="E7" i="1"/>
  <c r="G7" i="1"/>
  <c r="I7" i="1"/>
  <c r="K7" i="1"/>
  <c r="M7" i="1"/>
  <c r="C7" i="1"/>
  <c r="D114" i="1"/>
  <c r="E114" i="1"/>
  <c r="F114" i="1"/>
  <c r="G114" i="1"/>
  <c r="H114" i="1"/>
  <c r="I114" i="1"/>
  <c r="J114" i="1"/>
  <c r="K114" i="1"/>
  <c r="L114" i="1"/>
  <c r="M114" i="1"/>
  <c r="N114" i="1"/>
  <c r="C114" i="1"/>
  <c r="C14" i="1"/>
  <c r="C15" i="1" s="1"/>
  <c r="D14" i="1"/>
  <c r="D15" i="1" s="1"/>
  <c r="E14" i="1"/>
  <c r="E15" i="1" s="1"/>
  <c r="F14" i="1"/>
  <c r="F15" i="1" s="1"/>
  <c r="G14" i="1"/>
  <c r="G15" i="1" s="1"/>
  <c r="H14" i="1"/>
  <c r="H15" i="1" s="1"/>
  <c r="I14" i="1"/>
  <c r="I15" i="1" s="1"/>
  <c r="J14" i="1"/>
  <c r="J15" i="1" s="1"/>
  <c r="K14" i="1"/>
  <c r="K15" i="1" s="1"/>
  <c r="L14" i="1"/>
  <c r="L15" i="1" s="1"/>
  <c r="M14" i="1"/>
  <c r="M15" i="1" s="1"/>
  <c r="N14" i="1"/>
  <c r="N15" i="1" s="1"/>
  <c r="D41" i="1"/>
  <c r="D47" i="1"/>
  <c r="D57" i="1"/>
  <c r="D63" i="1"/>
  <c r="E41" i="1"/>
  <c r="E47" i="1"/>
  <c r="E57" i="1"/>
  <c r="E63" i="1"/>
  <c r="F41" i="1"/>
  <c r="F47" i="1"/>
  <c r="F57" i="1"/>
  <c r="F63" i="1"/>
  <c r="G41" i="1"/>
  <c r="G47" i="1"/>
  <c r="G57" i="1"/>
  <c r="G63" i="1"/>
  <c r="H41" i="1"/>
  <c r="H47" i="1"/>
  <c r="H57" i="1"/>
  <c r="H63" i="1"/>
  <c r="I41" i="1"/>
  <c r="I47" i="1"/>
  <c r="I57" i="1"/>
  <c r="I63" i="1"/>
  <c r="J41" i="1"/>
  <c r="J47" i="1"/>
  <c r="J57" i="1"/>
  <c r="J63" i="1"/>
  <c r="K41" i="1"/>
  <c r="K47" i="1"/>
  <c r="K57" i="1"/>
  <c r="K63" i="1"/>
  <c r="L41" i="1"/>
  <c r="L47" i="1"/>
  <c r="L57" i="1"/>
  <c r="L63" i="1"/>
  <c r="M41" i="1"/>
  <c r="M47" i="1"/>
  <c r="M57" i="1"/>
  <c r="M63" i="1"/>
  <c r="N41" i="1"/>
  <c r="N47" i="1"/>
  <c r="N57" i="1"/>
  <c r="N63" i="1"/>
  <c r="C41" i="1"/>
  <c r="C47" i="1"/>
  <c r="B47" i="1" s="1"/>
  <c r="C57" i="1"/>
  <c r="B57" i="1" s="1"/>
  <c r="C63" i="1"/>
  <c r="B112" i="1"/>
  <c r="B55" i="1"/>
  <c r="B39" i="1"/>
  <c r="B12" i="1"/>
  <c r="B13" i="1" s="1"/>
  <c r="B23" i="1"/>
  <c r="B22" i="1"/>
  <c r="B96" i="1"/>
  <c r="B45" i="1"/>
  <c r="B46" i="1"/>
  <c r="B29" i="1"/>
  <c r="B30" i="1"/>
  <c r="B4" i="1"/>
  <c r="B62" i="1"/>
  <c r="B61" i="1"/>
  <c r="B54" i="1"/>
  <c r="B111" i="1"/>
  <c r="B38" i="1"/>
  <c r="B11" i="1"/>
  <c r="B10" i="1" s="1"/>
  <c r="B104" i="1" l="1"/>
  <c r="C104" i="1" s="1"/>
  <c r="M44" i="1"/>
  <c r="M49" i="1" s="1"/>
  <c r="M51" i="1" s="1"/>
  <c r="K44" i="1"/>
  <c r="K49" i="1" s="1"/>
  <c r="K51" i="1" s="1"/>
  <c r="I44" i="1"/>
  <c r="I49" i="1" s="1"/>
  <c r="I51" i="1" s="1"/>
  <c r="G44" i="1"/>
  <c r="G49" i="1" s="1"/>
  <c r="G51" i="1" s="1"/>
  <c r="E44" i="1"/>
  <c r="E49" i="1" s="1"/>
  <c r="E51" i="1" s="1"/>
  <c r="N7" i="1"/>
  <c r="N117" i="1" s="1"/>
  <c r="N118" i="1" s="1"/>
  <c r="L7" i="1"/>
  <c r="L44" i="1" s="1"/>
  <c r="L49" i="1" s="1"/>
  <c r="L51" i="1" s="1"/>
  <c r="J7" i="1"/>
  <c r="J44" i="1" s="1"/>
  <c r="J49" i="1" s="1"/>
  <c r="J51" i="1" s="1"/>
  <c r="H7" i="1"/>
  <c r="H44" i="1" s="1"/>
  <c r="H49" i="1" s="1"/>
  <c r="H51" i="1" s="1"/>
  <c r="F7" i="1"/>
  <c r="B103" i="1"/>
  <c r="C103" i="1" s="1"/>
  <c r="N44" i="1"/>
  <c r="N49" i="1" s="1"/>
  <c r="N51" i="1" s="1"/>
  <c r="F44" i="1"/>
  <c r="F49" i="1" s="1"/>
  <c r="F51" i="1" s="1"/>
  <c r="D44" i="1"/>
  <c r="D49" i="1" s="1"/>
  <c r="D51" i="1" s="1"/>
  <c r="B97" i="1"/>
  <c r="N17" i="1"/>
  <c r="N19" i="1" s="1"/>
  <c r="J117" i="1"/>
  <c r="J118" i="1" s="1"/>
  <c r="J60" i="1"/>
  <c r="J65" i="1" s="1"/>
  <c r="J67" i="1" s="1"/>
  <c r="F117" i="1"/>
  <c r="F118" i="1" s="1"/>
  <c r="F60" i="1"/>
  <c r="F65" i="1" s="1"/>
  <c r="F67" i="1" s="1"/>
  <c r="D117" i="1"/>
  <c r="D118" i="1" s="1"/>
  <c r="D60" i="1"/>
  <c r="D65" i="1" s="1"/>
  <c r="D67" i="1" s="1"/>
  <c r="D17" i="1"/>
  <c r="D19" i="1" s="1"/>
  <c r="N94" i="1"/>
  <c r="N99" i="1" s="1"/>
  <c r="N101" i="1" s="1"/>
  <c r="F94" i="1"/>
  <c r="F99" i="1" s="1"/>
  <c r="F101" i="1" s="1"/>
  <c r="D94" i="1"/>
  <c r="D99" i="1" s="1"/>
  <c r="D101" i="1" s="1"/>
  <c r="C117" i="1"/>
  <c r="C118" i="1" s="1"/>
  <c r="C60" i="1"/>
  <c r="C17" i="1"/>
  <c r="C19" i="1" s="1"/>
  <c r="M117" i="1"/>
  <c r="M118" i="1" s="1"/>
  <c r="M60" i="1"/>
  <c r="M65" i="1" s="1"/>
  <c r="M67" i="1" s="1"/>
  <c r="M17" i="1"/>
  <c r="M19" i="1" s="1"/>
  <c r="K117" i="1"/>
  <c r="K118" i="1" s="1"/>
  <c r="K60" i="1"/>
  <c r="K65" i="1" s="1"/>
  <c r="K67" i="1" s="1"/>
  <c r="K17" i="1"/>
  <c r="K19" i="1" s="1"/>
  <c r="I117" i="1"/>
  <c r="I118" i="1" s="1"/>
  <c r="I60" i="1"/>
  <c r="I65" i="1" s="1"/>
  <c r="I67" i="1" s="1"/>
  <c r="I17" i="1"/>
  <c r="I19" i="1" s="1"/>
  <c r="G117" i="1"/>
  <c r="G118" i="1" s="1"/>
  <c r="G60" i="1"/>
  <c r="G65" i="1" s="1"/>
  <c r="G67" i="1" s="1"/>
  <c r="G17" i="1"/>
  <c r="G19" i="1" s="1"/>
  <c r="E117" i="1"/>
  <c r="E118" i="1" s="1"/>
  <c r="E60" i="1"/>
  <c r="E65" i="1" s="1"/>
  <c r="E67" i="1" s="1"/>
  <c r="E17" i="1"/>
  <c r="E19" i="1" s="1"/>
  <c r="C94" i="1"/>
  <c r="M94" i="1"/>
  <c r="M99" i="1" s="1"/>
  <c r="M101" i="1" s="1"/>
  <c r="K94" i="1"/>
  <c r="K99" i="1" s="1"/>
  <c r="K101" i="1" s="1"/>
  <c r="I94" i="1"/>
  <c r="I99" i="1" s="1"/>
  <c r="I101" i="1" s="1"/>
  <c r="G94" i="1"/>
  <c r="G99" i="1" s="1"/>
  <c r="G101" i="1" s="1"/>
  <c r="E94" i="1"/>
  <c r="E99" i="1" s="1"/>
  <c r="E101" i="1" s="1"/>
  <c r="B114" i="1"/>
  <c r="B115" i="1" s="1"/>
  <c r="I35" i="2" s="1"/>
  <c r="B41" i="1"/>
  <c r="B42" i="1" s="1"/>
  <c r="I31" i="2" s="1"/>
  <c r="C44" i="1"/>
  <c r="B14" i="1"/>
  <c r="B132" i="1"/>
  <c r="B63" i="1"/>
  <c r="B31" i="1"/>
  <c r="B58" i="1"/>
  <c r="I33" i="2" s="1"/>
  <c r="J33" i="2"/>
  <c r="C25" i="1"/>
  <c r="M25" i="1"/>
  <c r="M33" i="1" s="1"/>
  <c r="K25" i="1"/>
  <c r="K33" i="1" s="1"/>
  <c r="I25" i="1"/>
  <c r="I33" i="1" s="1"/>
  <c r="G25" i="1"/>
  <c r="G33" i="1" s="1"/>
  <c r="E25" i="1"/>
  <c r="E33" i="1" s="1"/>
  <c r="C26" i="1"/>
  <c r="M26" i="1"/>
  <c r="M34" i="1" s="1"/>
  <c r="K26" i="1"/>
  <c r="K34" i="1" s="1"/>
  <c r="I26" i="1"/>
  <c r="I34" i="1" s="1"/>
  <c r="G26" i="1"/>
  <c r="G34" i="1" s="1"/>
  <c r="E26" i="1"/>
  <c r="E34" i="1" s="1"/>
  <c r="N25" i="1"/>
  <c r="N33" i="1" s="1"/>
  <c r="F25" i="1"/>
  <c r="F33" i="1" s="1"/>
  <c r="D25" i="1"/>
  <c r="D33" i="1" s="1"/>
  <c r="N26" i="1"/>
  <c r="N34" i="1" s="1"/>
  <c r="L26" i="1"/>
  <c r="L34" i="1" s="1"/>
  <c r="J26" i="1"/>
  <c r="J34" i="1" s="1"/>
  <c r="H26" i="1"/>
  <c r="H34" i="1" s="1"/>
  <c r="F26" i="1"/>
  <c r="F34" i="1" s="1"/>
  <c r="D26" i="1"/>
  <c r="D34" i="1" s="1"/>
  <c r="L17" i="1" l="1"/>
  <c r="L19" i="1" s="1"/>
  <c r="J25" i="1"/>
  <c r="J33" i="1" s="1"/>
  <c r="J35" i="1" s="1"/>
  <c r="J94" i="1"/>
  <c r="J99" i="1" s="1"/>
  <c r="J101" i="1" s="1"/>
  <c r="F17" i="1"/>
  <c r="F19" i="1" s="1"/>
  <c r="J17" i="1"/>
  <c r="J19" i="1" s="1"/>
  <c r="N60" i="1"/>
  <c r="N65" i="1" s="1"/>
  <c r="N67" i="1" s="1"/>
  <c r="J35" i="2"/>
  <c r="J31" i="2"/>
  <c r="B105" i="1"/>
  <c r="B107" i="1" s="1"/>
  <c r="J29" i="2" s="1"/>
  <c r="H25" i="1"/>
  <c r="H33" i="1" s="1"/>
  <c r="H35" i="1" s="1"/>
  <c r="L25" i="1"/>
  <c r="L33" i="1" s="1"/>
  <c r="L35" i="1" s="1"/>
  <c r="B7" i="1"/>
  <c r="H94" i="1"/>
  <c r="H99" i="1" s="1"/>
  <c r="H101" i="1" s="1"/>
  <c r="L94" i="1"/>
  <c r="L99" i="1" s="1"/>
  <c r="L101" i="1" s="1"/>
  <c r="H17" i="1"/>
  <c r="H19" i="1" s="1"/>
  <c r="H60" i="1"/>
  <c r="H65" i="1" s="1"/>
  <c r="H67" i="1" s="1"/>
  <c r="H117" i="1"/>
  <c r="L60" i="1"/>
  <c r="L65" i="1" s="1"/>
  <c r="L67" i="1" s="1"/>
  <c r="L117" i="1"/>
  <c r="B15" i="1"/>
  <c r="J121" i="1"/>
  <c r="J134" i="1" s="1"/>
  <c r="N121" i="1"/>
  <c r="N134" i="1" s="1"/>
  <c r="E121" i="1"/>
  <c r="E134" i="1" s="1"/>
  <c r="G121" i="1"/>
  <c r="G134" i="1" s="1"/>
  <c r="K121" i="1"/>
  <c r="K134" i="1" s="1"/>
  <c r="I121" i="1"/>
  <c r="I134" i="1" s="1"/>
  <c r="D121" i="1"/>
  <c r="D134" i="1" s="1"/>
  <c r="F121" i="1"/>
  <c r="F134" i="1" s="1"/>
  <c r="M121" i="1"/>
  <c r="M134" i="1" s="1"/>
  <c r="C65" i="1"/>
  <c r="C67" i="1" s="1"/>
  <c r="C99" i="1"/>
  <c r="C101" i="1" s="1"/>
  <c r="C34" i="1"/>
  <c r="B34" i="1" s="1"/>
  <c r="B26" i="1"/>
  <c r="B44" i="1"/>
  <c r="C49" i="1"/>
  <c r="C51" i="1" s="1"/>
  <c r="C33" i="1"/>
  <c r="D35" i="1"/>
  <c r="F35" i="1"/>
  <c r="N35" i="1"/>
  <c r="E35" i="1"/>
  <c r="G35" i="1"/>
  <c r="I35" i="1"/>
  <c r="K35" i="1"/>
  <c r="M35" i="1"/>
  <c r="B60" i="1" l="1"/>
  <c r="L118" i="1"/>
  <c r="L121" i="1" s="1"/>
  <c r="L134" i="1" s="1"/>
  <c r="H118" i="1"/>
  <c r="H121" i="1" s="1"/>
  <c r="H134" i="1" s="1"/>
  <c r="B17" i="1"/>
  <c r="B16" i="1" s="1"/>
  <c r="B94" i="1"/>
  <c r="B93" i="1" s="1"/>
  <c r="B106" i="1"/>
  <c r="I29" i="2" s="1"/>
  <c r="B25" i="1"/>
  <c r="B27" i="1" s="1"/>
  <c r="B117" i="1"/>
  <c r="B116" i="1" s="1"/>
  <c r="B33" i="1"/>
  <c r="C35" i="1"/>
  <c r="B35" i="1" s="1"/>
  <c r="B51" i="1"/>
  <c r="B49" i="1"/>
  <c r="C121" i="1"/>
  <c r="C134" i="1" s="1"/>
  <c r="B67" i="1"/>
  <c r="B65" i="1"/>
  <c r="B19" i="1"/>
  <c r="B101" i="1"/>
  <c r="B99" i="1"/>
  <c r="B121" i="1" l="1"/>
  <c r="B118" i="1"/>
  <c r="B134" i="1"/>
  <c r="B141" i="1" s="1"/>
  <c r="B143" i="1" l="1"/>
  <c r="F21" i="2"/>
</calcChain>
</file>

<file path=xl/sharedStrings.xml><?xml version="1.0" encoding="utf-8"?>
<sst xmlns="http://schemas.openxmlformats.org/spreadsheetml/2006/main" count="265" uniqueCount="182">
  <si>
    <t>Actual Hydro</t>
  </si>
  <si>
    <t>Authorized Hydro</t>
  </si>
  <si>
    <t>Total</t>
  </si>
  <si>
    <t>Washington Allocation</t>
  </si>
  <si>
    <t>Difference, MWh</t>
  </si>
  <si>
    <t>Difference, aMW</t>
  </si>
  <si>
    <t>Cost of Additional Load</t>
  </si>
  <si>
    <t>Net Cost of Additional Load</t>
  </si>
  <si>
    <t>Avista Corp.</t>
  </si>
  <si>
    <t>Value of Additional Generation</t>
  </si>
  <si>
    <t>Colstrip</t>
  </si>
  <si>
    <t>Value of Higher Generation</t>
  </si>
  <si>
    <t>Net Cost of Higher Colstrip Gen</t>
  </si>
  <si>
    <t>WA share of Additional Load</t>
  </si>
  <si>
    <t>Total Increased Cost due to Higher</t>
  </si>
  <si>
    <t>Kettle Falls</t>
  </si>
  <si>
    <t>Retail Load</t>
  </si>
  <si>
    <t>Net Higher Cost of Coal</t>
  </si>
  <si>
    <t>Net Higher Cost of Gas</t>
  </si>
  <si>
    <t>Mid Columbia</t>
  </si>
  <si>
    <t>Power Prices</t>
  </si>
  <si>
    <t>Rate Case Market Purchases, MWh</t>
  </si>
  <si>
    <t>Rate Case Market Sales, MWh</t>
  </si>
  <si>
    <t>Actual Rate Case Market Purchases $</t>
  </si>
  <si>
    <t>Actual Rate Case Market Sales $</t>
  </si>
  <si>
    <t>Authorized Purchase $</t>
  </si>
  <si>
    <t>Authorized Sales $</t>
  </si>
  <si>
    <t>Difference Purchases $</t>
  </si>
  <si>
    <t>Difference Sales $</t>
  </si>
  <si>
    <t xml:space="preserve">   Net</t>
  </si>
  <si>
    <t xml:space="preserve">  Net</t>
  </si>
  <si>
    <t>Gas Fired Generation</t>
  </si>
  <si>
    <t>Actual Gas Fired Generation</t>
  </si>
  <si>
    <t>Authorized Gas Fired Generation</t>
  </si>
  <si>
    <t>Value of Generation</t>
  </si>
  <si>
    <t>Actual 547 Expense</t>
  </si>
  <si>
    <t>Authorized 547 Expense</t>
  </si>
  <si>
    <t>Net Cost of Gas Fired Generation</t>
  </si>
  <si>
    <t>Change in Hydro Generation</t>
  </si>
  <si>
    <t>aMW</t>
  </si>
  <si>
    <t>Change in Gas Fired Generation</t>
  </si>
  <si>
    <t>Change</t>
  </si>
  <si>
    <t>%</t>
  </si>
  <si>
    <t>Coyote Springs 2</t>
  </si>
  <si>
    <t>Avista Hydro Value</t>
  </si>
  <si>
    <t>Actual Gen MWh</t>
  </si>
  <si>
    <t>Authorized Gen MWh</t>
  </si>
  <si>
    <t>Actuals $</t>
  </si>
  <si>
    <t>Authorized $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</si>
  <si>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</si>
  <si>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</si>
  <si>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</si>
  <si>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</si>
  <si>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</si>
  <si>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</si>
  <si>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</si>
  <si>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</si>
  <si>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</si>
  <si>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</si>
  <si>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</si>
  <si>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</si>
  <si>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Net Cost of Low Cost of Mid C Gen</t>
  </si>
  <si>
    <t>Actual Transmisson Expense</t>
  </si>
  <si>
    <t>Actual Transmisson Revenue</t>
  </si>
  <si>
    <t>Authorized Transmission Expense</t>
  </si>
  <si>
    <t>Authorized Transmission Revenue</t>
  </si>
  <si>
    <t>Actual Net Transmisson Expense</t>
  </si>
  <si>
    <t>Authorized Net Transmission Expense</t>
  </si>
  <si>
    <t>Change In Net Transmission Expense</t>
  </si>
  <si>
    <t>WA Allocation</t>
  </si>
  <si>
    <t>Change in Net Transmission Expense (Expense - Revenues)</t>
  </si>
  <si>
    <t>Lancaster</t>
  </si>
  <si>
    <t>Higher Cost of Mid Columbia</t>
  </si>
  <si>
    <t>Change in System Load</t>
  </si>
  <si>
    <t>Hydro, Gas/Colstrip/KF/Mid C/Load/Trans</t>
  </si>
  <si>
    <t>Actual Total Hydro</t>
  </si>
  <si>
    <t>Authorized Total Hydro</t>
  </si>
  <si>
    <t>Difference aMW</t>
  </si>
  <si>
    <t>Difference MWh</t>
  </si>
  <si>
    <t>Difference %</t>
  </si>
  <si>
    <t>Actual Power Supply Expense Decrease</t>
  </si>
  <si>
    <t>Factors Contributing to Decreased Power Supply Expense</t>
  </si>
  <si>
    <t>Mid C Price</t>
  </si>
  <si>
    <t>Actual Load</t>
  </si>
  <si>
    <t>Authorized Load</t>
  </si>
  <si>
    <t>Total Expense Below the Authorized Level</t>
  </si>
  <si>
    <t>Change in Retail Loads (Power Cost Change less Retail Revenue Adjustment)</t>
  </si>
  <si>
    <t>Flat Mid C Price</t>
  </si>
  <si>
    <t>PT Ratio</t>
  </si>
  <si>
    <t>WA Retail Revenue Adjustment</t>
  </si>
  <si>
    <t>BPA Transmission Adjustment</t>
  </si>
  <si>
    <t>Act Cost of Thermal Fuel</t>
  </si>
  <si>
    <t>Auth Cost of Thermal Fuel</t>
  </si>
  <si>
    <t>Power Supply Expense Variances - 2017</t>
  </si>
  <si>
    <t>Cost Increases Due to Other Contract Changes</t>
  </si>
  <si>
    <t>Change in Colstrip &amp; Kettle Falls Generation</t>
  </si>
  <si>
    <t>Notes:</t>
  </si>
  <si>
    <t>5  Increased transmission revenue exceeded increased transmission expense.</t>
  </si>
  <si>
    <t>Change in Colstrip &amp; Kettle Falls Generation and Fuel Expense</t>
  </si>
  <si>
    <t>2017 Generation and Load Differences from the Authorized Level</t>
  </si>
  <si>
    <t>Actual Colstrip Generation</t>
  </si>
  <si>
    <t>Authorized Colstrip Generation</t>
  </si>
  <si>
    <t>2018 Jan-Dec</t>
  </si>
  <si>
    <t>act minus bud</t>
  </si>
  <si>
    <t>in $000's</t>
  </si>
  <si>
    <t>Unfav / (Fav)</t>
  </si>
  <si>
    <t>COST VARIANCE</t>
  </si>
  <si>
    <t>SALES VARIANCE</t>
  </si>
  <si>
    <t>TOTAL $</t>
  </si>
  <si>
    <t>Prod units</t>
  </si>
  <si>
    <t>unit</t>
  </si>
  <si>
    <t>Price $</t>
  </si>
  <si>
    <t>Qty $</t>
  </si>
  <si>
    <t>Sales(MW)</t>
  </si>
  <si>
    <t>VARIANCE</t>
  </si>
  <si>
    <t>Net purch</t>
  </si>
  <si>
    <t>MWh</t>
  </si>
  <si>
    <t>Native load</t>
  </si>
  <si>
    <t>Noxon</t>
  </si>
  <si>
    <t>Cabinet</t>
  </si>
  <si>
    <t>Upp Spokane</t>
  </si>
  <si>
    <t>Long Lk/LFalls</t>
  </si>
  <si>
    <t>Mid-C contracts</t>
  </si>
  <si>
    <t>Palouse PPA</t>
  </si>
  <si>
    <t>CS2</t>
  </si>
  <si>
    <t>Dth</t>
  </si>
  <si>
    <t>Lanc energy pmt</t>
  </si>
  <si>
    <t>Other CT</t>
  </si>
  <si>
    <t>Total variable</t>
  </si>
  <si>
    <t>Ancillary/Capacity deals</t>
  </si>
  <si>
    <t>Lancaster PPA</t>
  </si>
  <si>
    <t>GTN pipeline</t>
  </si>
  <si>
    <t>Transmission wheeling</t>
  </si>
  <si>
    <t>Transmission revenue</t>
  </si>
  <si>
    <t>Other production expenses</t>
  </si>
  <si>
    <t>Total fixed</t>
  </si>
  <si>
    <t>Total Power Supply expense</t>
  </si>
  <si>
    <t>Net purch/sales</t>
  </si>
  <si>
    <t>Load</t>
  </si>
  <si>
    <t>Upp Spo</t>
  </si>
  <si>
    <t>LL/LF</t>
  </si>
  <si>
    <t>Mid-C</t>
  </si>
  <si>
    <t>Palouse</t>
  </si>
  <si>
    <t>Kettle</t>
  </si>
  <si>
    <t>Lanc</t>
  </si>
  <si>
    <t>Lanc VOM</t>
  </si>
  <si>
    <t>Ancillary</t>
  </si>
  <si>
    <t>Unknown 447</t>
  </si>
  <si>
    <t>Unknown 555</t>
  </si>
  <si>
    <t>interco</t>
  </si>
  <si>
    <t>Lanc PPA</t>
  </si>
  <si>
    <t>Pipe</t>
  </si>
  <si>
    <t>Other Prod</t>
  </si>
  <si>
    <t>Wheeling</t>
  </si>
  <si>
    <t>Transm rev</t>
  </si>
  <si>
    <t>$000's</t>
  </si>
  <si>
    <t>Net purch/(sales)</t>
  </si>
  <si>
    <t>Gas</t>
  </si>
  <si>
    <t>P/T</t>
  </si>
  <si>
    <t>Net Purchases</t>
  </si>
  <si>
    <t xml:space="preserve">Load </t>
  </si>
  <si>
    <t>Ret Rev Credit</t>
  </si>
  <si>
    <t>Palouse Wind</t>
  </si>
  <si>
    <t>Additional Sales</t>
  </si>
  <si>
    <t>Net Transmission</t>
  </si>
  <si>
    <t>Total Load</t>
  </si>
  <si>
    <t>Misc</t>
  </si>
  <si>
    <t>Hydro</t>
  </si>
  <si>
    <t>Gas Generation/Prices</t>
  </si>
  <si>
    <t>2018 Thermal Generation Plant Availability Factors</t>
  </si>
  <si>
    <t>2018 - Washington Allocation</t>
  </si>
  <si>
    <t>Change in Gas Generation and Natural Gas Prices</t>
  </si>
  <si>
    <t>Change in Net Power Purchase Expense</t>
  </si>
  <si>
    <t>Change in Palouse Wind Net Expense</t>
  </si>
  <si>
    <t>Change in Power Product Sales and Misc Expense</t>
  </si>
  <si>
    <t>3  Includes change in generation and fuel expense.</t>
  </si>
  <si>
    <t>4  Increased expense due to high power prices in certain months.</t>
  </si>
  <si>
    <t>6  Includes change in generation and purchase expense.</t>
  </si>
  <si>
    <t>1  Hydro generation was 19 aMW above the authorized level.</t>
  </si>
  <si>
    <t>7   Cost increase during higher load period plus retail revenue adjustment.</t>
  </si>
  <si>
    <t>8  Revenue from sale of additional ancillary products.</t>
  </si>
  <si>
    <t>2  Includes change in gas generation net value and gas transport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</si>
</sst>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0.0"/>
    <numFmt numFmtId="169" formatCode="#,##0.0"/>
    <numFmt numFmtId="170" formatCode="0.0%"/>
    <numFmt numFmtId="171" formatCode="_(* #,##0.0_);_(* \(#,##0.0\);_(* &quot;-&quot;??_);_(@_)"/>
    <numFmt numFmtId="172" formatCode="_(* #,##0.000_);_(* \(#,##0.000\);_(* &quot;-&quot;??_);_(@_)"/>
    <numFmt numFmtId="173" formatCode="_(* #,##0,_);_(* \(#,##0,\);_(* &quot;-&quot;_);_(@_)"/>
    <numFmt numFmtId="174" formatCode="#,##0_F&quot;U&quot;;#,##0_U&quot;F&quot;"/>
    <numFmt numFmtId="175" formatCode="#,##0_U&quot;F&quot;;#,##0_F&quot;U&quot;"/>
    <numFmt numFmtId="176" formatCode="_(* #,##0.000,_);_(* \(#,##0.000,\);_(* &quot;-&quot;_);_(@_)"/>
    <numFmt numFmtId="177" formatCode="mmm"/>
  </numFmts>
  <fonts count="16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 tint="-4.9989318521683403E-2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164" fontId="0" fillId="0" borderId="0" xfId="1" applyNumberFormat="1" applyFont="1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0" borderId="0" xfId="0" applyBorder="1"/>
    <xf numFmtId="0" fontId="4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0" fontId="0" fillId="0" borderId="4" xfId="0" applyBorder="1"/>
    <xf numFmtId="166" fontId="3" fillId="0" borderId="5" xfId="0" applyNumberFormat="1" applyFont="1" applyBorder="1"/>
    <xf numFmtId="0" fontId="0" fillId="0" borderId="6" xfId="0" applyBorder="1"/>
    <xf numFmtId="3" fontId="0" fillId="0" borderId="3" xfId="0" applyNumberFormat="1" applyBorder="1"/>
    <xf numFmtId="2" fontId="0" fillId="0" borderId="3" xfId="0" applyNumberFormat="1" applyBorder="1"/>
    <xf numFmtId="0" fontId="0" fillId="0" borderId="1" xfId="0" applyBorder="1"/>
    <xf numFmtId="166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6" fontId="0" fillId="0" borderId="9" xfId="0" applyNumberFormat="1" applyBorder="1"/>
    <xf numFmtId="0" fontId="0" fillId="0" borderId="11" xfId="0" applyBorder="1"/>
    <xf numFmtId="0" fontId="0" fillId="0" borderId="12" xfId="0" applyBorder="1"/>
    <xf numFmtId="166" fontId="0" fillId="0" borderId="13" xfId="0" applyNumberFormat="1" applyBorder="1"/>
    <xf numFmtId="164" fontId="0" fillId="0" borderId="3" xfId="1" applyNumberFormat="1" applyFont="1" applyBorder="1"/>
    <xf numFmtId="0" fontId="0" fillId="0" borderId="0" xfId="0" applyAlignment="1">
      <alignment horizontal="center"/>
    </xf>
    <xf numFmtId="168" fontId="0" fillId="0" borderId="3" xfId="0" applyNumberFormat="1" applyBorder="1"/>
    <xf numFmtId="166" fontId="3" fillId="0" borderId="0" xfId="0" applyNumberFormat="1" applyFont="1" applyBorder="1"/>
    <xf numFmtId="166" fontId="3" fillId="0" borderId="7" xfId="0" applyNumberFormat="1" applyFont="1" applyBorder="1"/>
    <xf numFmtId="0" fontId="0" fillId="0" borderId="0" xfId="0" applyFill="1" applyBorder="1"/>
    <xf numFmtId="0" fontId="3" fillId="0" borderId="0" xfId="0" applyFont="1" applyBorder="1"/>
    <xf numFmtId="166" fontId="0" fillId="0" borderId="0" xfId="0" applyNumberFormat="1" applyBorder="1"/>
    <xf numFmtId="166" fontId="3" fillId="0" borderId="3" xfId="0" applyNumberFormat="1" applyFont="1" applyBorder="1"/>
    <xf numFmtId="168" fontId="0" fillId="0" borderId="0" xfId="0" applyNumberFormat="1"/>
    <xf numFmtId="0" fontId="3" fillId="0" borderId="8" xfId="0" applyFon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70" fontId="0" fillId="0" borderId="9" xfId="3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70" fontId="0" fillId="0" borderId="13" xfId="3" applyNumberFormat="1" applyFont="1" applyBorder="1" applyAlignment="1">
      <alignment horizontal="center"/>
    </xf>
    <xf numFmtId="170" fontId="0" fillId="0" borderId="0" xfId="3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169" fontId="0" fillId="0" borderId="9" xfId="0" applyNumberFormat="1" applyBorder="1" applyAlignment="1">
      <alignment horizontal="center"/>
    </xf>
    <xf numFmtId="0" fontId="5" fillId="0" borderId="2" xfId="0" applyFont="1" applyBorder="1"/>
    <xf numFmtId="9" fontId="0" fillId="0" borderId="0" xfId="3" applyFont="1"/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8" xfId="0" applyFont="1" applyBorder="1"/>
    <xf numFmtId="166" fontId="0" fillId="0" borderId="14" xfId="0" applyNumberFormat="1" applyBorder="1"/>
    <xf numFmtId="164" fontId="0" fillId="0" borderId="0" xfId="0" applyNumberFormat="1"/>
    <xf numFmtId="165" fontId="0" fillId="0" borderId="0" xfId="0" applyNumberFormat="1" applyFill="1"/>
    <xf numFmtId="0" fontId="0" fillId="0" borderId="2" xfId="0" applyFill="1" applyBorder="1"/>
    <xf numFmtId="0" fontId="0" fillId="0" borderId="1" xfId="0" applyFill="1" applyBorder="1"/>
    <xf numFmtId="166" fontId="0" fillId="0" borderId="6" xfId="0" applyNumberFormat="1" applyBorder="1"/>
    <xf numFmtId="0" fontId="0" fillId="0" borderId="4" xfId="0" applyFill="1" applyBorder="1"/>
    <xf numFmtId="0" fontId="1" fillId="0" borderId="2" xfId="0" applyFont="1" applyBorder="1"/>
    <xf numFmtId="164" fontId="0" fillId="0" borderId="0" xfId="1" applyNumberFormat="1" applyFont="1" applyFill="1"/>
    <xf numFmtId="166" fontId="9" fillId="0" borderId="0" xfId="0" applyNumberFormat="1" applyFont="1" applyFill="1"/>
    <xf numFmtId="0" fontId="1" fillId="0" borderId="11" xfId="0" applyFont="1" applyBorder="1"/>
    <xf numFmtId="167" fontId="3" fillId="0" borderId="7" xfId="2" applyNumberFormat="1" applyFont="1" applyBorder="1"/>
    <xf numFmtId="171" fontId="1" fillId="0" borderId="0" xfId="1" applyNumberFormat="1" applyFont="1" applyBorder="1"/>
    <xf numFmtId="164" fontId="1" fillId="0" borderId="0" xfId="1" applyNumberFormat="1" applyFont="1" applyBorder="1"/>
    <xf numFmtId="10" fontId="1" fillId="0" borderId="0" xfId="3" applyNumberFormat="1" applyFont="1" applyBorder="1"/>
    <xf numFmtId="0" fontId="1" fillId="0" borderId="0" xfId="0" applyFont="1" applyFill="1"/>
    <xf numFmtId="166" fontId="1" fillId="0" borderId="6" xfId="0" applyNumberFormat="1" applyFont="1" applyBorder="1"/>
    <xf numFmtId="166" fontId="1" fillId="0" borderId="0" xfId="0" applyNumberFormat="1" applyFont="1" applyBorder="1"/>
    <xf numFmtId="0" fontId="0" fillId="0" borderId="0" xfId="0" applyFill="1"/>
    <xf numFmtId="10" fontId="0" fillId="0" borderId="0" xfId="3" applyNumberFormat="1" applyFont="1"/>
    <xf numFmtId="43" fontId="0" fillId="0" borderId="0" xfId="1" applyNumberFormat="1" applyFont="1"/>
    <xf numFmtId="2" fontId="0" fillId="0" borderId="6" xfId="0" applyNumberFormat="1" applyBorder="1"/>
    <xf numFmtId="172" fontId="0" fillId="0" borderId="6" xfId="1" applyNumberFormat="1" applyFont="1" applyBorder="1"/>
    <xf numFmtId="43" fontId="0" fillId="0" borderId="3" xfId="0" applyNumberFormat="1" applyBorder="1"/>
    <xf numFmtId="0" fontId="1" fillId="0" borderId="0" xfId="0" applyFont="1" applyBorder="1"/>
    <xf numFmtId="0" fontId="0" fillId="3" borderId="15" xfId="0" applyFill="1" applyBorder="1"/>
    <xf numFmtId="0" fontId="0" fillId="3" borderId="8" xfId="0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4" borderId="0" xfId="1" applyNumberFormat="1" applyFont="1" applyFill="1"/>
    <xf numFmtId="166" fontId="0" fillId="4" borderId="0" xfId="0" applyNumberFormat="1" applyFill="1"/>
    <xf numFmtId="0" fontId="0" fillId="4" borderId="0" xfId="0" applyFill="1"/>
    <xf numFmtId="3" fontId="0" fillId="4" borderId="0" xfId="0" applyNumberFormat="1" applyFill="1"/>
    <xf numFmtId="5" fontId="5" fillId="4" borderId="0" xfId="0" applyNumberFormat="1" applyFont="1" applyFill="1" applyBorder="1"/>
    <xf numFmtId="166" fontId="5" fillId="0" borderId="0" xfId="0" applyNumberFormat="1" applyFont="1" applyFill="1"/>
    <xf numFmtId="164" fontId="0" fillId="0" borderId="0" xfId="1" applyNumberFormat="1" applyFont="1" applyFill="1" applyBorder="1"/>
    <xf numFmtId="166" fontId="0" fillId="0" borderId="0" xfId="0" applyNumberFormat="1" applyFill="1"/>
    <xf numFmtId="0" fontId="10" fillId="0" borderId="0" xfId="0" applyFont="1"/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right"/>
    </xf>
    <xf numFmtId="0" fontId="10" fillId="0" borderId="18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quotePrefix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0" borderId="0" xfId="0" applyFont="1" applyFill="1" applyBorder="1"/>
    <xf numFmtId="0" fontId="13" fillId="0" borderId="30" xfId="0" applyFont="1" applyFill="1" applyBorder="1"/>
    <xf numFmtId="0" fontId="13" fillId="0" borderId="25" xfId="0" applyFont="1" applyBorder="1"/>
    <xf numFmtId="0" fontId="13" fillId="0" borderId="26" xfId="0" applyFont="1" applyBorder="1"/>
    <xf numFmtId="0" fontId="13" fillId="0" borderId="31" xfId="0" applyFont="1" applyBorder="1"/>
    <xf numFmtId="0" fontId="13" fillId="0" borderId="30" xfId="0" applyFont="1" applyBorder="1"/>
    <xf numFmtId="0" fontId="13" fillId="0" borderId="29" xfId="0" applyFont="1" applyBorder="1"/>
    <xf numFmtId="37" fontId="0" fillId="0" borderId="0" xfId="0" applyNumberFormat="1" applyFill="1" applyBorder="1"/>
    <xf numFmtId="0" fontId="0" fillId="0" borderId="30" xfId="0" applyNumberFormat="1" applyFill="1" applyBorder="1"/>
    <xf numFmtId="173" fontId="0" fillId="0" borderId="25" xfId="0" applyNumberFormat="1" applyBorder="1"/>
    <xf numFmtId="173" fontId="0" fillId="0" borderId="26" xfId="0" applyNumberFormat="1" applyBorder="1"/>
    <xf numFmtId="174" fontId="0" fillId="0" borderId="31" xfId="0" applyNumberFormat="1" applyBorder="1"/>
    <xf numFmtId="173" fontId="0" fillId="0" borderId="30" xfId="0" applyNumberFormat="1" applyBorder="1"/>
    <xf numFmtId="173" fontId="0" fillId="0" borderId="29" xfId="0" applyNumberFormat="1" applyBorder="1"/>
    <xf numFmtId="41" fontId="0" fillId="5" borderId="25" xfId="0" applyNumberFormat="1" applyFill="1" applyBorder="1"/>
    <xf numFmtId="41" fontId="0" fillId="5" borderId="26" xfId="0" applyNumberFormat="1" applyFill="1" applyBorder="1"/>
    <xf numFmtId="37" fontId="0" fillId="5" borderId="0" xfId="0" applyNumberFormat="1" applyFill="1" applyBorder="1"/>
    <xf numFmtId="0" fontId="0" fillId="5" borderId="30" xfId="0" applyNumberFormat="1" applyFill="1" applyBorder="1"/>
    <xf numFmtId="175" fontId="0" fillId="0" borderId="31" xfId="0" applyNumberFormat="1" applyBorder="1"/>
    <xf numFmtId="37" fontId="11" fillId="0" borderId="0" xfId="0" applyNumberFormat="1" applyFont="1" applyFill="1" applyBorder="1"/>
    <xf numFmtId="37" fontId="14" fillId="0" borderId="0" xfId="0" applyNumberFormat="1" applyFont="1" applyFill="1" applyBorder="1"/>
    <xf numFmtId="0" fontId="10" fillId="5" borderId="31" xfId="0" applyNumberFormat="1" applyFont="1" applyFill="1" applyBorder="1"/>
    <xf numFmtId="41" fontId="0" fillId="5" borderId="30" xfId="0" applyNumberFormat="1" applyFill="1" applyBorder="1"/>
    <xf numFmtId="173" fontId="0" fillId="0" borderId="32" xfId="0" applyNumberFormat="1" applyBorder="1"/>
    <xf numFmtId="173" fontId="0" fillId="0" borderId="33" xfId="0" applyNumberFormat="1" applyBorder="1"/>
    <xf numFmtId="175" fontId="0" fillId="0" borderId="34" xfId="0" applyNumberFormat="1" applyFont="1" applyBorder="1"/>
    <xf numFmtId="173" fontId="0" fillId="0" borderId="35" xfId="0" applyNumberFormat="1" applyBorder="1"/>
    <xf numFmtId="173" fontId="0" fillId="0" borderId="36" xfId="0" applyNumberFormat="1" applyBorder="1"/>
    <xf numFmtId="0" fontId="0" fillId="0" borderId="0" xfId="0" applyAlignment="1">
      <alignment horizontal="left" indent="1"/>
    </xf>
    <xf numFmtId="41" fontId="0" fillId="0" borderId="0" xfId="0" applyNumberFormat="1" applyFill="1" applyBorder="1"/>
    <xf numFmtId="41" fontId="0" fillId="0" borderId="30" xfId="0" applyNumberFormat="1" applyFill="1" applyBorder="1"/>
    <xf numFmtId="173" fontId="10" fillId="0" borderId="18" xfId="0" applyNumberFormat="1" applyFont="1" applyBorder="1"/>
    <xf numFmtId="173" fontId="10" fillId="0" borderId="20" xfId="0" applyNumberFormat="1" applyFont="1" applyBorder="1"/>
    <xf numFmtId="41" fontId="0" fillId="0" borderId="37" xfId="0" applyNumberFormat="1" applyBorder="1"/>
    <xf numFmtId="173" fontId="0" fillId="0" borderId="18" xfId="0" applyNumberFormat="1" applyBorder="1"/>
    <xf numFmtId="173" fontId="0" fillId="0" borderId="22" xfId="0" applyNumberFormat="1" applyBorder="1"/>
    <xf numFmtId="173" fontId="10" fillId="0" borderId="38" xfId="0" applyNumberFormat="1" applyFont="1" applyBorder="1"/>
    <xf numFmtId="0" fontId="0" fillId="0" borderId="23" xfId="0" applyBorder="1"/>
    <xf numFmtId="1" fontId="0" fillId="0" borderId="0" xfId="0" applyNumberFormat="1" applyFill="1" applyBorder="1"/>
    <xf numFmtId="0" fontId="0" fillId="0" borderId="29" xfId="0" applyBorder="1"/>
    <xf numFmtId="173" fontId="10" fillId="0" borderId="36" xfId="0" applyNumberFormat="1" applyFont="1" applyBorder="1"/>
    <xf numFmtId="173" fontId="0" fillId="0" borderId="0" xfId="0" applyNumberFormat="1" applyFill="1" applyBorder="1"/>
    <xf numFmtId="17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/>
    <xf numFmtId="173" fontId="0" fillId="0" borderId="0" xfId="0" applyNumberFormat="1" applyBorder="1"/>
    <xf numFmtId="173" fontId="0" fillId="0" borderId="0" xfId="0" applyNumberFormat="1"/>
    <xf numFmtId="41" fontId="0" fillId="0" borderId="0" xfId="0" applyNumberFormat="1" applyBorder="1"/>
    <xf numFmtId="173" fontId="0" fillId="0" borderId="7" xfId="0" applyNumberFormat="1" applyBorder="1"/>
    <xf numFmtId="173" fontId="0" fillId="0" borderId="7" xfId="0" applyNumberFormat="1" applyFill="1" applyBorder="1"/>
    <xf numFmtId="173" fontId="10" fillId="0" borderId="39" xfId="0" applyNumberFormat="1" applyFont="1" applyBorder="1"/>
    <xf numFmtId="41" fontId="0" fillId="0" borderId="7" xfId="0" applyNumberFormat="1" applyBorder="1"/>
    <xf numFmtId="0" fontId="0" fillId="0" borderId="39" xfId="0" applyBorder="1"/>
    <xf numFmtId="41" fontId="0" fillId="0" borderId="39" xfId="0" applyNumberFormat="1" applyBorder="1"/>
    <xf numFmtId="41" fontId="0" fillId="0" borderId="0" xfId="0" applyNumberFormat="1"/>
    <xf numFmtId="173" fontId="0" fillId="0" borderId="7" xfId="0" applyNumberFormat="1" applyFont="1" applyBorder="1"/>
    <xf numFmtId="173" fontId="10" fillId="0" borderId="39" xfId="0" applyNumberFormat="1" applyFont="1" applyFill="1" applyBorder="1"/>
    <xf numFmtId="0" fontId="15" fillId="0" borderId="0" xfId="0" applyFont="1"/>
    <xf numFmtId="177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73" fontId="0" fillId="0" borderId="3" xfId="0" applyNumberFormat="1" applyBorder="1"/>
    <xf numFmtId="173" fontId="0" fillId="0" borderId="2" xfId="0" applyNumberFormat="1" applyBorder="1"/>
    <xf numFmtId="173" fontId="10" fillId="0" borderId="6" xfId="0" applyNumberFormat="1" applyFont="1" applyBorder="1"/>
    <xf numFmtId="173" fontId="10" fillId="0" borderId="1" xfId="0" applyNumberFormat="1" applyFont="1" applyBorder="1"/>
    <xf numFmtId="173" fontId="0" fillId="0" borderId="4" xfId="0" applyNumberFormat="1" applyFont="1" applyBorder="1"/>
    <xf numFmtId="173" fontId="10" fillId="0" borderId="6" xfId="0" applyNumberFormat="1" applyFont="1" applyFill="1" applyBorder="1"/>
    <xf numFmtId="173" fontId="10" fillId="0" borderId="1" xfId="0" applyNumberFormat="1" applyFont="1" applyFill="1" applyBorder="1"/>
    <xf numFmtId="173" fontId="10" fillId="0" borderId="0" xfId="0" applyNumberFormat="1" applyFont="1"/>
    <xf numFmtId="173" fontId="10" fillId="0" borderId="3" xfId="0" applyNumberFormat="1" applyFont="1" applyBorder="1"/>
    <xf numFmtId="0" fontId="1" fillId="0" borderId="0" xfId="0" applyFont="1"/>
    <xf numFmtId="176" fontId="10" fillId="0" borderId="2" xfId="0" applyNumberFormat="1" applyFont="1" applyBorder="1"/>
    <xf numFmtId="164" fontId="1" fillId="0" borderId="0" xfId="0" applyNumberFormat="1" applyFont="1"/>
    <xf numFmtId="9" fontId="0" fillId="0" borderId="9" xfId="3" applyNumberFormat="1" applyFont="1" applyFill="1" applyBorder="1" applyAlignment="1">
      <alignment horizontal="center"/>
    </xf>
    <xf numFmtId="9" fontId="0" fillId="0" borderId="13" xfId="3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zx5dr\AppData\Roaming\Microsoft\AddIns\Resource%20Tool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Resource Tools"/>
    </sheetNames>
    <definedNames>
      <definedName name="powerhoursnew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8"/>
  <sheetViews>
    <sheetView showGridLines="0" tabSelected="1" zoomScaleNormal="100" workbookViewId="0">
      <selection activeCell="F19" sqref="F19"/>
    </sheetView>
  </sheetViews>
  <sheetFormatPr defaultRowHeight="12.75"/>
  <cols>
    <col min="3" max="3" width="3.7109375" customWidth="1"/>
    <col min="4" max="4" width="60.42578125" customWidth="1"/>
    <col min="5" max="5" width="2.7109375" customWidth="1"/>
    <col min="6" max="6" width="14.42578125" bestFit="1" customWidth="1"/>
    <col min="8" max="8" width="49.28515625" customWidth="1"/>
  </cols>
  <sheetData>
    <row r="1" spans="3:6" ht="13.5" thickBot="1"/>
    <row r="2" spans="3:6">
      <c r="C2" s="85"/>
      <c r="D2" s="192" t="s">
        <v>81</v>
      </c>
      <c r="E2" s="192"/>
      <c r="F2" s="193"/>
    </row>
    <row r="3" spans="3:6">
      <c r="C3" s="86"/>
      <c r="D3" s="194" t="s">
        <v>170</v>
      </c>
      <c r="E3" s="194"/>
      <c r="F3" s="195"/>
    </row>
    <row r="4" spans="3:6">
      <c r="C4" s="22"/>
      <c r="D4" s="7"/>
      <c r="E4" s="7"/>
      <c r="F4" s="23"/>
    </row>
    <row r="5" spans="3:6">
      <c r="C5" s="87">
        <v>1</v>
      </c>
      <c r="D5" s="7" t="s">
        <v>38</v>
      </c>
      <c r="E5" s="7"/>
      <c r="F5" s="24">
        <f>'Mon Variance'!B69</f>
        <v>-2260605.7849758849</v>
      </c>
    </row>
    <row r="6" spans="3:6" ht="6.75" customHeight="1">
      <c r="C6" s="87"/>
      <c r="D6" s="7"/>
      <c r="E6" s="7"/>
      <c r="F6" s="24"/>
    </row>
    <row r="7" spans="3:6">
      <c r="C7" s="87">
        <v>2</v>
      </c>
      <c r="D7" s="84" t="s">
        <v>171</v>
      </c>
      <c r="E7" s="7"/>
      <c r="F7" s="24">
        <f>'Mon Variance'!B73</f>
        <v>-14637079.177838949</v>
      </c>
    </row>
    <row r="8" spans="3:6" ht="6.75" customHeight="1">
      <c r="C8" s="87"/>
      <c r="D8" s="7"/>
      <c r="E8" s="7"/>
      <c r="F8" s="24"/>
    </row>
    <row r="9" spans="3:6" ht="12.75" customHeight="1">
      <c r="C9" s="87">
        <v>3</v>
      </c>
      <c r="D9" s="7" t="s">
        <v>98</v>
      </c>
      <c r="E9" s="7"/>
      <c r="F9" s="24">
        <f>'Mon Variance'!B71+'Mon Variance'!B72</f>
        <v>-369856.59117625945</v>
      </c>
    </row>
    <row r="10" spans="3:6" ht="6.75" customHeight="1">
      <c r="C10" s="87"/>
      <c r="D10" s="7"/>
      <c r="E10" s="7"/>
      <c r="F10" s="24"/>
    </row>
    <row r="11" spans="3:6" ht="12.75" customHeight="1">
      <c r="C11" s="87">
        <v>4</v>
      </c>
      <c r="D11" s="7" t="s">
        <v>172</v>
      </c>
      <c r="E11" s="7"/>
      <c r="F11" s="24">
        <f>'Mon Variance'!B65</f>
        <v>2003935.7215146369</v>
      </c>
    </row>
    <row r="12" spans="3:6" ht="6.75" customHeight="1">
      <c r="C12" s="87"/>
      <c r="D12" s="7"/>
      <c r="E12" s="7"/>
      <c r="F12" s="24"/>
    </row>
    <row r="13" spans="3:6" ht="12.75" customHeight="1">
      <c r="C13" s="87">
        <v>5</v>
      </c>
      <c r="D13" s="7" t="s">
        <v>70</v>
      </c>
      <c r="E13" s="7"/>
      <c r="F13" s="24">
        <f>'Mon Variance'!B75</f>
        <v>-1799355.6793558719</v>
      </c>
    </row>
    <row r="14" spans="3:6" ht="6" customHeight="1">
      <c r="C14" s="87"/>
      <c r="D14" s="7"/>
      <c r="E14" s="7"/>
      <c r="F14" s="24"/>
    </row>
    <row r="15" spans="3:6" ht="12.75" customHeight="1">
      <c r="C15" s="87">
        <v>6</v>
      </c>
      <c r="D15" s="7" t="s">
        <v>173</v>
      </c>
      <c r="E15" s="7"/>
      <c r="F15" s="24">
        <f>'Mon Variance'!B70</f>
        <v>722430.49806669017</v>
      </c>
    </row>
    <row r="16" spans="3:6" ht="7.15" customHeight="1">
      <c r="C16" s="87"/>
      <c r="D16" s="7"/>
      <c r="E16" s="7"/>
      <c r="F16" s="24"/>
    </row>
    <row r="17" spans="3:10" ht="12.75" customHeight="1">
      <c r="C17" s="87">
        <v>7</v>
      </c>
      <c r="D17" s="7" t="s">
        <v>86</v>
      </c>
      <c r="E17" s="7"/>
      <c r="F17" s="24">
        <f>'Mon Variance'!B68</f>
        <v>2530205.6050568651</v>
      </c>
    </row>
    <row r="18" spans="3:10" ht="4.9000000000000004" customHeight="1">
      <c r="C18" s="87"/>
      <c r="D18" s="7"/>
      <c r="E18" s="7"/>
      <c r="F18" s="24"/>
    </row>
    <row r="19" spans="3:10" ht="12" customHeight="1">
      <c r="C19" s="88">
        <v>8</v>
      </c>
      <c r="D19" s="21" t="s">
        <v>174</v>
      </c>
      <c r="E19" s="21"/>
      <c r="F19" s="60">
        <f>'Mon Variance'!B74++'Mon Variance'!B76-'Mon Variance'!B77</f>
        <v>-1733942.4934887984</v>
      </c>
    </row>
    <row r="20" spans="3:10" ht="6.75" customHeight="1">
      <c r="C20" s="22"/>
      <c r="D20" s="7"/>
      <c r="E20" s="7"/>
      <c r="F20" s="24"/>
    </row>
    <row r="21" spans="3:10" ht="13.5" thickBot="1">
      <c r="C21" s="25"/>
      <c r="D21" s="26" t="s">
        <v>85</v>
      </c>
      <c r="E21" s="26"/>
      <c r="F21" s="27">
        <f>SUM(F5:F20)</f>
        <v>-15544267.902197573</v>
      </c>
    </row>
    <row r="23" spans="3:10" ht="13.5" thickBot="1"/>
    <row r="24" spans="3:10">
      <c r="D24" t="s">
        <v>96</v>
      </c>
      <c r="H24" s="190" t="s">
        <v>99</v>
      </c>
      <c r="I24" s="196"/>
      <c r="J24" s="191"/>
    </row>
    <row r="25" spans="3:10">
      <c r="D25" t="s">
        <v>178</v>
      </c>
      <c r="H25" s="56"/>
      <c r="I25" s="57"/>
      <c r="J25" s="58"/>
    </row>
    <row r="26" spans="3:10">
      <c r="D26" t="s">
        <v>181</v>
      </c>
      <c r="H26" s="38"/>
      <c r="I26" s="42" t="s">
        <v>41</v>
      </c>
      <c r="J26" s="43" t="s">
        <v>41</v>
      </c>
    </row>
    <row r="27" spans="3:10" ht="13.5" customHeight="1">
      <c r="D27" t="s">
        <v>175</v>
      </c>
      <c r="F27" s="4"/>
      <c r="H27" s="22"/>
      <c r="I27" s="41" t="s">
        <v>39</v>
      </c>
      <c r="J27" s="44" t="s">
        <v>42</v>
      </c>
    </row>
    <row r="28" spans="3:10" ht="13.5" customHeight="1">
      <c r="D28" t="s">
        <v>176</v>
      </c>
      <c r="F28" s="4"/>
      <c r="H28" s="22"/>
      <c r="I28" s="41"/>
      <c r="J28" s="44"/>
    </row>
    <row r="29" spans="3:10">
      <c r="D29" t="s">
        <v>97</v>
      </c>
      <c r="F29" s="4"/>
      <c r="H29" s="22" t="s">
        <v>38</v>
      </c>
      <c r="I29" s="39">
        <f>Calculation!B106</f>
        <v>21.223782996386163</v>
      </c>
      <c r="J29" s="46">
        <f>Calculation!B107</f>
        <v>3.8766948193345682E-2</v>
      </c>
    </row>
    <row r="30" spans="3:10">
      <c r="D30" t="s">
        <v>177</v>
      </c>
      <c r="F30" s="4"/>
      <c r="H30" s="22"/>
      <c r="I30" s="39"/>
      <c r="J30" s="45"/>
    </row>
    <row r="31" spans="3:10">
      <c r="D31" t="s">
        <v>179</v>
      </c>
      <c r="F31" s="4"/>
      <c r="H31" s="22" t="s">
        <v>40</v>
      </c>
      <c r="I31" s="39">
        <f>Calculation!B42</f>
        <v>-21.601845085861619</v>
      </c>
      <c r="J31" s="46">
        <f>Calculation!B41/Calculation!B39</f>
        <v>-5.7705256003422814E-2</v>
      </c>
    </row>
    <row r="32" spans="3:10">
      <c r="D32" t="s">
        <v>180</v>
      </c>
      <c r="F32" s="4"/>
      <c r="H32" s="22"/>
      <c r="I32" s="39"/>
      <c r="J32" s="45"/>
    </row>
    <row r="33" spans="6:10">
      <c r="F33" s="4"/>
      <c r="H33" s="22" t="s">
        <v>95</v>
      </c>
      <c r="I33" s="39">
        <f>Calculation!B58</f>
        <v>-6.7882384362067869</v>
      </c>
      <c r="J33" s="46">
        <f>Calculation!B57/Calculation!B55</f>
        <v>-4.1052735851296027E-2</v>
      </c>
    </row>
    <row r="34" spans="6:10">
      <c r="F34" s="4"/>
      <c r="H34" s="22"/>
      <c r="I34" s="39"/>
      <c r="J34" s="45"/>
    </row>
    <row r="35" spans="6:10" ht="13.5" thickBot="1">
      <c r="F35" s="4"/>
      <c r="H35" s="70" t="s">
        <v>73</v>
      </c>
      <c r="I35" s="47">
        <f>Calculation!B115</f>
        <v>13.790097031963469</v>
      </c>
      <c r="J35" s="48">
        <f>Calculation!B114/Calculation!B112</f>
        <v>1.3052106565781842E-2</v>
      </c>
    </row>
    <row r="38" spans="6:10" ht="13.5" thickBot="1"/>
    <row r="39" spans="6:10">
      <c r="H39" s="190" t="s">
        <v>169</v>
      </c>
      <c r="I39" s="191"/>
      <c r="J39" s="50"/>
    </row>
    <row r="40" spans="6:10">
      <c r="H40" s="51"/>
      <c r="I40" s="52"/>
      <c r="J40" s="50"/>
    </row>
    <row r="41" spans="6:10">
      <c r="H41" s="22"/>
      <c r="I41" s="53"/>
      <c r="J41" s="40"/>
    </row>
    <row r="42" spans="6:10">
      <c r="H42" s="59" t="s">
        <v>10</v>
      </c>
      <c r="I42" s="188">
        <v>0.82</v>
      </c>
      <c r="J42" s="49"/>
    </row>
    <row r="43" spans="6:10">
      <c r="H43" s="22"/>
      <c r="I43" s="46"/>
      <c r="J43" s="40"/>
    </row>
    <row r="44" spans="6:10">
      <c r="H44" s="22" t="s">
        <v>43</v>
      </c>
      <c r="I44" s="188">
        <v>0.82</v>
      </c>
      <c r="J44" s="49"/>
    </row>
    <row r="45" spans="6:10">
      <c r="H45" s="22"/>
      <c r="I45" s="46"/>
      <c r="J45" s="49"/>
    </row>
    <row r="46" spans="6:10">
      <c r="H46" s="22" t="s">
        <v>15</v>
      </c>
      <c r="I46" s="188">
        <v>0.85</v>
      </c>
      <c r="J46" s="49"/>
    </row>
    <row r="47" spans="6:10">
      <c r="H47" s="22"/>
      <c r="I47" s="46"/>
      <c r="J47" s="40"/>
    </row>
    <row r="48" spans="6:10" ht="13.5" thickBot="1">
      <c r="H48" s="25" t="s">
        <v>71</v>
      </c>
      <c r="I48" s="189">
        <v>0.95</v>
      </c>
      <c r="J48" s="49"/>
    </row>
  </sheetData>
  <mergeCells count="4">
    <mergeCell ref="H39:I39"/>
    <mergeCell ref="D2:F2"/>
    <mergeCell ref="D3:F3"/>
    <mergeCell ref="H24:J2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opLeftCell="A64" zoomScaleNormal="100" workbookViewId="0">
      <selection activeCell="B71" sqref="B71:B72"/>
    </sheetView>
  </sheetViews>
  <sheetFormatPr defaultRowHeight="12.75"/>
  <cols>
    <col min="1" max="1" width="19.5703125" customWidth="1"/>
    <col min="2" max="2" width="14.7109375" customWidth="1"/>
    <col min="3" max="3" width="13.7109375" bestFit="1" customWidth="1"/>
    <col min="4" max="4" width="13.5703125" customWidth="1"/>
    <col min="5" max="5" width="12.28515625" customWidth="1"/>
    <col min="6" max="7" width="14.7109375" bestFit="1" customWidth="1"/>
    <col min="8" max="8" width="13.28515625" bestFit="1" customWidth="1"/>
    <col min="9" max="11" width="14.7109375" bestFit="1" customWidth="1"/>
    <col min="12" max="12" width="14.140625" bestFit="1" customWidth="1"/>
    <col min="13" max="13" width="14.7109375" bestFit="1" customWidth="1"/>
    <col min="14" max="14" width="14.140625" bestFit="1" customWidth="1"/>
    <col min="15" max="15" width="13.28515625" customWidth="1"/>
    <col min="17" max="17" width="14.7109375" customWidth="1"/>
    <col min="18" max="30" width="6.7109375" customWidth="1"/>
  </cols>
  <sheetData>
    <row r="1" spans="1:30" ht="15">
      <c r="C1" s="157">
        <v>43101</v>
      </c>
      <c r="D1" s="157">
        <v>43132</v>
      </c>
      <c r="E1" s="157">
        <v>43160</v>
      </c>
      <c r="F1" s="157">
        <v>43191</v>
      </c>
      <c r="G1" s="157">
        <v>43221</v>
      </c>
      <c r="H1" s="157">
        <v>43252</v>
      </c>
      <c r="I1" s="157">
        <v>43282</v>
      </c>
      <c r="J1" s="157">
        <v>43313</v>
      </c>
      <c r="K1" s="157">
        <v>43344</v>
      </c>
      <c r="L1" s="157">
        <v>43374</v>
      </c>
      <c r="M1" s="157">
        <v>43405</v>
      </c>
      <c r="N1" s="157">
        <v>43435</v>
      </c>
      <c r="O1" s="158" t="s">
        <v>2</v>
      </c>
      <c r="R1" s="159" t="e">
        <f ca="1">[1]!powerhoursnew("FL", C1, EOMONTH(C1, 0))</f>
        <v>#NAME?</v>
      </c>
      <c r="S1" s="159" t="e">
        <f ca="1">[1]!powerhoursnew("FL", D1, EOMONTH(D1, 0))</f>
        <v>#NAME?</v>
      </c>
      <c r="T1" s="159" t="e">
        <f ca="1">[1]!powerhoursnew("FL", E1, EOMONTH(E1, 0))</f>
        <v>#NAME?</v>
      </c>
      <c r="U1" s="159" t="e">
        <f ca="1">[1]!powerhoursnew("FL", F1, EOMONTH(F1, 0))</f>
        <v>#NAME?</v>
      </c>
      <c r="V1" s="159" t="e">
        <f ca="1">[1]!powerhoursnew("FL", G1, EOMONTH(G1, 0))</f>
        <v>#NAME?</v>
      </c>
      <c r="W1" s="159" t="e">
        <f ca="1">[1]!powerhoursnew("FL", H1, EOMONTH(H1, 0))</f>
        <v>#NAME?</v>
      </c>
      <c r="X1" s="159" t="e">
        <f ca="1">[1]!powerhoursnew("FL", I1, EOMONTH(I1, 0))</f>
        <v>#NAME?</v>
      </c>
      <c r="Y1" s="159" t="e">
        <f ca="1">[1]!powerhoursnew("FL", J1, EOMONTH(J1, 0))</f>
        <v>#NAME?</v>
      </c>
      <c r="Z1" s="159" t="e">
        <f ca="1">[1]!powerhoursnew("FL", K1, EOMONTH(K1, 0))</f>
        <v>#NAME?</v>
      </c>
      <c r="AA1" s="159" t="e">
        <f ca="1">[1]!powerhoursnew("FL", L1, EOMONTH(L1, 0))</f>
        <v>#NAME?</v>
      </c>
      <c r="AB1" s="159" t="e">
        <f ca="1">[1]!powerhoursnew("FL", M1, EOMONTH(M1, 0))</f>
        <v>#NAME?</v>
      </c>
      <c r="AC1" s="159" t="e">
        <f ca="1">[1]!powerhoursnew("FL", N1, EOMONTH(N1, 0))</f>
        <v>#NAME?</v>
      </c>
      <c r="AD1" s="160" t="e">
        <f ca="1">SUM(R1:AC1)</f>
        <v>#NAME?</v>
      </c>
    </row>
    <row r="2" spans="1:30">
      <c r="A2" t="s">
        <v>137</v>
      </c>
      <c r="C2" s="161">
        <v>1460111.6749726669</v>
      </c>
      <c r="D2" s="161">
        <v>3636091.0243110233</v>
      </c>
      <c r="E2" s="161">
        <v>5705943.2267768066</v>
      </c>
      <c r="F2" s="161">
        <v>8106768.2512978213</v>
      </c>
      <c r="G2" s="161">
        <v>8095103.6346896635</v>
      </c>
      <c r="H2" s="161">
        <v>7283939.7566759298</v>
      </c>
      <c r="I2" s="161">
        <v>9674559.0865937993</v>
      </c>
      <c r="J2" s="161">
        <v>8896323.8937961422</v>
      </c>
      <c r="K2" s="156">
        <v>9518515.9138251431</v>
      </c>
      <c r="L2" s="161">
        <v>7351212.8344185548</v>
      </c>
      <c r="M2" s="161">
        <v>5885410.633346119</v>
      </c>
      <c r="N2" s="161">
        <v>3174539.4153018007</v>
      </c>
      <c r="O2" s="162">
        <f>SUM(C2:N2)</f>
        <v>78788519.34600547</v>
      </c>
      <c r="Q2" t="s">
        <v>137</v>
      </c>
      <c r="R2" s="163">
        <v>-122125.74279466466</v>
      </c>
      <c r="S2" s="163">
        <v>-151022.51603027602</v>
      </c>
      <c r="T2" s="163">
        <v>-359963.84906607313</v>
      </c>
      <c r="U2" s="163">
        <v>-494919.18814045796</v>
      </c>
      <c r="V2" s="163">
        <v>-509131.51765678998</v>
      </c>
      <c r="W2" s="163">
        <v>-554572.19155194447</v>
      </c>
      <c r="X2" s="163">
        <v>-572108.6635249774</v>
      </c>
      <c r="Y2" s="163">
        <v>-545488.79216360487</v>
      </c>
      <c r="Z2" s="163">
        <v>-505852.79298480076</v>
      </c>
      <c r="AA2" s="163">
        <v>-380617.15154430806</v>
      </c>
      <c r="AB2" s="163">
        <v>-428504.64312762523</v>
      </c>
      <c r="AC2" s="163">
        <v>-254988.59331685331</v>
      </c>
      <c r="AD2" s="163"/>
    </row>
    <row r="3" spans="1:30">
      <c r="A3" t="s">
        <v>138</v>
      </c>
      <c r="C3" s="161">
        <v>-787504.03881830862</v>
      </c>
      <c r="D3" s="161">
        <v>-122074.50121680438</v>
      </c>
      <c r="E3" s="161">
        <v>-111668.63247089149</v>
      </c>
      <c r="F3" s="161">
        <v>94156.537895713671</v>
      </c>
      <c r="G3" s="161">
        <v>135947.81332374093</v>
      </c>
      <c r="H3" s="161">
        <v>21703.50607039599</v>
      </c>
      <c r="I3" s="161">
        <v>769438.47892507154</v>
      </c>
      <c r="J3" s="161">
        <v>4239966.6130893528</v>
      </c>
      <c r="K3" s="156">
        <v>3787271.8158026044</v>
      </c>
      <c r="L3" s="161">
        <v>3418925.6370488899</v>
      </c>
      <c r="M3" s="161">
        <v>3122112.843264652</v>
      </c>
      <c r="N3" s="161">
        <v>1834313.1016939022</v>
      </c>
      <c r="O3" s="162">
        <f t="shared" ref="O3:O28" si="0">SUM(C3:N3)</f>
        <v>16402589.174608318</v>
      </c>
      <c r="Q3" t="s">
        <v>138</v>
      </c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30">
      <c r="A4" t="s">
        <v>118</v>
      </c>
      <c r="C4" s="161">
        <v>-739930.68768513121</v>
      </c>
      <c r="D4" s="161">
        <v>-2221616.6875604857</v>
      </c>
      <c r="E4" s="161">
        <v>-3528528.2529593781</v>
      </c>
      <c r="F4" s="161">
        <v>-4651570.1354004508</v>
      </c>
      <c r="G4" s="161">
        <v>-5285111.0806507636</v>
      </c>
      <c r="H4" s="161">
        <v>-5176236.9398637814</v>
      </c>
      <c r="I4" s="161">
        <v>-5579893.1744439313</v>
      </c>
      <c r="J4" s="161">
        <v>-6467290.3675067006</v>
      </c>
      <c r="K4" s="156">
        <v>-5925587.681850533</v>
      </c>
      <c r="L4" s="161">
        <v>-5897626.4238506071</v>
      </c>
      <c r="M4" s="161">
        <v>-5851712.2932584547</v>
      </c>
      <c r="N4" s="161">
        <v>-5369890.7970392387</v>
      </c>
      <c r="O4" s="162">
        <f t="shared" si="0"/>
        <v>-56694994.522069454</v>
      </c>
      <c r="Q4" t="s">
        <v>118</v>
      </c>
      <c r="R4" s="163">
        <v>21874.234766786496</v>
      </c>
      <c r="S4" s="163">
        <v>74937.924137056776</v>
      </c>
      <c r="T4" s="163">
        <v>135889.44997885177</v>
      </c>
      <c r="U4" s="163">
        <v>197494.96297342761</v>
      </c>
      <c r="V4" s="163">
        <v>224247.52891695552</v>
      </c>
      <c r="W4" s="163">
        <v>200178.99001905136</v>
      </c>
      <c r="X4" s="163">
        <v>203794.32451053258</v>
      </c>
      <c r="Y4" s="163">
        <v>200258.23522387602</v>
      </c>
      <c r="Z4" s="163">
        <v>177403.92280829116</v>
      </c>
      <c r="AA4" s="163">
        <v>174502.17800469213</v>
      </c>
      <c r="AB4" s="163">
        <v>169117.61595466355</v>
      </c>
      <c r="AC4" s="163">
        <v>154119.28997824487</v>
      </c>
      <c r="AD4" s="163"/>
    </row>
    <row r="5" spans="1:30">
      <c r="A5" t="s">
        <v>119</v>
      </c>
      <c r="C5" s="161">
        <v>-240849.98963394179</v>
      </c>
      <c r="D5" s="161">
        <v>-914733.98332214297</v>
      </c>
      <c r="E5" s="161">
        <v>-1562056.6859577645</v>
      </c>
      <c r="F5" s="161">
        <v>-2107104.5830229265</v>
      </c>
      <c r="G5" s="161">
        <v>-2090743.1289839249</v>
      </c>
      <c r="H5" s="161">
        <v>-2330947.8908859706</v>
      </c>
      <c r="I5" s="161">
        <v>-2297102.220908687</v>
      </c>
      <c r="J5" s="161">
        <v>-2450049.9466315005</v>
      </c>
      <c r="K5" s="156">
        <v>-2033254.9822149011</v>
      </c>
      <c r="L5" s="161">
        <v>-1766964.6520774579</v>
      </c>
      <c r="M5" s="161">
        <v>-1424444.2678308222</v>
      </c>
      <c r="N5" s="161">
        <v>-867390.08289386984</v>
      </c>
      <c r="O5" s="162">
        <f t="shared" si="0"/>
        <v>-20085642.41436391</v>
      </c>
      <c r="Q5" t="s">
        <v>119</v>
      </c>
      <c r="R5" s="163">
        <v>6856.480591773885</v>
      </c>
      <c r="S5" s="163">
        <v>33953.48426890358</v>
      </c>
      <c r="T5" s="163">
        <v>64066.839730143409</v>
      </c>
      <c r="U5" s="163">
        <v>97580.016054320222</v>
      </c>
      <c r="V5" s="163">
        <v>104675.40513884999</v>
      </c>
      <c r="W5" s="163">
        <v>127110.19297063323</v>
      </c>
      <c r="X5" s="163">
        <v>128225.91218345125</v>
      </c>
      <c r="Y5" s="163">
        <v>120453.45940422974</v>
      </c>
      <c r="Z5" s="163">
        <v>104074.56227416957</v>
      </c>
      <c r="AA5" s="163">
        <v>96913.500852226847</v>
      </c>
      <c r="AB5" s="163">
        <v>87978.130703711184</v>
      </c>
      <c r="AC5" s="163">
        <v>73670.207037663175</v>
      </c>
      <c r="AD5" s="163"/>
    </row>
    <row r="6" spans="1:30">
      <c r="A6" t="s">
        <v>139</v>
      </c>
      <c r="C6" s="161">
        <v>-89937.350823892833</v>
      </c>
      <c r="D6" s="161">
        <v>-111470.55568776443</v>
      </c>
      <c r="E6" s="161">
        <v>-163751.40868037357</v>
      </c>
      <c r="F6" s="161">
        <v>-147957.40032215728</v>
      </c>
      <c r="G6" s="161">
        <v>-89432.251692903184</v>
      </c>
      <c r="H6" s="161">
        <v>-87057.570861672008</v>
      </c>
      <c r="I6" s="161">
        <v>265858.98127503827</v>
      </c>
      <c r="J6" s="161">
        <v>388190.56420702318</v>
      </c>
      <c r="K6" s="156">
        <v>647080.88120489998</v>
      </c>
      <c r="L6" s="161">
        <v>1032000.3859121504</v>
      </c>
      <c r="M6" s="161">
        <v>1196431.2743389446</v>
      </c>
      <c r="N6" s="161">
        <v>1120634.2253679757</v>
      </c>
      <c r="O6" s="162">
        <f t="shared" si="0"/>
        <v>3960589.7742372686</v>
      </c>
      <c r="Q6" t="s">
        <v>139</v>
      </c>
      <c r="R6" s="163">
        <v>4264.8824117941622</v>
      </c>
      <c r="S6" s="163">
        <v>4431.7025584800067</v>
      </c>
      <c r="T6" s="163">
        <v>7190.5477801425077</v>
      </c>
      <c r="U6" s="163">
        <v>6165.9768891854328</v>
      </c>
      <c r="V6" s="163">
        <v>2432.3982937289838</v>
      </c>
      <c r="W6" s="163">
        <v>2978.6186240865791</v>
      </c>
      <c r="X6" s="163">
        <v>-3057.7341204756049</v>
      </c>
      <c r="Y6" s="163">
        <v>-6037.8061120735874</v>
      </c>
      <c r="Z6" s="163">
        <v>-15779.147069396291</v>
      </c>
      <c r="AA6" s="163">
        <v>-25511.151415068722</v>
      </c>
      <c r="AB6" s="163">
        <v>-27595.556699957753</v>
      </c>
      <c r="AC6" s="163">
        <v>-25041.381944038778</v>
      </c>
      <c r="AD6" s="163"/>
    </row>
    <row r="7" spans="1:30">
      <c r="A7" t="s">
        <v>140</v>
      </c>
      <c r="C7" s="161">
        <v>-188038.4259398877</v>
      </c>
      <c r="D7" s="161">
        <v>-388618.30737767823</v>
      </c>
      <c r="E7" s="161">
        <v>-704461.5440383862</v>
      </c>
      <c r="F7" s="161">
        <v>-688979.05545687187</v>
      </c>
      <c r="G7" s="161">
        <v>-572100.51394873124</v>
      </c>
      <c r="H7" s="161">
        <v>-454058.16853037343</v>
      </c>
      <c r="I7" s="161">
        <v>767594.54714382207</v>
      </c>
      <c r="J7" s="161">
        <v>1188012.6379723896</v>
      </c>
      <c r="K7" s="156">
        <v>1179169.2506078533</v>
      </c>
      <c r="L7" s="161">
        <v>1163523.0968811703</v>
      </c>
      <c r="M7" s="161">
        <v>1003268.2363990318</v>
      </c>
      <c r="N7" s="161">
        <v>779547.71553873562</v>
      </c>
      <c r="O7" s="162">
        <f t="shared" si="0"/>
        <v>3084859.4692510739</v>
      </c>
      <c r="Q7" t="s">
        <v>140</v>
      </c>
      <c r="R7" s="163">
        <v>9283.6724366426351</v>
      </c>
      <c r="S7" s="163">
        <v>21292.731296125006</v>
      </c>
      <c r="T7" s="163">
        <v>38712.49494982545</v>
      </c>
      <c r="U7" s="163">
        <v>37587.687000282349</v>
      </c>
      <c r="V7" s="163">
        <v>27932.888448082369</v>
      </c>
      <c r="W7" s="163">
        <v>17522.057693993025</v>
      </c>
      <c r="X7" s="163">
        <v>-16067.728725662666</v>
      </c>
      <c r="Y7" s="163">
        <v>-28355.25724256914</v>
      </c>
      <c r="Z7" s="163">
        <v>-28342.687642732169</v>
      </c>
      <c r="AA7" s="163">
        <v>-29275.871578698469</v>
      </c>
      <c r="AB7" s="163">
        <v>-24814.998131307053</v>
      </c>
      <c r="AC7" s="163">
        <v>-18636.038639690538</v>
      </c>
      <c r="AD7" s="163"/>
    </row>
    <row r="8" spans="1:30">
      <c r="A8" t="s">
        <v>141</v>
      </c>
      <c r="C8" s="161">
        <v>-637016.79356320342</v>
      </c>
      <c r="D8" s="161">
        <v>-860823.21713862813</v>
      </c>
      <c r="E8" s="161">
        <v>-954381.7840358325</v>
      </c>
      <c r="F8" s="161">
        <v>-801113.62877799012</v>
      </c>
      <c r="G8" s="161">
        <v>-661531.35552790388</v>
      </c>
      <c r="H8" s="161">
        <v>-590082.91212030675</v>
      </c>
      <c r="I8" s="161">
        <v>-347428.01174266904</v>
      </c>
      <c r="J8" s="161">
        <v>-42207.755896242568</v>
      </c>
      <c r="K8" s="156">
        <v>205560.00550067172</v>
      </c>
      <c r="L8" s="161">
        <v>723141.56239301816</v>
      </c>
      <c r="M8" s="161">
        <v>688965.02113067091</v>
      </c>
      <c r="N8" s="161">
        <v>767568.46897271508</v>
      </c>
      <c r="O8" s="162">
        <f t="shared" si="0"/>
        <v>-2509350.400805701</v>
      </c>
      <c r="Q8" t="s">
        <v>141</v>
      </c>
      <c r="R8" s="163">
        <v>10000.631640964784</v>
      </c>
      <c r="S8" s="163">
        <v>33823.253267401407</v>
      </c>
      <c r="T8" s="163">
        <v>48849.375360906066</v>
      </c>
      <c r="U8" s="163">
        <v>60319.248514878753</v>
      </c>
      <c r="V8" s="163">
        <v>45342.617391967782</v>
      </c>
      <c r="W8" s="163">
        <v>38409.027874279112</v>
      </c>
      <c r="X8" s="163">
        <v>28645.931917536334</v>
      </c>
      <c r="Y8" s="163">
        <v>19693.72764180899</v>
      </c>
      <c r="Z8" s="163">
        <v>12020.368845644625</v>
      </c>
      <c r="AA8" s="163">
        <v>-1716.5491891056008</v>
      </c>
      <c r="AB8" s="163">
        <v>-3093.6592284827057</v>
      </c>
      <c r="AC8" s="163">
        <v>-17053.517403474267</v>
      </c>
      <c r="AD8" s="163"/>
    </row>
    <row r="9" spans="1:30">
      <c r="A9" t="s">
        <v>142</v>
      </c>
      <c r="C9" s="161">
        <v>145898.68420219375</v>
      </c>
      <c r="D9" s="161">
        <v>538477.05524024938</v>
      </c>
      <c r="E9" s="161">
        <v>603539.74754886609</v>
      </c>
      <c r="F9" s="161">
        <v>830693.96036510437</v>
      </c>
      <c r="G9" s="161">
        <v>457814.80861721048</v>
      </c>
      <c r="H9" s="161">
        <v>674939.18917980138</v>
      </c>
      <c r="I9" s="161">
        <v>776854.21530160902</v>
      </c>
      <c r="J9" s="161">
        <v>1055796.6109095574</v>
      </c>
      <c r="K9" s="156">
        <v>1001762.1260878566</v>
      </c>
      <c r="L9" s="161">
        <v>864404.85730466922</v>
      </c>
      <c r="M9" s="161">
        <v>1018993.8266329776</v>
      </c>
      <c r="N9" s="161">
        <v>1111978.6649359718</v>
      </c>
      <c r="O9" s="162">
        <f t="shared" si="0"/>
        <v>9081153.7463260666</v>
      </c>
      <c r="Q9" t="s">
        <v>142</v>
      </c>
      <c r="R9" s="163">
        <v>2.4368705749511719</v>
      </c>
      <c r="S9" s="163">
        <v>5317.010871887207</v>
      </c>
      <c r="T9" s="163">
        <v>3768.1883735656738</v>
      </c>
      <c r="U9" s="163">
        <v>6383.1981010437012</v>
      </c>
      <c r="V9" s="163">
        <v>-1615.977029800415</v>
      </c>
      <c r="W9" s="163">
        <v>1639.1908435821533</v>
      </c>
      <c r="X9" s="163">
        <v>-27.504473686218262</v>
      </c>
      <c r="Y9" s="163">
        <v>1956.3601751327515</v>
      </c>
      <c r="Z9" s="163">
        <v>-875.40177249908447</v>
      </c>
      <c r="AA9" s="163">
        <v>-9503.2298707962036</v>
      </c>
      <c r="AB9" s="163">
        <v>-15003.385762214661</v>
      </c>
      <c r="AC9" s="163">
        <v>-23480.800446510315</v>
      </c>
      <c r="AD9" s="163"/>
    </row>
    <row r="10" spans="1:30">
      <c r="A10" t="s">
        <v>143</v>
      </c>
      <c r="C10" s="161">
        <v>-163079.01017762214</v>
      </c>
      <c r="D10" s="161">
        <v>-245917.06055493274</v>
      </c>
      <c r="E10" s="161">
        <v>-292138.25052460993</v>
      </c>
      <c r="F10" s="161">
        <v>-291528.03151935071</v>
      </c>
      <c r="G10" s="161">
        <v>-368218.7364278693</v>
      </c>
      <c r="H10" s="161">
        <v>-300671.26617659011</v>
      </c>
      <c r="I10" s="161">
        <v>-481872.23141826445</v>
      </c>
      <c r="J10" s="161">
        <v>-625286.41649968899</v>
      </c>
      <c r="K10" s="156">
        <v>-579577.56495801092</v>
      </c>
      <c r="L10" s="161">
        <v>-727283.41997758264</v>
      </c>
      <c r="M10" s="161">
        <v>-813173.84286635078</v>
      </c>
      <c r="N10" s="161">
        <v>-884565.12824393914</v>
      </c>
      <c r="O10" s="162">
        <f t="shared" si="0"/>
        <v>-5773310.9593448117</v>
      </c>
      <c r="Q10" t="s">
        <v>143</v>
      </c>
      <c r="R10" s="163">
        <v>10861.048978459814</v>
      </c>
      <c r="S10" s="163">
        <v>15461.903628396951</v>
      </c>
      <c r="T10" s="163">
        <v>31888.477027666508</v>
      </c>
      <c r="U10" s="163">
        <v>42416.399416828077</v>
      </c>
      <c r="V10" s="163">
        <v>29995.353845524718</v>
      </c>
      <c r="W10" s="163">
        <v>37891.911364708023</v>
      </c>
      <c r="X10" s="163">
        <v>52622.249213633593</v>
      </c>
      <c r="Y10" s="163">
        <v>61295.110937235382</v>
      </c>
      <c r="Z10" s="163">
        <v>64530.802731082469</v>
      </c>
      <c r="AA10" s="163">
        <v>69566.415594337013</v>
      </c>
      <c r="AB10" s="163">
        <v>73139.941626153101</v>
      </c>
      <c r="AC10" s="163">
        <v>75000.683201716049</v>
      </c>
      <c r="AD10" s="163"/>
    </row>
    <row r="11" spans="1:30">
      <c r="A11" t="s">
        <v>10</v>
      </c>
      <c r="C11" s="161">
        <v>-207708.98248772963</v>
      </c>
      <c r="D11" s="161">
        <v>-1387952.8680964313</v>
      </c>
      <c r="E11" s="161">
        <v>-1567415.5697198864</v>
      </c>
      <c r="F11" s="161">
        <v>-2162353.554641841</v>
      </c>
      <c r="G11" s="161">
        <v>-3326789.2038544975</v>
      </c>
      <c r="H11" s="161">
        <v>-3717375.0310936049</v>
      </c>
      <c r="I11" s="161">
        <v>-1397667.0292843578</v>
      </c>
      <c r="J11" s="161">
        <v>1263976.4305195149</v>
      </c>
      <c r="K11" s="156">
        <v>1417206.1414200848</v>
      </c>
      <c r="L11" s="161">
        <v>1008463.9437680857</v>
      </c>
      <c r="M11" s="161">
        <v>268674.18597926555</v>
      </c>
      <c r="N11" s="161">
        <v>283795.03337842348</v>
      </c>
      <c r="O11" s="162">
        <f t="shared" si="0"/>
        <v>-9525146.5041129719</v>
      </c>
      <c r="Q11" t="s">
        <v>10</v>
      </c>
      <c r="R11" s="163">
        <v>13163.640822672955</v>
      </c>
      <c r="S11" s="163">
        <v>-6933.5543233632343</v>
      </c>
      <c r="T11" s="163">
        <v>4639.6146842480521</v>
      </c>
      <c r="U11" s="163">
        <v>6615.7798910858546</v>
      </c>
      <c r="V11" s="163">
        <v>28652.700831738024</v>
      </c>
      <c r="W11" s="163">
        <v>58789.074257681779</v>
      </c>
      <c r="X11" s="163">
        <v>-24130.231098790602</v>
      </c>
      <c r="Y11" s="163">
        <v>-82418.095263166877</v>
      </c>
      <c r="Z11" s="163">
        <v>-89221.740313215705</v>
      </c>
      <c r="AA11" s="163">
        <v>-68147.249592419132</v>
      </c>
      <c r="AB11" s="163">
        <v>-46071.754595489969</v>
      </c>
      <c r="AC11" s="163">
        <v>-59464.967863126105</v>
      </c>
      <c r="AD11" s="163"/>
    </row>
    <row r="12" spans="1:30">
      <c r="A12" t="s">
        <v>124</v>
      </c>
      <c r="C12" s="161">
        <v>-1092895.8226839716</v>
      </c>
      <c r="D12" s="161">
        <v>-2764386.0750247324</v>
      </c>
      <c r="E12" s="161">
        <v>-4164976.727659537</v>
      </c>
      <c r="F12" s="161">
        <v>-5740243.2217919547</v>
      </c>
      <c r="G12" s="161">
        <v>-5467904.7834137781</v>
      </c>
      <c r="H12" s="161">
        <v>-5724723.1144562671</v>
      </c>
      <c r="I12" s="161">
        <v>-7057406.2537136851</v>
      </c>
      <c r="J12" s="161">
        <v>-8082381.8174607577</v>
      </c>
      <c r="K12" s="156">
        <v>-8103368.5841553928</v>
      </c>
      <c r="L12" s="161">
        <v>-4564776.4772162</v>
      </c>
      <c r="M12" s="161">
        <v>-4823517.7948699286</v>
      </c>
      <c r="N12" s="161">
        <v>-559210.36391046585</v>
      </c>
      <c r="O12" s="162">
        <f t="shared" si="0"/>
        <v>-58145791.036356673</v>
      </c>
      <c r="Q12" t="s">
        <v>124</v>
      </c>
      <c r="R12" s="163">
        <v>17778.402395153273</v>
      </c>
      <c r="S12" s="163">
        <v>-29852.877069568553</v>
      </c>
      <c r="T12" s="163">
        <v>2462.9003268241649</v>
      </c>
      <c r="U12" s="163">
        <v>19139.883303088718</v>
      </c>
      <c r="V12" s="163">
        <v>-997.68744924590646</v>
      </c>
      <c r="W12" s="163">
        <v>17750.751921527077</v>
      </c>
      <c r="X12" s="163">
        <v>91037.215813861971</v>
      </c>
      <c r="Y12" s="163">
        <v>143618.8334777742</v>
      </c>
      <c r="Z12" s="163">
        <v>130291.18350671825</v>
      </c>
      <c r="AA12" s="163">
        <v>2543.6718150853412</v>
      </c>
      <c r="AB12" s="163">
        <v>27336.176669383014</v>
      </c>
      <c r="AC12" s="163">
        <v>-110344.36338217258</v>
      </c>
      <c r="AD12" s="163"/>
    </row>
    <row r="13" spans="1:30">
      <c r="A13" t="s">
        <v>144</v>
      </c>
      <c r="C13" s="161">
        <v>-1053748.2280273214</v>
      </c>
      <c r="D13" s="161">
        <v>-2694238.0511490055</v>
      </c>
      <c r="E13" s="161">
        <v>-4060344.6070171013</v>
      </c>
      <c r="F13" s="161">
        <v>-5421378.1002370324</v>
      </c>
      <c r="G13" s="161">
        <v>-6886822.5756398831</v>
      </c>
      <c r="H13" s="161">
        <v>-7707954.3033632003</v>
      </c>
      <c r="I13" s="161">
        <v>-9610680.548167428</v>
      </c>
      <c r="J13" s="161">
        <v>-10989927.587241273</v>
      </c>
      <c r="K13" s="156">
        <v>-12383301.760857541</v>
      </c>
      <c r="L13" s="161">
        <v>-12885886.738893084</v>
      </c>
      <c r="M13" s="161">
        <v>-14163670.239501126</v>
      </c>
      <c r="N13" s="161">
        <v>-15832916.091679979</v>
      </c>
      <c r="O13" s="162">
        <f t="shared" si="0"/>
        <v>-103690868.83177395</v>
      </c>
      <c r="Q13" t="s">
        <v>144</v>
      </c>
      <c r="R13" s="163">
        <v>-9755.2114901539462</v>
      </c>
      <c r="S13" s="163">
        <v>-79255.638605546847</v>
      </c>
      <c r="T13" s="163">
        <v>-59870.966842573805</v>
      </c>
      <c r="U13" s="163">
        <v>-66278.427690988712</v>
      </c>
      <c r="V13" s="163">
        <v>-59517.577991286082</v>
      </c>
      <c r="W13" s="163">
        <v>-60366.751350236118</v>
      </c>
      <c r="X13" s="163">
        <v>4006.4784733889755</v>
      </c>
      <c r="Y13" s="163">
        <v>38262.008222663258</v>
      </c>
      <c r="Z13" s="163">
        <v>64496.182305268747</v>
      </c>
      <c r="AA13" s="163">
        <v>49089.201709632391</v>
      </c>
      <c r="AB13" s="163">
        <v>55225.365914811126</v>
      </c>
      <c r="AC13" s="163">
        <v>66089.637177027878</v>
      </c>
      <c r="AD13" s="163"/>
    </row>
    <row r="14" spans="1:30">
      <c r="A14" t="s">
        <v>145</v>
      </c>
      <c r="C14" s="161">
        <v>-18021.985876540573</v>
      </c>
      <c r="D14" s="161">
        <v>-150579.36323032636</v>
      </c>
      <c r="E14" s="161">
        <v>-101578.98386386833</v>
      </c>
      <c r="F14" s="161">
        <v>-108530.78814687456</v>
      </c>
      <c r="G14" s="161">
        <v>-90658.197722495912</v>
      </c>
      <c r="H14" s="161">
        <v>-89905.666602701443</v>
      </c>
      <c r="I14" s="161">
        <v>51203.836296675137</v>
      </c>
      <c r="J14" s="161">
        <v>129081.04219265823</v>
      </c>
      <c r="K14" s="156">
        <v>190198.70562530385</v>
      </c>
      <c r="L14" s="161">
        <v>163721.78986842383</v>
      </c>
      <c r="M14" s="161">
        <v>182741.62453024721</v>
      </c>
      <c r="N14" s="161">
        <v>212314.92190027979</v>
      </c>
      <c r="O14" s="162">
        <f t="shared" si="0"/>
        <v>369986.93497078086</v>
      </c>
      <c r="Q14" t="s">
        <v>145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0</v>
      </c>
      <c r="AD14" s="163"/>
    </row>
    <row r="15" spans="1:30">
      <c r="A15" t="s">
        <v>127</v>
      </c>
      <c r="C15" s="164">
        <v>-60373.866961195599</v>
      </c>
      <c r="D15" s="164">
        <v>-214591.27704628214</v>
      </c>
      <c r="E15" s="164">
        <v>-241432.82920346115</v>
      </c>
      <c r="F15" s="164">
        <v>-321197.60431918013</v>
      </c>
      <c r="G15" s="164">
        <v>-639321.00388000906</v>
      </c>
      <c r="H15" s="164">
        <v>-881006.30793450668</v>
      </c>
      <c r="I15" s="164">
        <v>-2000896.9405569322</v>
      </c>
      <c r="J15" s="164">
        <v>-3334942.6210866515</v>
      </c>
      <c r="K15" s="165">
        <v>-3747928.246462936</v>
      </c>
      <c r="L15" s="164">
        <v>-4808024.8331791023</v>
      </c>
      <c r="M15" s="164">
        <v>-5263551.6756348005</v>
      </c>
      <c r="N15" s="164">
        <v>-5005205.1179836458</v>
      </c>
      <c r="O15" s="164">
        <f t="shared" si="0"/>
        <v>-26518472.324248705</v>
      </c>
      <c r="Q15" t="s">
        <v>127</v>
      </c>
      <c r="R15" s="163">
        <v>-7459.88550384059</v>
      </c>
      <c r="S15" s="163">
        <v>-9311.7386899658995</v>
      </c>
      <c r="T15" s="163">
        <v>-9689.0836417698811</v>
      </c>
      <c r="U15" s="163">
        <v>-6831.5418422216117</v>
      </c>
      <c r="V15" s="163">
        <v>-444.23977511008798</v>
      </c>
      <c r="W15" s="163">
        <v>-6958.6797929920749</v>
      </c>
      <c r="X15" s="163">
        <v>-2404.7530326322185</v>
      </c>
      <c r="Y15" s="163">
        <v>-7205.1906332541503</v>
      </c>
      <c r="Z15" s="163">
        <v>-17069.959013550037</v>
      </c>
      <c r="AA15" s="163">
        <v>7641.1294530505038</v>
      </c>
      <c r="AB15" s="163">
        <v>9569.1589823051181</v>
      </c>
      <c r="AC15" s="163">
        <v>-12930.662769972219</v>
      </c>
      <c r="AD15" s="163"/>
    </row>
    <row r="16" spans="1:30" ht="15">
      <c r="C16" s="166">
        <f>SUM(C2:C15)</f>
        <v>-3673094.8235038859</v>
      </c>
      <c r="D16" s="166">
        <f t="shared" ref="D16:N16" si="1">SUM(D2:D15)</f>
        <v>-7902433.8678539405</v>
      </c>
      <c r="E16" s="166">
        <f t="shared" si="1"/>
        <v>-11143252.301805416</v>
      </c>
      <c r="F16" s="166">
        <f t="shared" si="1"/>
        <v>-13410337.354077989</v>
      </c>
      <c r="G16" s="166">
        <f t="shared" si="1"/>
        <v>-16789766.575112145</v>
      </c>
      <c r="H16" s="166">
        <f t="shared" si="1"/>
        <v>-19079436.71996285</v>
      </c>
      <c r="I16" s="166">
        <f t="shared" si="1"/>
        <v>-16467437.264699938</v>
      </c>
      <c r="J16" s="166">
        <f t="shared" si="1"/>
        <v>-14830738.719636178</v>
      </c>
      <c r="K16" s="166">
        <f t="shared" si="1"/>
        <v>-14826253.980424898</v>
      </c>
      <c r="L16" s="166">
        <f t="shared" si="1"/>
        <v>-14925168.437599074</v>
      </c>
      <c r="M16" s="166">
        <f t="shared" si="1"/>
        <v>-18973472.468339574</v>
      </c>
      <c r="N16" s="166">
        <f t="shared" si="1"/>
        <v>-19234486.034661334</v>
      </c>
      <c r="O16" s="166">
        <f t="shared" si="0"/>
        <v>-171255878.54767719</v>
      </c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</row>
    <row r="17" spans="1:30">
      <c r="O17" s="162"/>
      <c r="Q17" s="21"/>
      <c r="R17" s="167">
        <v>-45255.408873836248</v>
      </c>
      <c r="S17" s="167">
        <v>-87158.314690469619</v>
      </c>
      <c r="T17" s="167">
        <v>-92056.011338243217</v>
      </c>
      <c r="U17" s="167">
        <v>-94326.005529527625</v>
      </c>
      <c r="V17" s="167">
        <v>-108428.10703538511</v>
      </c>
      <c r="W17" s="167">
        <v>-119627.80712563037</v>
      </c>
      <c r="X17" s="167">
        <v>-109464.50286382006</v>
      </c>
      <c r="Y17" s="167">
        <v>-83967.406331948208</v>
      </c>
      <c r="Z17" s="167">
        <v>-104324.70632501919</v>
      </c>
      <c r="AA17" s="167">
        <v>-114515.1057613719</v>
      </c>
      <c r="AB17" s="167">
        <v>-122717.60769405018</v>
      </c>
      <c r="AC17" s="167">
        <v>-153060.50837118615</v>
      </c>
      <c r="AD17" s="167"/>
    </row>
    <row r="18" spans="1:30">
      <c r="A18" t="s">
        <v>146</v>
      </c>
      <c r="C18" s="161">
        <v>-205643.12</v>
      </c>
      <c r="D18" s="161">
        <v>-406771.78</v>
      </c>
      <c r="E18" s="161">
        <v>-611314.11499999999</v>
      </c>
      <c r="F18" s="161">
        <v>-881447.29499999993</v>
      </c>
      <c r="G18" s="161">
        <v>-1210577.7716666665</v>
      </c>
      <c r="H18" s="161">
        <v>-1534302.0633333335</v>
      </c>
      <c r="I18" s="161">
        <v>-1686062.8850000002</v>
      </c>
      <c r="J18" s="161">
        <v>-1801509.811666667</v>
      </c>
      <c r="K18" s="161">
        <v>-1926978.8083333336</v>
      </c>
      <c r="L18" s="161">
        <v>-2074897.2300000002</v>
      </c>
      <c r="M18" s="161">
        <v>-2269030.9466666672</v>
      </c>
      <c r="N18" s="161">
        <v>-2435765.9533333336</v>
      </c>
      <c r="O18" s="162">
        <f t="shared" si="0"/>
        <v>-17044301.780000001</v>
      </c>
      <c r="Q18" s="168" t="s">
        <v>137</v>
      </c>
      <c r="R18" s="169">
        <f>R2</f>
        <v>-122125.74279466466</v>
      </c>
      <c r="S18" s="169">
        <f>S2-R2</f>
        <v>-28896.773235611356</v>
      </c>
      <c r="T18" s="169">
        <f t="shared" ref="T18:AC18" si="2">T2-S2</f>
        <v>-208941.33303579711</v>
      </c>
      <c r="U18" s="169">
        <f t="shared" si="2"/>
        <v>-134955.33907438483</v>
      </c>
      <c r="V18" s="169">
        <f t="shared" si="2"/>
        <v>-14212.329516332014</v>
      </c>
      <c r="W18" s="169">
        <f t="shared" si="2"/>
        <v>-45440.673895154498</v>
      </c>
      <c r="X18" s="169">
        <f t="shared" si="2"/>
        <v>-17536.471973032923</v>
      </c>
      <c r="Y18" s="169">
        <f t="shared" si="2"/>
        <v>26619.871361372527</v>
      </c>
      <c r="Z18" s="169">
        <f t="shared" si="2"/>
        <v>39635.999178804108</v>
      </c>
      <c r="AA18" s="169">
        <f t="shared" si="2"/>
        <v>125235.64144049271</v>
      </c>
      <c r="AB18" s="169">
        <f t="shared" si="2"/>
        <v>-47887.491583317169</v>
      </c>
      <c r="AC18" s="169">
        <f t="shared" si="2"/>
        <v>173516.04981077192</v>
      </c>
      <c r="AD18" s="169"/>
    </row>
    <row r="19" spans="1:30">
      <c r="A19" t="s">
        <v>147</v>
      </c>
      <c r="C19" s="161">
        <v>417.09681899473071</v>
      </c>
      <c r="D19" s="161">
        <v>-30177.144417501986</v>
      </c>
      <c r="E19" s="161">
        <v>-10758.9121105019</v>
      </c>
      <c r="F19" s="161">
        <v>-14123.68202300556</v>
      </c>
      <c r="G19" s="161">
        <v>-11508.542968005873</v>
      </c>
      <c r="H19" s="161">
        <v>-11879.936478005722</v>
      </c>
      <c r="I19" s="161">
        <v>-8444.4390660086647</v>
      </c>
      <c r="J19" s="161">
        <v>-8767.6532270060852</v>
      </c>
      <c r="K19" s="161">
        <v>-1227.8983150059357</v>
      </c>
      <c r="L19" s="161">
        <v>-11184.129772007</v>
      </c>
      <c r="M19" s="161">
        <v>6225.7514064931311</v>
      </c>
      <c r="N19" s="161">
        <v>-8973.3502295068465</v>
      </c>
      <c r="O19" s="162">
        <f t="shared" si="0"/>
        <v>-110402.84038106771</v>
      </c>
      <c r="Q19" t="s">
        <v>118</v>
      </c>
      <c r="R19" s="170">
        <f>R4</f>
        <v>21874.234766786496</v>
      </c>
      <c r="S19" s="170">
        <f>S4-R4</f>
        <v>53063.68937027028</v>
      </c>
      <c r="T19" s="170">
        <f t="shared" ref="T19:AC19" si="3">T4-S4</f>
        <v>60951.525841794995</v>
      </c>
      <c r="U19" s="170">
        <f t="shared" si="3"/>
        <v>61605.512994575838</v>
      </c>
      <c r="V19" s="170">
        <f t="shared" si="3"/>
        <v>26752.565943527909</v>
      </c>
      <c r="W19" s="170">
        <f t="shared" si="3"/>
        <v>-24068.53889790416</v>
      </c>
      <c r="X19" s="170">
        <f t="shared" si="3"/>
        <v>3615.3344914812187</v>
      </c>
      <c r="Y19" s="170">
        <f t="shared" si="3"/>
        <v>-3536.0892866565555</v>
      </c>
      <c r="Z19" s="170">
        <f t="shared" si="3"/>
        <v>-22854.312415584864</v>
      </c>
      <c r="AA19" s="170">
        <f t="shared" si="3"/>
        <v>-2901.7448035990237</v>
      </c>
      <c r="AB19" s="170">
        <f t="shared" si="3"/>
        <v>-5384.5620500285877</v>
      </c>
      <c r="AC19" s="170">
        <f t="shared" si="3"/>
        <v>-14998.325976418681</v>
      </c>
      <c r="AD19" s="170"/>
    </row>
    <row r="20" spans="1:30">
      <c r="A20" t="s">
        <v>148</v>
      </c>
      <c r="C20" s="161">
        <v>20400.350654918628</v>
      </c>
      <c r="D20" s="161">
        <v>-7697.9687101919553</v>
      </c>
      <c r="E20" s="161">
        <v>11214.70629197832</v>
      </c>
      <c r="F20" s="161">
        <v>-34148.958281239829</v>
      </c>
      <c r="G20" s="161">
        <v>-14160.207797932882</v>
      </c>
      <c r="H20" s="161">
        <v>22369.544093100099</v>
      </c>
      <c r="I20" s="161">
        <v>54714.979952653135</v>
      </c>
      <c r="J20" s="161">
        <v>71737.059426241671</v>
      </c>
      <c r="K20" s="161">
        <v>-29211.182863222639</v>
      </c>
      <c r="L20" s="161">
        <v>-247683.71425411233</v>
      </c>
      <c r="M20" s="161">
        <v>-184233.20428824858</v>
      </c>
      <c r="N20" s="161">
        <v>-341488.98943439766</v>
      </c>
      <c r="O20" s="162">
        <f t="shared" si="0"/>
        <v>-678187.58521045407</v>
      </c>
      <c r="Q20" t="s">
        <v>119</v>
      </c>
      <c r="R20" s="170">
        <f t="shared" ref="R20:R30" si="4">R5</f>
        <v>6856.480591773885</v>
      </c>
      <c r="S20" s="170">
        <f t="shared" ref="S20:AC30" si="5">S5-R5</f>
        <v>27097.003677129695</v>
      </c>
      <c r="T20" s="170">
        <f t="shared" si="5"/>
        <v>30113.355461239829</v>
      </c>
      <c r="U20" s="170">
        <f t="shared" si="5"/>
        <v>33513.176324176813</v>
      </c>
      <c r="V20" s="170">
        <f t="shared" si="5"/>
        <v>7095.3890845297719</v>
      </c>
      <c r="W20" s="170">
        <f t="shared" si="5"/>
        <v>22434.787831783236</v>
      </c>
      <c r="X20" s="170">
        <f t="shared" si="5"/>
        <v>1115.7192128180177</v>
      </c>
      <c r="Y20" s="170">
        <f t="shared" si="5"/>
        <v>-7772.4527792215085</v>
      </c>
      <c r="Z20" s="170">
        <f t="shared" si="5"/>
        <v>-16378.89713006017</v>
      </c>
      <c r="AA20" s="170">
        <f t="shared" si="5"/>
        <v>-7161.0614219427225</v>
      </c>
      <c r="AB20" s="170">
        <f t="shared" si="5"/>
        <v>-8935.3701485156635</v>
      </c>
      <c r="AC20" s="170">
        <f t="shared" si="5"/>
        <v>-14307.923666048009</v>
      </c>
      <c r="AD20" s="170"/>
    </row>
    <row r="21" spans="1:30">
      <c r="A21" t="s">
        <v>149</v>
      </c>
      <c r="C21" s="161">
        <v>-213304.7</v>
      </c>
      <c r="D21" s="161">
        <v>-461544.75</v>
      </c>
      <c r="E21" s="161">
        <v>-659247.1</v>
      </c>
      <c r="F21" s="161">
        <v>-842135.65</v>
      </c>
      <c r="G21" s="161">
        <v>-1010446.54</v>
      </c>
      <c r="H21" s="161">
        <v>-1180059</v>
      </c>
      <c r="I21" s="161">
        <v>-1390947.3000000003</v>
      </c>
      <c r="J21" s="161">
        <v>-1607271.67</v>
      </c>
      <c r="K21" s="161">
        <v>-1769587.1199999999</v>
      </c>
      <c r="L21" s="161">
        <v>-1947230.6099999999</v>
      </c>
      <c r="M21" s="161">
        <v>-2140924.35</v>
      </c>
      <c r="N21" s="161">
        <v>-2362182.4900000002</v>
      </c>
      <c r="O21" s="162">
        <f t="shared" si="0"/>
        <v>-15584881.279999999</v>
      </c>
      <c r="Q21" t="s">
        <v>139</v>
      </c>
      <c r="R21" s="170">
        <f t="shared" si="4"/>
        <v>4264.8824117941622</v>
      </c>
      <c r="S21" s="170">
        <f t="shared" si="5"/>
        <v>166.82014668584452</v>
      </c>
      <c r="T21" s="170">
        <f t="shared" si="5"/>
        <v>2758.845221662501</v>
      </c>
      <c r="U21" s="170">
        <f t="shared" si="5"/>
        <v>-1024.5708909570749</v>
      </c>
      <c r="V21" s="170">
        <f t="shared" si="5"/>
        <v>-3733.578595456449</v>
      </c>
      <c r="W21" s="170">
        <f t="shared" si="5"/>
        <v>546.22033035759523</v>
      </c>
      <c r="X21" s="170">
        <f t="shared" si="5"/>
        <v>-6036.3527445621839</v>
      </c>
      <c r="Y21" s="170">
        <f t="shared" si="5"/>
        <v>-2980.0719915979826</v>
      </c>
      <c r="Z21" s="170">
        <f t="shared" si="5"/>
        <v>-9741.3409573227036</v>
      </c>
      <c r="AA21" s="170">
        <f t="shared" si="5"/>
        <v>-9732.0043456724306</v>
      </c>
      <c r="AB21" s="170">
        <f t="shared" si="5"/>
        <v>-2084.4052848890315</v>
      </c>
      <c r="AC21" s="170">
        <f t="shared" si="5"/>
        <v>2554.1747559189753</v>
      </c>
      <c r="AD21" s="170"/>
    </row>
    <row r="22" spans="1:30">
      <c r="A22" t="s">
        <v>150</v>
      </c>
      <c r="C22" s="161">
        <v>44474.791249999544</v>
      </c>
      <c r="D22" s="161">
        <v>83914.460499999113</v>
      </c>
      <c r="E22" s="161">
        <v>123354.12974999868</v>
      </c>
      <c r="F22" s="161">
        <v>162793.79899999825</v>
      </c>
      <c r="G22" s="161">
        <v>161381.28183333133</v>
      </c>
      <c r="H22" s="161">
        <v>159968.76466666441</v>
      </c>
      <c r="I22" s="161">
        <v>196170.49749999749</v>
      </c>
      <c r="J22" s="161">
        <v>232372.23033333058</v>
      </c>
      <c r="K22" s="161">
        <v>282734.51266666385</v>
      </c>
      <c r="L22" s="161">
        <v>304775.6959999972</v>
      </c>
      <c r="M22" s="161">
        <v>341357.18333333055</v>
      </c>
      <c r="N22" s="161">
        <v>377938.67066666391</v>
      </c>
      <c r="O22" s="162">
        <f t="shared" si="0"/>
        <v>2471236.0174999749</v>
      </c>
      <c r="Q22" t="s">
        <v>140</v>
      </c>
      <c r="R22" s="170">
        <f t="shared" si="4"/>
        <v>9283.6724366426351</v>
      </c>
      <c r="S22" s="170">
        <f t="shared" si="5"/>
        <v>12009.058859482371</v>
      </c>
      <c r="T22" s="170">
        <f t="shared" si="5"/>
        <v>17419.763653700444</v>
      </c>
      <c r="U22" s="170">
        <f t="shared" si="5"/>
        <v>-1124.8079495431011</v>
      </c>
      <c r="V22" s="170">
        <f t="shared" si="5"/>
        <v>-9654.7985521999799</v>
      </c>
      <c r="W22" s="170">
        <f t="shared" si="5"/>
        <v>-10410.830754089344</v>
      </c>
      <c r="X22" s="170">
        <f t="shared" si="5"/>
        <v>-33589.786419655691</v>
      </c>
      <c r="Y22" s="170">
        <f t="shared" si="5"/>
        <v>-12287.528516906474</v>
      </c>
      <c r="Z22" s="170">
        <f t="shared" si="5"/>
        <v>12.569599836970156</v>
      </c>
      <c r="AA22" s="170">
        <f t="shared" si="5"/>
        <v>-933.18393596629903</v>
      </c>
      <c r="AB22" s="170">
        <f t="shared" si="5"/>
        <v>4460.8734473914155</v>
      </c>
      <c r="AC22" s="170">
        <f t="shared" si="5"/>
        <v>6178.9594916165152</v>
      </c>
      <c r="AD22" s="170"/>
    </row>
    <row r="23" spans="1:30">
      <c r="A23" t="s">
        <v>149</v>
      </c>
      <c r="C23" s="161">
        <v>213304.7</v>
      </c>
      <c r="D23" s="161">
        <v>461544.75</v>
      </c>
      <c r="E23" s="161">
        <v>659247.1</v>
      </c>
      <c r="F23" s="161">
        <v>842135.65</v>
      </c>
      <c r="G23" s="161">
        <v>1010446.54</v>
      </c>
      <c r="H23" s="161">
        <v>1180059</v>
      </c>
      <c r="I23" s="161">
        <v>1390947.3000000003</v>
      </c>
      <c r="J23" s="161">
        <v>1607271.67</v>
      </c>
      <c r="K23" s="161">
        <v>1769587.1199999999</v>
      </c>
      <c r="L23" s="161">
        <v>1947230.6099999999</v>
      </c>
      <c r="M23" s="161">
        <v>2140924.35</v>
      </c>
      <c r="N23" s="161">
        <v>2362182.4900000002</v>
      </c>
      <c r="O23" s="162">
        <f t="shared" si="0"/>
        <v>15584881.279999999</v>
      </c>
      <c r="Q23" t="s">
        <v>141</v>
      </c>
      <c r="R23" s="170">
        <f t="shared" si="4"/>
        <v>10000.631640964784</v>
      </c>
      <c r="S23" s="170">
        <f t="shared" si="5"/>
        <v>23822.621626436623</v>
      </c>
      <c r="T23" s="170">
        <f t="shared" si="5"/>
        <v>15026.122093504659</v>
      </c>
      <c r="U23" s="170">
        <f t="shared" si="5"/>
        <v>11469.873153972687</v>
      </c>
      <c r="V23" s="170">
        <f t="shared" si="5"/>
        <v>-14976.631122910971</v>
      </c>
      <c r="W23" s="170">
        <f t="shared" si="5"/>
        <v>-6933.5895176886697</v>
      </c>
      <c r="X23" s="170">
        <f t="shared" si="5"/>
        <v>-9763.0959567427781</v>
      </c>
      <c r="Y23" s="170">
        <f t="shared" si="5"/>
        <v>-8952.2042757273448</v>
      </c>
      <c r="Z23" s="170">
        <f t="shared" si="5"/>
        <v>-7673.3587961643643</v>
      </c>
      <c r="AA23" s="170">
        <f t="shared" si="5"/>
        <v>-13736.918034750226</v>
      </c>
      <c r="AB23" s="170">
        <f t="shared" si="5"/>
        <v>-1377.1100393771048</v>
      </c>
      <c r="AC23" s="170">
        <f t="shared" si="5"/>
        <v>-13959.858174991561</v>
      </c>
      <c r="AD23" s="170"/>
    </row>
    <row r="24" spans="1:30">
      <c r="A24" t="s">
        <v>151</v>
      </c>
      <c r="C24" s="161">
        <v>-177106.20333333325</v>
      </c>
      <c r="D24" s="161">
        <v>-353730.07666666643</v>
      </c>
      <c r="E24" s="161">
        <v>-438903.94999999972</v>
      </c>
      <c r="F24" s="161">
        <v>-608314.65333333309</v>
      </c>
      <c r="G24" s="161">
        <v>-701765.40333333297</v>
      </c>
      <c r="H24" s="161">
        <v>-814307.83333333279</v>
      </c>
      <c r="I24" s="161">
        <v>-902182.14333333285</v>
      </c>
      <c r="J24" s="161">
        <v>-966866.54333333287</v>
      </c>
      <c r="K24" s="161">
        <v>-1044460.4733333328</v>
      </c>
      <c r="L24" s="161">
        <v>-1325243.3733333328</v>
      </c>
      <c r="M24" s="161">
        <v>-1518935.9533333329</v>
      </c>
      <c r="N24" s="161">
        <v>-1648201.5833333328</v>
      </c>
      <c r="O24" s="162">
        <f t="shared" si="0"/>
        <v>-10500018.189999994</v>
      </c>
      <c r="Q24" t="s">
        <v>142</v>
      </c>
      <c r="R24" s="170">
        <f t="shared" si="4"/>
        <v>2.4368705749511719</v>
      </c>
      <c r="S24" s="170">
        <f t="shared" si="5"/>
        <v>5314.5740013122559</v>
      </c>
      <c r="T24" s="170">
        <f t="shared" si="5"/>
        <v>-1548.8224983215332</v>
      </c>
      <c r="U24" s="170">
        <f t="shared" si="5"/>
        <v>2615.0097274780273</v>
      </c>
      <c r="V24" s="170">
        <f t="shared" si="5"/>
        <v>-7999.1751308441162</v>
      </c>
      <c r="W24" s="170">
        <f t="shared" si="5"/>
        <v>3255.1678733825684</v>
      </c>
      <c r="X24" s="170">
        <f t="shared" si="5"/>
        <v>-1666.6953172683716</v>
      </c>
      <c r="Y24" s="170">
        <f t="shared" si="5"/>
        <v>1983.8646488189697</v>
      </c>
      <c r="Z24" s="170">
        <f t="shared" si="5"/>
        <v>-2831.7619476318359</v>
      </c>
      <c r="AA24" s="170">
        <f t="shared" si="5"/>
        <v>-8627.8280982971191</v>
      </c>
      <c r="AB24" s="170">
        <f t="shared" si="5"/>
        <v>-5500.155891418457</v>
      </c>
      <c r="AC24" s="170">
        <f t="shared" si="5"/>
        <v>-8477.4146842956543</v>
      </c>
      <c r="AD24" s="170"/>
    </row>
    <row r="25" spans="1:30">
      <c r="A25" t="s">
        <v>152</v>
      </c>
      <c r="C25" s="161">
        <v>6748.179999999993</v>
      </c>
      <c r="D25" s="161">
        <v>-12607.36</v>
      </c>
      <c r="E25" s="161">
        <v>-13656.220000000001</v>
      </c>
      <c r="F25" s="161">
        <v>-15379.989999999998</v>
      </c>
      <c r="G25" s="161">
        <v>7269.0600000000049</v>
      </c>
      <c r="H25" s="161">
        <v>27729.4</v>
      </c>
      <c r="I25" s="161">
        <v>35996.97</v>
      </c>
      <c r="J25" s="161">
        <v>56384.47</v>
      </c>
      <c r="K25" s="161">
        <v>89524.25</v>
      </c>
      <c r="L25" s="161">
        <v>95624.87</v>
      </c>
      <c r="M25" s="161">
        <v>102702.06</v>
      </c>
      <c r="N25" s="161">
        <v>132068.34999999998</v>
      </c>
      <c r="O25" s="162">
        <f t="shared" si="0"/>
        <v>512404.04</v>
      </c>
      <c r="Q25" t="s">
        <v>143</v>
      </c>
      <c r="R25" s="170">
        <f t="shared" si="4"/>
        <v>10861.048978459814</v>
      </c>
      <c r="S25" s="170">
        <f t="shared" si="5"/>
        <v>4600.8546499371369</v>
      </c>
      <c r="T25" s="170">
        <f t="shared" si="5"/>
        <v>16426.573399269557</v>
      </c>
      <c r="U25" s="170">
        <f t="shared" si="5"/>
        <v>10527.922389161569</v>
      </c>
      <c r="V25" s="170">
        <f t="shared" si="5"/>
        <v>-12421.045571303359</v>
      </c>
      <c r="W25" s="170">
        <f t="shared" si="5"/>
        <v>7896.557519183305</v>
      </c>
      <c r="X25" s="170">
        <f t="shared" si="5"/>
        <v>14730.33784892557</v>
      </c>
      <c r="Y25" s="170">
        <f t="shared" si="5"/>
        <v>8672.861723601789</v>
      </c>
      <c r="Z25" s="170">
        <f t="shared" si="5"/>
        <v>3235.691793847087</v>
      </c>
      <c r="AA25" s="170">
        <f t="shared" si="5"/>
        <v>5035.6128632545442</v>
      </c>
      <c r="AB25" s="170">
        <f t="shared" si="5"/>
        <v>3573.5260318160872</v>
      </c>
      <c r="AC25" s="170">
        <f t="shared" si="5"/>
        <v>1860.7415755629481</v>
      </c>
      <c r="AD25" s="170"/>
    </row>
    <row r="26" spans="1:30">
      <c r="A26" t="s">
        <v>153</v>
      </c>
      <c r="C26" s="161">
        <v>33761.45439999993</v>
      </c>
      <c r="D26" s="161">
        <v>96581.543599999975</v>
      </c>
      <c r="E26" s="161">
        <v>55613.612800000003</v>
      </c>
      <c r="F26" s="161">
        <v>163576.42476799991</v>
      </c>
      <c r="G26" s="161">
        <v>197920.18476799992</v>
      </c>
      <c r="H26" s="161">
        <v>215093.99810133316</v>
      </c>
      <c r="I26" s="161">
        <v>193514.49810133316</v>
      </c>
      <c r="J26" s="161">
        <v>221579.69810133311</v>
      </c>
      <c r="K26" s="161">
        <v>161604.84810133302</v>
      </c>
      <c r="L26" s="161">
        <v>174667.26810133294</v>
      </c>
      <c r="M26" s="161">
        <v>211718.70810133289</v>
      </c>
      <c r="N26" s="161">
        <v>184946.3681013328</v>
      </c>
      <c r="O26" s="162">
        <f t="shared" si="0"/>
        <v>1910578.6070453308</v>
      </c>
      <c r="Q26" t="s">
        <v>10</v>
      </c>
      <c r="R26" s="170">
        <f t="shared" si="4"/>
        <v>13163.640822672955</v>
      </c>
      <c r="S26" s="170">
        <f t="shared" si="5"/>
        <v>-20097.195146036189</v>
      </c>
      <c r="T26" s="170">
        <f t="shared" si="5"/>
        <v>11573.169007611286</v>
      </c>
      <c r="U26" s="170">
        <f t="shared" si="5"/>
        <v>1976.1652068378025</v>
      </c>
      <c r="V26" s="170">
        <f t="shared" si="5"/>
        <v>22036.92094065217</v>
      </c>
      <c r="W26" s="170">
        <f t="shared" si="5"/>
        <v>30136.373425943755</v>
      </c>
      <c r="X26" s="170">
        <f t="shared" si="5"/>
        <v>-82919.305356472381</v>
      </c>
      <c r="Y26" s="170">
        <f t="shared" si="5"/>
        <v>-58287.864164376275</v>
      </c>
      <c r="Z26" s="170">
        <f t="shared" si="5"/>
        <v>-6803.6450500488281</v>
      </c>
      <c r="AA26" s="170">
        <f t="shared" si="5"/>
        <v>21074.490720796573</v>
      </c>
      <c r="AB26" s="170">
        <f t="shared" si="5"/>
        <v>22075.494996929163</v>
      </c>
      <c r="AC26" s="170">
        <f t="shared" si="5"/>
        <v>-13393.213267636136</v>
      </c>
      <c r="AD26" s="170"/>
    </row>
    <row r="27" spans="1:30">
      <c r="A27" t="s">
        <v>154</v>
      </c>
      <c r="C27" s="171">
        <v>-39333.84583332995</v>
      </c>
      <c r="D27" s="171">
        <v>-409562.3491666601</v>
      </c>
      <c r="E27" s="171">
        <v>-357699.40416666004</v>
      </c>
      <c r="F27" s="171">
        <v>-275264.64749999018</v>
      </c>
      <c r="G27" s="171">
        <v>-580140.56749999034</v>
      </c>
      <c r="H27" s="171">
        <v>-861935.83749999036</v>
      </c>
      <c r="I27" s="171">
        <v>-1302100.5274999905</v>
      </c>
      <c r="J27" s="171">
        <v>-1697273.2274999907</v>
      </c>
      <c r="K27" s="171">
        <v>-1540574.4374999909</v>
      </c>
      <c r="L27" s="171">
        <v>-1531897.067499991</v>
      </c>
      <c r="M27" s="171">
        <v>-2079817.7174999912</v>
      </c>
      <c r="N27" s="171">
        <v>-2924174.8774999911</v>
      </c>
      <c r="O27" s="171">
        <f t="shared" si="0"/>
        <v>-13599774.506666567</v>
      </c>
      <c r="Q27" t="s">
        <v>124</v>
      </c>
      <c r="R27" s="170">
        <f t="shared" si="4"/>
        <v>17778.402395153273</v>
      </c>
      <c r="S27" s="170">
        <f t="shared" si="5"/>
        <v>-47631.279464721825</v>
      </c>
      <c r="T27" s="170">
        <f t="shared" si="5"/>
        <v>32315.777396392717</v>
      </c>
      <c r="U27" s="170">
        <f t="shared" si="5"/>
        <v>16676.982976264553</v>
      </c>
      <c r="V27" s="170">
        <f t="shared" si="5"/>
        <v>-20137.570752334625</v>
      </c>
      <c r="W27" s="170">
        <f t="shared" si="5"/>
        <v>18748.439370772983</v>
      </c>
      <c r="X27" s="170">
        <f t="shared" si="5"/>
        <v>73286.463892334898</v>
      </c>
      <c r="Y27" s="170">
        <f t="shared" si="5"/>
        <v>52581.617663912228</v>
      </c>
      <c r="Z27" s="170">
        <f t="shared" si="5"/>
        <v>-13327.649971055944</v>
      </c>
      <c r="AA27" s="170">
        <f t="shared" si="5"/>
        <v>-127747.51169163291</v>
      </c>
      <c r="AB27" s="170">
        <f t="shared" si="5"/>
        <v>24792.504854297673</v>
      </c>
      <c r="AC27" s="170">
        <f t="shared" si="5"/>
        <v>-137680.54005155561</v>
      </c>
      <c r="AD27" s="170"/>
    </row>
    <row r="28" spans="1:30" ht="15">
      <c r="A28" s="97"/>
      <c r="B28" s="97"/>
      <c r="C28" s="172">
        <f t="shared" ref="C28:N28" si="6">SUM(C18:C27)</f>
        <v>-316281.29604275036</v>
      </c>
      <c r="D28" s="172">
        <f t="shared" si="6"/>
        <v>-1040050.6748610215</v>
      </c>
      <c r="E28" s="172">
        <f t="shared" si="6"/>
        <v>-1242150.1524351845</v>
      </c>
      <c r="F28" s="172">
        <f t="shared" si="6"/>
        <v>-1502309.0023695703</v>
      </c>
      <c r="G28" s="172">
        <f t="shared" si="6"/>
        <v>-2151581.9666645974</v>
      </c>
      <c r="H28" s="172">
        <f t="shared" si="6"/>
        <v>-2797263.963783565</v>
      </c>
      <c r="I28" s="172">
        <f t="shared" si="6"/>
        <v>-3418393.0493453485</v>
      </c>
      <c r="J28" s="172">
        <f t="shared" si="6"/>
        <v>-3892343.7778660916</v>
      </c>
      <c r="K28" s="172">
        <f t="shared" si="6"/>
        <v>-4008589.1895768885</v>
      </c>
      <c r="L28" s="172">
        <f t="shared" si="6"/>
        <v>-4615837.680758113</v>
      </c>
      <c r="M28" s="172">
        <f t="shared" si="6"/>
        <v>-5390014.1189470822</v>
      </c>
      <c r="N28" s="172">
        <f t="shared" si="6"/>
        <v>-6663651.3650625655</v>
      </c>
      <c r="O28" s="172">
        <f t="shared" si="0"/>
        <v>-37038466.237712778</v>
      </c>
      <c r="Q28" t="s">
        <v>144</v>
      </c>
      <c r="R28" s="170">
        <f t="shared" si="4"/>
        <v>-9755.2114901539462</v>
      </c>
      <c r="S28" s="170">
        <f t="shared" si="5"/>
        <v>-69500.4271153929</v>
      </c>
      <c r="T28" s="170">
        <f t="shared" si="5"/>
        <v>19384.671762973041</v>
      </c>
      <c r="U28" s="170">
        <f t="shared" si="5"/>
        <v>-6407.4608484149066</v>
      </c>
      <c r="V28" s="170">
        <f t="shared" si="5"/>
        <v>6760.8496997026305</v>
      </c>
      <c r="W28" s="170">
        <f t="shared" si="5"/>
        <v>-849.17335895003635</v>
      </c>
      <c r="X28" s="170">
        <f t="shared" si="5"/>
        <v>64373.229823625094</v>
      </c>
      <c r="Y28" s="170">
        <f t="shared" si="5"/>
        <v>34255.529749274283</v>
      </c>
      <c r="Z28" s="170">
        <f t="shared" si="5"/>
        <v>26234.174082605488</v>
      </c>
      <c r="AA28" s="170">
        <f t="shared" si="5"/>
        <v>-15406.980595636356</v>
      </c>
      <c r="AB28" s="170">
        <f t="shared" si="5"/>
        <v>6136.1642051787348</v>
      </c>
      <c r="AC28" s="170">
        <f t="shared" si="5"/>
        <v>10864.271262216753</v>
      </c>
      <c r="AD28" s="170"/>
    </row>
    <row r="29" spans="1:30">
      <c r="Q29" t="s">
        <v>145</v>
      </c>
      <c r="R29" s="170">
        <f t="shared" si="4"/>
        <v>0</v>
      </c>
      <c r="S29" s="170">
        <f t="shared" si="5"/>
        <v>0</v>
      </c>
      <c r="T29" s="170">
        <f t="shared" si="5"/>
        <v>0</v>
      </c>
      <c r="U29" s="170">
        <f t="shared" si="5"/>
        <v>0</v>
      </c>
      <c r="V29" s="170">
        <f t="shared" si="5"/>
        <v>0</v>
      </c>
      <c r="W29" s="170">
        <f t="shared" si="5"/>
        <v>0</v>
      </c>
      <c r="X29" s="170">
        <f t="shared" si="5"/>
        <v>0</v>
      </c>
      <c r="Y29" s="170">
        <f t="shared" si="5"/>
        <v>0</v>
      </c>
      <c r="Z29" s="170">
        <f t="shared" si="5"/>
        <v>0</v>
      </c>
      <c r="AA29" s="170">
        <f t="shared" si="5"/>
        <v>0</v>
      </c>
      <c r="AB29" s="170">
        <f t="shared" si="5"/>
        <v>0</v>
      </c>
      <c r="AC29" s="170">
        <f t="shared" si="5"/>
        <v>0</v>
      </c>
      <c r="AD29" s="170"/>
    </row>
    <row r="30" spans="1:30">
      <c r="C30" s="162">
        <f t="shared" ref="C30:O30" si="7">C16+C28</f>
        <v>-3989376.119546636</v>
      </c>
      <c r="D30" s="162">
        <f t="shared" si="7"/>
        <v>-8942484.5427149627</v>
      </c>
      <c r="E30" s="162">
        <f t="shared" si="7"/>
        <v>-12385402.454240602</v>
      </c>
      <c r="F30" s="162">
        <f t="shared" si="7"/>
        <v>-14912646.356447559</v>
      </c>
      <c r="G30" s="162">
        <f t="shared" si="7"/>
        <v>-18941348.541776743</v>
      </c>
      <c r="H30" s="162">
        <f t="shared" si="7"/>
        <v>-21876700.683746416</v>
      </c>
      <c r="I30" s="162">
        <f t="shared" si="7"/>
        <v>-19885830.314045288</v>
      </c>
      <c r="J30" s="162">
        <f t="shared" si="7"/>
        <v>-18723082.497502267</v>
      </c>
      <c r="K30" s="162">
        <f t="shared" si="7"/>
        <v>-18834843.170001786</v>
      </c>
      <c r="L30" s="162">
        <f t="shared" si="7"/>
        <v>-19541006.118357189</v>
      </c>
      <c r="M30" s="162">
        <f t="shared" si="7"/>
        <v>-24363486.587286655</v>
      </c>
      <c r="N30" s="162">
        <f t="shared" si="7"/>
        <v>-25898137.399723899</v>
      </c>
      <c r="O30" s="162">
        <f t="shared" si="7"/>
        <v>-208294344.78538996</v>
      </c>
      <c r="Q30" t="s">
        <v>127</v>
      </c>
      <c r="R30" s="170">
        <f t="shared" si="4"/>
        <v>-7459.88550384059</v>
      </c>
      <c r="S30" s="170">
        <f t="shared" si="5"/>
        <v>-1851.8531861253095</v>
      </c>
      <c r="T30" s="170">
        <f t="shared" si="5"/>
        <v>-377.34495180398153</v>
      </c>
      <c r="U30" s="170">
        <f t="shared" si="5"/>
        <v>2857.5417995482694</v>
      </c>
      <c r="V30" s="170">
        <f t="shared" si="5"/>
        <v>6387.3020671115237</v>
      </c>
      <c r="W30" s="170">
        <f t="shared" si="5"/>
        <v>-6514.4400178819869</v>
      </c>
      <c r="X30" s="170">
        <f t="shared" si="5"/>
        <v>4553.9267603598564</v>
      </c>
      <c r="Y30" s="170">
        <f t="shared" si="5"/>
        <v>-4800.4376006219318</v>
      </c>
      <c r="Z30" s="170">
        <f t="shared" si="5"/>
        <v>-9864.7683802958854</v>
      </c>
      <c r="AA30" s="170">
        <f t="shared" si="5"/>
        <v>24711.08846660054</v>
      </c>
      <c r="AB30" s="170">
        <f t="shared" si="5"/>
        <v>1928.0295292546143</v>
      </c>
      <c r="AC30" s="170">
        <f t="shared" si="5"/>
        <v>-22499.821752277338</v>
      </c>
      <c r="AD30" s="170"/>
    </row>
    <row r="31" spans="1:30">
      <c r="Q31" t="s">
        <v>138</v>
      </c>
      <c r="R31" s="170">
        <f>R17</f>
        <v>-45255.408873836248</v>
      </c>
      <c r="S31" s="170">
        <f>S17-R17</f>
        <v>-41902.905816633371</v>
      </c>
      <c r="T31" s="170">
        <f t="shared" ref="T31:AC31" si="8">T17-S17</f>
        <v>-4897.6966477735987</v>
      </c>
      <c r="U31" s="170">
        <f t="shared" si="8"/>
        <v>-2269.9941912844079</v>
      </c>
      <c r="V31" s="170">
        <f t="shared" si="8"/>
        <v>-14102.101505857485</v>
      </c>
      <c r="W31" s="170">
        <f t="shared" si="8"/>
        <v>-11199.700090245256</v>
      </c>
      <c r="X31" s="170">
        <f t="shared" si="8"/>
        <v>10163.304261810306</v>
      </c>
      <c r="Y31" s="170">
        <f t="shared" si="8"/>
        <v>25497.096531871852</v>
      </c>
      <c r="Z31" s="170">
        <f t="shared" si="8"/>
        <v>-20357.299993070978</v>
      </c>
      <c r="AA31" s="170">
        <f t="shared" si="8"/>
        <v>-10190.399436352716</v>
      </c>
      <c r="AB31" s="170">
        <f t="shared" si="8"/>
        <v>-8202.5019326782785</v>
      </c>
      <c r="AC31" s="170">
        <f t="shared" si="8"/>
        <v>-30342.900677135971</v>
      </c>
      <c r="AD31" s="170"/>
    </row>
    <row r="32" spans="1:30"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</row>
    <row r="33" spans="1:15" ht="15">
      <c r="A33" s="173" t="s">
        <v>155</v>
      </c>
      <c r="B33" s="173"/>
      <c r="C33" s="157">
        <v>43101</v>
      </c>
      <c r="D33" s="157">
        <v>43132</v>
      </c>
      <c r="E33" s="157">
        <v>43160</v>
      </c>
      <c r="F33" s="157">
        <v>43191</v>
      </c>
      <c r="G33" s="157">
        <v>43221</v>
      </c>
      <c r="H33" s="157">
        <v>43252</v>
      </c>
      <c r="I33" s="157">
        <v>43282</v>
      </c>
      <c r="J33" s="157">
        <v>43313</v>
      </c>
      <c r="K33" s="157">
        <v>43344</v>
      </c>
      <c r="L33" s="157">
        <v>43374</v>
      </c>
      <c r="M33" s="157">
        <v>43405</v>
      </c>
      <c r="N33" s="174">
        <v>43435</v>
      </c>
      <c r="O33" s="175" t="s">
        <v>2</v>
      </c>
    </row>
    <row r="34" spans="1:15" ht="4.1500000000000004" customHeight="1"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74"/>
      <c r="O34" s="175"/>
    </row>
    <row r="35" spans="1:15">
      <c r="A35" t="s">
        <v>156</v>
      </c>
      <c r="C35" s="161">
        <f t="shared" ref="C35:C44" si="9">C2</f>
        <v>1460111.6749726669</v>
      </c>
      <c r="D35" s="161">
        <f t="shared" ref="D35:N44" si="10">D2 - C2</f>
        <v>2175979.3493383564</v>
      </c>
      <c r="E35" s="161">
        <f t="shared" si="10"/>
        <v>2069852.2024657833</v>
      </c>
      <c r="F35" s="161">
        <f t="shared" si="10"/>
        <v>2400825.0245210147</v>
      </c>
      <c r="G35" s="161">
        <f t="shared" si="10"/>
        <v>-11664.616608157754</v>
      </c>
      <c r="H35" s="161">
        <f t="shared" si="10"/>
        <v>-811163.87801373377</v>
      </c>
      <c r="I35" s="161">
        <f t="shared" si="10"/>
        <v>2390619.3299178695</v>
      </c>
      <c r="J35" s="161">
        <f t="shared" si="10"/>
        <v>-778235.1927976571</v>
      </c>
      <c r="K35" s="161">
        <f t="shared" si="10"/>
        <v>622192.02002900094</v>
      </c>
      <c r="L35" s="161">
        <f t="shared" si="10"/>
        <v>-2167303.0794065883</v>
      </c>
      <c r="M35" s="161">
        <f t="shared" si="10"/>
        <v>-1465802.2010724358</v>
      </c>
      <c r="N35" s="176">
        <f t="shared" si="10"/>
        <v>-2710871.2180443183</v>
      </c>
      <c r="O35" s="177">
        <f>SUM(C35:N35)</f>
        <v>3174539.4153018007</v>
      </c>
    </row>
    <row r="36" spans="1:15">
      <c r="A36" t="s">
        <v>138</v>
      </c>
      <c r="C36" s="161">
        <f t="shared" si="9"/>
        <v>-787504.03881830862</v>
      </c>
      <c r="D36" s="161">
        <f t="shared" si="10"/>
        <v>665429.53760150424</v>
      </c>
      <c r="E36" s="161">
        <f t="shared" si="10"/>
        <v>10405.868745912885</v>
      </c>
      <c r="F36" s="161">
        <f t="shared" si="10"/>
        <v>205825.17036660516</v>
      </c>
      <c r="G36" s="161">
        <f t="shared" si="10"/>
        <v>41791.275428027264</v>
      </c>
      <c r="H36" s="161">
        <f t="shared" si="10"/>
        <v>-114244.30725334494</v>
      </c>
      <c r="I36" s="161">
        <f t="shared" si="10"/>
        <v>747734.97285467549</v>
      </c>
      <c r="J36" s="161">
        <f t="shared" si="10"/>
        <v>3470528.1341642812</v>
      </c>
      <c r="K36" s="161">
        <f t="shared" si="10"/>
        <v>-452694.79728674842</v>
      </c>
      <c r="L36" s="161">
        <f t="shared" si="10"/>
        <v>-368346.17875371454</v>
      </c>
      <c r="M36" s="161">
        <f t="shared" si="10"/>
        <v>-296812.79378423793</v>
      </c>
      <c r="N36" s="176">
        <f t="shared" si="10"/>
        <v>-1287799.7415707498</v>
      </c>
      <c r="O36" s="177">
        <f t="shared" ref="O36:O47" si="11">SUM(C36:N36)</f>
        <v>1834313.1016939022</v>
      </c>
    </row>
    <row r="37" spans="1:15">
      <c r="A37" t="s">
        <v>118</v>
      </c>
      <c r="C37" s="161">
        <f t="shared" si="9"/>
        <v>-739930.68768513121</v>
      </c>
      <c r="D37" s="161">
        <f t="shared" si="10"/>
        <v>-1481685.9998753546</v>
      </c>
      <c r="E37" s="161">
        <f t="shared" si="10"/>
        <v>-1306911.5653988924</v>
      </c>
      <c r="F37" s="161">
        <f t="shared" si="10"/>
        <v>-1123041.8824410727</v>
      </c>
      <c r="G37" s="161">
        <f t="shared" si="10"/>
        <v>-633540.9452503128</v>
      </c>
      <c r="H37" s="161">
        <f t="shared" si="10"/>
        <v>108874.14078698214</v>
      </c>
      <c r="I37" s="161">
        <f t="shared" si="10"/>
        <v>-403656.23458014987</v>
      </c>
      <c r="J37" s="161">
        <f t="shared" si="10"/>
        <v>-887397.19306276925</v>
      </c>
      <c r="K37" s="161">
        <f t="shared" si="10"/>
        <v>541702.68565616757</v>
      </c>
      <c r="L37" s="161">
        <f t="shared" si="10"/>
        <v>27961.257999925874</v>
      </c>
      <c r="M37" s="161">
        <f t="shared" si="10"/>
        <v>45914.130592152476</v>
      </c>
      <c r="N37" s="176">
        <f t="shared" si="10"/>
        <v>481821.49621921591</v>
      </c>
      <c r="O37" s="177">
        <f t="shared" si="11"/>
        <v>-5369890.7970392387</v>
      </c>
    </row>
    <row r="38" spans="1:15">
      <c r="A38" t="s">
        <v>119</v>
      </c>
      <c r="C38" s="161">
        <f t="shared" si="9"/>
        <v>-240849.98963394179</v>
      </c>
      <c r="D38" s="161">
        <f t="shared" si="10"/>
        <v>-673883.99368820118</v>
      </c>
      <c r="E38" s="161">
        <f t="shared" si="10"/>
        <v>-647322.70263562154</v>
      </c>
      <c r="F38" s="161">
        <f t="shared" si="10"/>
        <v>-545047.89706516196</v>
      </c>
      <c r="G38" s="161">
        <f t="shared" si="10"/>
        <v>16361.454039001605</v>
      </c>
      <c r="H38" s="161">
        <f t="shared" si="10"/>
        <v>-240204.76190204569</v>
      </c>
      <c r="I38" s="161">
        <f t="shared" si="10"/>
        <v>33845.669977283571</v>
      </c>
      <c r="J38" s="161">
        <f t="shared" si="10"/>
        <v>-152947.72572281351</v>
      </c>
      <c r="K38" s="161">
        <f t="shared" si="10"/>
        <v>416794.96441659937</v>
      </c>
      <c r="L38" s="161">
        <f t="shared" si="10"/>
        <v>266290.33013744326</v>
      </c>
      <c r="M38" s="161">
        <f t="shared" si="10"/>
        <v>342520.38424663572</v>
      </c>
      <c r="N38" s="176">
        <f t="shared" si="10"/>
        <v>557054.18493695231</v>
      </c>
      <c r="O38" s="177">
        <f t="shared" si="11"/>
        <v>-867390.08289386984</v>
      </c>
    </row>
    <row r="39" spans="1:15">
      <c r="A39" t="s">
        <v>139</v>
      </c>
      <c r="C39" s="161">
        <f t="shared" si="9"/>
        <v>-89937.350823892833</v>
      </c>
      <c r="D39" s="161">
        <f t="shared" si="10"/>
        <v>-21533.204863871593</v>
      </c>
      <c r="E39" s="161">
        <f t="shared" si="10"/>
        <v>-52280.852992609143</v>
      </c>
      <c r="F39" s="161">
        <f t="shared" si="10"/>
        <v>15794.008358216292</v>
      </c>
      <c r="G39" s="161">
        <f t="shared" si="10"/>
        <v>58525.148629254094</v>
      </c>
      <c r="H39" s="161">
        <f t="shared" si="10"/>
        <v>2374.6808312311769</v>
      </c>
      <c r="I39" s="161">
        <f t="shared" si="10"/>
        <v>352916.55213671026</v>
      </c>
      <c r="J39" s="161">
        <f t="shared" si="10"/>
        <v>122331.58293198491</v>
      </c>
      <c r="K39" s="161">
        <f t="shared" si="10"/>
        <v>258890.3169978768</v>
      </c>
      <c r="L39" s="161">
        <f t="shared" si="10"/>
        <v>384919.50470725039</v>
      </c>
      <c r="M39" s="161">
        <f t="shared" si="10"/>
        <v>164430.8884267942</v>
      </c>
      <c r="N39" s="176">
        <f t="shared" si="10"/>
        <v>-75797.048970968928</v>
      </c>
      <c r="O39" s="177">
        <f t="shared" si="11"/>
        <v>1120634.2253679757</v>
      </c>
    </row>
    <row r="40" spans="1:15">
      <c r="A40" t="s">
        <v>140</v>
      </c>
      <c r="C40" s="161">
        <f t="shared" si="9"/>
        <v>-188038.4259398877</v>
      </c>
      <c r="D40" s="161">
        <f t="shared" si="10"/>
        <v>-200579.88143779052</v>
      </c>
      <c r="E40" s="161">
        <f t="shared" si="10"/>
        <v>-315843.23666070797</v>
      </c>
      <c r="F40" s="161">
        <f t="shared" si="10"/>
        <v>15482.488581514335</v>
      </c>
      <c r="G40" s="161">
        <f t="shared" si="10"/>
        <v>116878.54150814062</v>
      </c>
      <c r="H40" s="161">
        <f t="shared" si="10"/>
        <v>118042.34541835781</v>
      </c>
      <c r="I40" s="161">
        <f t="shared" si="10"/>
        <v>1221652.7156741954</v>
      </c>
      <c r="J40" s="161">
        <f t="shared" si="10"/>
        <v>420418.09082856751</v>
      </c>
      <c r="K40" s="161">
        <f t="shared" si="10"/>
        <v>-8843.387364536291</v>
      </c>
      <c r="L40" s="161">
        <f t="shared" si="10"/>
        <v>-15646.153726682998</v>
      </c>
      <c r="M40" s="161">
        <f t="shared" si="10"/>
        <v>-160254.86048213847</v>
      </c>
      <c r="N40" s="176">
        <f t="shared" si="10"/>
        <v>-223720.52086029621</v>
      </c>
      <c r="O40" s="177">
        <f t="shared" si="11"/>
        <v>779547.71553873562</v>
      </c>
    </row>
    <row r="41" spans="1:15">
      <c r="A41" t="s">
        <v>141</v>
      </c>
      <c r="C41" s="161">
        <f t="shared" si="9"/>
        <v>-637016.79356320342</v>
      </c>
      <c r="D41" s="161">
        <f t="shared" si="10"/>
        <v>-223806.42357542471</v>
      </c>
      <c r="E41" s="161">
        <f t="shared" si="10"/>
        <v>-93558.566897204379</v>
      </c>
      <c r="F41" s="161">
        <f t="shared" si="10"/>
        <v>153268.15525784239</v>
      </c>
      <c r="G41" s="161">
        <f t="shared" si="10"/>
        <v>139582.27325008623</v>
      </c>
      <c r="H41" s="161">
        <f t="shared" si="10"/>
        <v>71448.443407597137</v>
      </c>
      <c r="I41" s="161">
        <f t="shared" si="10"/>
        <v>242654.90037763771</v>
      </c>
      <c r="J41" s="161">
        <f t="shared" si="10"/>
        <v>305220.25584642647</v>
      </c>
      <c r="K41" s="161">
        <f t="shared" si="10"/>
        <v>247767.76139691428</v>
      </c>
      <c r="L41" s="161">
        <f t="shared" si="10"/>
        <v>517581.55689234647</v>
      </c>
      <c r="M41" s="161">
        <f t="shared" si="10"/>
        <v>-34176.541262347251</v>
      </c>
      <c r="N41" s="176">
        <f t="shared" si="10"/>
        <v>78603.447842044174</v>
      </c>
      <c r="O41" s="177">
        <f t="shared" si="11"/>
        <v>767568.46897271508</v>
      </c>
    </row>
    <row r="42" spans="1:15">
      <c r="A42" t="s">
        <v>142</v>
      </c>
      <c r="C42" s="161">
        <f t="shared" si="9"/>
        <v>145898.68420219375</v>
      </c>
      <c r="D42" s="161">
        <f t="shared" si="10"/>
        <v>392578.37103805563</v>
      </c>
      <c r="E42" s="161">
        <f t="shared" si="10"/>
        <v>65062.692308616708</v>
      </c>
      <c r="F42" s="161">
        <f t="shared" si="10"/>
        <v>227154.21281623829</v>
      </c>
      <c r="G42" s="161">
        <f t="shared" si="10"/>
        <v>-372879.15174789389</v>
      </c>
      <c r="H42" s="161">
        <f t="shared" si="10"/>
        <v>217124.3805625909</v>
      </c>
      <c r="I42" s="161">
        <f t="shared" si="10"/>
        <v>101915.02612180763</v>
      </c>
      <c r="J42" s="161">
        <f t="shared" si="10"/>
        <v>278942.39560794842</v>
      </c>
      <c r="K42" s="161">
        <f t="shared" si="10"/>
        <v>-54034.48482170084</v>
      </c>
      <c r="L42" s="161">
        <f t="shared" si="10"/>
        <v>-137357.26878318738</v>
      </c>
      <c r="M42" s="161">
        <f t="shared" si="10"/>
        <v>154588.96932830836</v>
      </c>
      <c r="N42" s="176">
        <f t="shared" si="10"/>
        <v>92984.838302994263</v>
      </c>
      <c r="O42" s="177">
        <f t="shared" si="11"/>
        <v>1111978.6649359718</v>
      </c>
    </row>
    <row r="43" spans="1:15">
      <c r="A43" t="s">
        <v>143</v>
      </c>
      <c r="C43" s="161">
        <f t="shared" si="9"/>
        <v>-163079.01017762214</v>
      </c>
      <c r="D43" s="161">
        <f t="shared" si="10"/>
        <v>-82838.050377310603</v>
      </c>
      <c r="E43" s="161">
        <f t="shared" si="10"/>
        <v>-46221.189969677187</v>
      </c>
      <c r="F43" s="161">
        <f t="shared" si="10"/>
        <v>610.21900525921956</v>
      </c>
      <c r="G43" s="161">
        <f t="shared" si="10"/>
        <v>-76690.704908518586</v>
      </c>
      <c r="H43" s="161">
        <f t="shared" si="10"/>
        <v>67547.470251279185</v>
      </c>
      <c r="I43" s="161">
        <f t="shared" si="10"/>
        <v>-181200.96524167433</v>
      </c>
      <c r="J43" s="161">
        <f t="shared" si="10"/>
        <v>-143414.18508142454</v>
      </c>
      <c r="K43" s="161">
        <f t="shared" si="10"/>
        <v>45708.851541678072</v>
      </c>
      <c r="L43" s="161">
        <f t="shared" si="10"/>
        <v>-147705.85501957173</v>
      </c>
      <c r="M43" s="161">
        <f t="shared" si="10"/>
        <v>-85890.422888768138</v>
      </c>
      <c r="N43" s="176">
        <f t="shared" si="10"/>
        <v>-71391.285377588356</v>
      </c>
      <c r="O43" s="177">
        <f t="shared" si="11"/>
        <v>-884565.12824393914</v>
      </c>
    </row>
    <row r="44" spans="1:15">
      <c r="A44" t="s">
        <v>10</v>
      </c>
      <c r="C44" s="161">
        <f t="shared" si="9"/>
        <v>-207708.98248772963</v>
      </c>
      <c r="D44" s="161">
        <f t="shared" si="10"/>
        <v>-1180243.8856087015</v>
      </c>
      <c r="E44" s="161">
        <f t="shared" si="10"/>
        <v>-179462.70162345516</v>
      </c>
      <c r="F44" s="161">
        <f t="shared" si="10"/>
        <v>-594937.98492195457</v>
      </c>
      <c r="G44" s="161">
        <f t="shared" si="10"/>
        <v>-1164435.6492126565</v>
      </c>
      <c r="H44" s="161">
        <f t="shared" si="10"/>
        <v>-390585.82723910734</v>
      </c>
      <c r="I44" s="161">
        <f t="shared" si="10"/>
        <v>2319708.0018092468</v>
      </c>
      <c r="J44" s="161">
        <f t="shared" si="10"/>
        <v>2661643.4598038727</v>
      </c>
      <c r="K44" s="161">
        <f t="shared" si="10"/>
        <v>153229.7109005698</v>
      </c>
      <c r="L44" s="161">
        <f t="shared" si="10"/>
        <v>-408742.19765199907</v>
      </c>
      <c r="M44" s="161">
        <f t="shared" si="10"/>
        <v>-739789.75778882019</v>
      </c>
      <c r="N44" s="176">
        <f t="shared" si="10"/>
        <v>15120.847399157938</v>
      </c>
      <c r="O44" s="177">
        <f t="shared" si="11"/>
        <v>283795.03337842319</v>
      </c>
    </row>
    <row r="45" spans="1:15">
      <c r="A45" t="s">
        <v>157</v>
      </c>
      <c r="C45" s="161">
        <f>C12+C13+C15</f>
        <v>-2207017.9176724884</v>
      </c>
      <c r="D45" s="161">
        <f t="shared" ref="D45:N45" si="12">D12+D13+D15 - (C12+C13+C15)</f>
        <v>-3466197.4855475319</v>
      </c>
      <c r="E45" s="161">
        <f t="shared" si="12"/>
        <v>-2793538.7606600784</v>
      </c>
      <c r="F45" s="161">
        <f t="shared" si="12"/>
        <v>-3016064.7624680679</v>
      </c>
      <c r="G45" s="161">
        <f t="shared" si="12"/>
        <v>-1511229.4365855027</v>
      </c>
      <c r="H45" s="161">
        <f t="shared" si="12"/>
        <v>-1319635.3628203031</v>
      </c>
      <c r="I45" s="161">
        <f t="shared" si="12"/>
        <v>-4355300.0166840721</v>
      </c>
      <c r="J45" s="161">
        <f t="shared" si="12"/>
        <v>-3738268.2833506353</v>
      </c>
      <c r="K45" s="161">
        <f t="shared" si="12"/>
        <v>-1827346.5656871907</v>
      </c>
      <c r="L45" s="161">
        <f t="shared" si="12"/>
        <v>1975910.5421874858</v>
      </c>
      <c r="M45" s="161">
        <f t="shared" si="12"/>
        <v>-1992051.6607174724</v>
      </c>
      <c r="N45" s="161">
        <f t="shared" si="12"/>
        <v>2853408.1364317648</v>
      </c>
      <c r="O45" s="177">
        <f t="shared" si="11"/>
        <v>-21397331.573574092</v>
      </c>
    </row>
    <row r="46" spans="1:15">
      <c r="A46" t="s">
        <v>145</v>
      </c>
      <c r="C46" s="161">
        <f>C14</f>
        <v>-18021.985876540573</v>
      </c>
      <c r="D46" s="161">
        <f t="shared" ref="D46:N46" si="13">D14 - C14</f>
        <v>-132557.37735378579</v>
      </c>
      <c r="E46" s="161">
        <f t="shared" si="13"/>
        <v>49000.37936645803</v>
      </c>
      <c r="F46" s="161">
        <f t="shared" si="13"/>
        <v>-6951.8042830062332</v>
      </c>
      <c r="G46" s="161">
        <f t="shared" si="13"/>
        <v>17872.59042437865</v>
      </c>
      <c r="H46" s="161">
        <f t="shared" si="13"/>
        <v>752.5311197944684</v>
      </c>
      <c r="I46" s="161">
        <f t="shared" si="13"/>
        <v>141109.50289937659</v>
      </c>
      <c r="J46" s="161">
        <f t="shared" si="13"/>
        <v>77877.20589598309</v>
      </c>
      <c r="K46" s="161">
        <f t="shared" si="13"/>
        <v>61117.663432645611</v>
      </c>
      <c r="L46" s="161">
        <f t="shared" si="13"/>
        <v>-26476.915756880015</v>
      </c>
      <c r="M46" s="161">
        <f t="shared" si="13"/>
        <v>19019.834661823377</v>
      </c>
      <c r="N46" s="176">
        <f t="shared" si="13"/>
        <v>29573.297370032582</v>
      </c>
      <c r="O46" s="177">
        <f t="shared" si="11"/>
        <v>212314.92190027979</v>
      </c>
    </row>
    <row r="47" spans="1:15" ht="15">
      <c r="C47" s="166">
        <f t="shared" ref="C47:N47" si="14">SUM(C35:C46)</f>
        <v>-3673094.8235038859</v>
      </c>
      <c r="D47" s="166">
        <f t="shared" si="14"/>
        <v>-4229339.044350056</v>
      </c>
      <c r="E47" s="166">
        <f t="shared" si="14"/>
        <v>-3240818.4339514752</v>
      </c>
      <c r="F47" s="166">
        <f t="shared" si="14"/>
        <v>-2267085.0522725726</v>
      </c>
      <c r="G47" s="166">
        <f t="shared" si="14"/>
        <v>-3379429.2210341538</v>
      </c>
      <c r="H47" s="166">
        <f t="shared" si="14"/>
        <v>-2289670.144850702</v>
      </c>
      <c r="I47" s="166">
        <f t="shared" si="14"/>
        <v>2611999.4552629068</v>
      </c>
      <c r="J47" s="166">
        <f t="shared" si="14"/>
        <v>1636698.5450637643</v>
      </c>
      <c r="K47" s="166">
        <f t="shared" si="14"/>
        <v>4484.7392112761736</v>
      </c>
      <c r="L47" s="166">
        <f t="shared" si="14"/>
        <v>-98914.457174172334</v>
      </c>
      <c r="M47" s="166">
        <f t="shared" si="14"/>
        <v>-4048304.0307405065</v>
      </c>
      <c r="N47" s="178">
        <f t="shared" si="14"/>
        <v>-261013.56632175978</v>
      </c>
      <c r="O47" s="179">
        <f t="shared" si="11"/>
        <v>-19234486.034661334</v>
      </c>
    </row>
    <row r="48" spans="1:15">
      <c r="N48" s="11"/>
      <c r="O48" s="177"/>
    </row>
    <row r="49" spans="1:15">
      <c r="A49" t="s">
        <v>146</v>
      </c>
      <c r="C49" s="161">
        <f>C18</f>
        <v>-205643.12</v>
      </c>
      <c r="D49" s="161">
        <f t="shared" ref="D49:N51" si="15">D18 - C18</f>
        <v>-201128.66000000003</v>
      </c>
      <c r="E49" s="161">
        <f t="shared" si="15"/>
        <v>-204542.33499999996</v>
      </c>
      <c r="F49" s="161">
        <f t="shared" si="15"/>
        <v>-270133.17999999993</v>
      </c>
      <c r="G49" s="161">
        <f t="shared" si="15"/>
        <v>-329130.47666666657</v>
      </c>
      <c r="H49" s="161">
        <f t="shared" si="15"/>
        <v>-323724.29166666698</v>
      </c>
      <c r="I49" s="161">
        <f t="shared" si="15"/>
        <v>-151760.82166666677</v>
      </c>
      <c r="J49" s="161">
        <f t="shared" si="15"/>
        <v>-115446.92666666675</v>
      </c>
      <c r="K49" s="161">
        <f t="shared" si="15"/>
        <v>-125468.99666666659</v>
      </c>
      <c r="L49" s="161">
        <f t="shared" si="15"/>
        <v>-147918.42166666663</v>
      </c>
      <c r="M49" s="161">
        <f t="shared" si="15"/>
        <v>-194133.71666666702</v>
      </c>
      <c r="N49" s="176">
        <f t="shared" si="15"/>
        <v>-166735.00666666636</v>
      </c>
      <c r="O49" s="177">
        <f t="shared" ref="O49:O57" si="16">SUM(C49:N49)</f>
        <v>-2435765.9533333336</v>
      </c>
    </row>
    <row r="50" spans="1:15">
      <c r="A50" t="s">
        <v>147</v>
      </c>
      <c r="C50" s="161">
        <f>C19</f>
        <v>417.09681899473071</v>
      </c>
      <c r="D50" s="161">
        <f t="shared" si="15"/>
        <v>-30594.241236496717</v>
      </c>
      <c r="E50" s="161">
        <f t="shared" si="15"/>
        <v>19418.232307000086</v>
      </c>
      <c r="F50" s="161">
        <f t="shared" si="15"/>
        <v>-3364.7699125036597</v>
      </c>
      <c r="G50" s="161">
        <f t="shared" si="15"/>
        <v>2615.1390549996868</v>
      </c>
      <c r="H50" s="161">
        <f t="shared" si="15"/>
        <v>-371.3935099998489</v>
      </c>
      <c r="I50" s="161">
        <f t="shared" si="15"/>
        <v>3435.4974119970575</v>
      </c>
      <c r="J50" s="161">
        <f t="shared" si="15"/>
        <v>-323.21416099742055</v>
      </c>
      <c r="K50" s="161">
        <f t="shared" si="15"/>
        <v>7539.7549120001495</v>
      </c>
      <c r="L50" s="161">
        <f t="shared" si="15"/>
        <v>-9956.231457001064</v>
      </c>
      <c r="M50" s="161">
        <f t="shared" si="15"/>
        <v>17409.881178500131</v>
      </c>
      <c r="N50" s="176">
        <f t="shared" si="15"/>
        <v>-15199.101635999978</v>
      </c>
      <c r="O50" s="177">
        <f t="shared" si="16"/>
        <v>-8973.3502295068465</v>
      </c>
    </row>
    <row r="51" spans="1:15">
      <c r="A51" t="s">
        <v>148</v>
      </c>
      <c r="C51" s="161">
        <f>C20</f>
        <v>20400.350654918628</v>
      </c>
      <c r="D51" s="161">
        <f t="shared" si="15"/>
        <v>-28098.319365110583</v>
      </c>
      <c r="E51" s="161">
        <f t="shared" si="15"/>
        <v>18912.675002170276</v>
      </c>
      <c r="F51" s="161">
        <f t="shared" si="15"/>
        <v>-45363.66457321815</v>
      </c>
      <c r="G51" s="161">
        <f t="shared" si="15"/>
        <v>19988.750483306947</v>
      </c>
      <c r="H51" s="161">
        <f t="shared" si="15"/>
        <v>36529.751891032982</v>
      </c>
      <c r="I51" s="161">
        <f t="shared" si="15"/>
        <v>32345.435859553036</v>
      </c>
      <c r="J51" s="161">
        <f t="shared" si="15"/>
        <v>17022.079473588536</v>
      </c>
      <c r="K51" s="161">
        <f t="shared" si="15"/>
        <v>-100948.24228946431</v>
      </c>
      <c r="L51" s="161">
        <f t="shared" si="15"/>
        <v>-218472.53139088969</v>
      </c>
      <c r="M51" s="161">
        <f t="shared" si="15"/>
        <v>63450.509965863748</v>
      </c>
      <c r="N51" s="176">
        <f t="shared" si="15"/>
        <v>-157255.78514614908</v>
      </c>
      <c r="O51" s="177">
        <f t="shared" si="16"/>
        <v>-341488.98943439766</v>
      </c>
    </row>
    <row r="52" spans="1:15">
      <c r="A52" t="s">
        <v>150</v>
      </c>
      <c r="C52" s="161">
        <f>C22</f>
        <v>44474.791249999544</v>
      </c>
      <c r="D52" s="161">
        <f t="shared" ref="D52:N52" si="17">D22 - C22</f>
        <v>39439.66924999957</v>
      </c>
      <c r="E52" s="161">
        <f t="shared" si="17"/>
        <v>39439.66924999957</v>
      </c>
      <c r="F52" s="161">
        <f t="shared" si="17"/>
        <v>39439.66924999957</v>
      </c>
      <c r="G52" s="161">
        <f t="shared" si="17"/>
        <v>-1412.5171666669194</v>
      </c>
      <c r="H52" s="161">
        <f t="shared" si="17"/>
        <v>-1412.5171666669194</v>
      </c>
      <c r="I52" s="161">
        <f t="shared" si="17"/>
        <v>36201.732833333081</v>
      </c>
      <c r="J52" s="161">
        <f t="shared" si="17"/>
        <v>36201.732833333081</v>
      </c>
      <c r="K52" s="161">
        <f t="shared" si="17"/>
        <v>50362.282333333278</v>
      </c>
      <c r="L52" s="161">
        <f t="shared" si="17"/>
        <v>22041.183333333349</v>
      </c>
      <c r="M52" s="161">
        <f t="shared" si="17"/>
        <v>36581.487333333353</v>
      </c>
      <c r="N52" s="176">
        <f t="shared" si="17"/>
        <v>36581.487333333353</v>
      </c>
      <c r="O52" s="177">
        <f t="shared" si="16"/>
        <v>377938.67066666391</v>
      </c>
    </row>
    <row r="53" spans="1:15">
      <c r="A53" t="s">
        <v>151</v>
      </c>
      <c r="C53" s="161">
        <f>C24</f>
        <v>-177106.20333333325</v>
      </c>
      <c r="D53" s="161">
        <f t="shared" ref="D53:N56" si="18">D24 - C24</f>
        <v>-176623.87333333318</v>
      </c>
      <c r="E53" s="161">
        <f t="shared" si="18"/>
        <v>-85173.873333333293</v>
      </c>
      <c r="F53" s="161">
        <f t="shared" si="18"/>
        <v>-169410.70333333337</v>
      </c>
      <c r="G53" s="161">
        <f t="shared" si="18"/>
        <v>-93450.749999999884</v>
      </c>
      <c r="H53" s="161">
        <f t="shared" si="18"/>
        <v>-112542.42999999982</v>
      </c>
      <c r="I53" s="161">
        <f t="shared" si="18"/>
        <v>-87874.310000000056</v>
      </c>
      <c r="J53" s="161">
        <f t="shared" si="18"/>
        <v>-64684.400000000023</v>
      </c>
      <c r="K53" s="161">
        <f t="shared" si="18"/>
        <v>-77593.929999999935</v>
      </c>
      <c r="L53" s="161">
        <f t="shared" si="18"/>
        <v>-280782.90000000002</v>
      </c>
      <c r="M53" s="161">
        <f t="shared" si="18"/>
        <v>-193692.58000000007</v>
      </c>
      <c r="N53" s="176">
        <f t="shared" si="18"/>
        <v>-129265.62999999989</v>
      </c>
      <c r="O53" s="177">
        <f t="shared" si="16"/>
        <v>-1648201.5833333328</v>
      </c>
    </row>
    <row r="54" spans="1:15">
      <c r="A54" t="s">
        <v>152</v>
      </c>
      <c r="C54" s="161">
        <f>C25</f>
        <v>6748.179999999993</v>
      </c>
      <c r="D54" s="161">
        <f t="shared" si="18"/>
        <v>-19355.539999999994</v>
      </c>
      <c r="E54" s="161">
        <f t="shared" si="18"/>
        <v>-1048.8600000000006</v>
      </c>
      <c r="F54" s="161">
        <f t="shared" si="18"/>
        <v>-1723.7699999999968</v>
      </c>
      <c r="G54" s="161">
        <f t="shared" si="18"/>
        <v>22649.050000000003</v>
      </c>
      <c r="H54" s="161">
        <f t="shared" si="18"/>
        <v>20460.339999999997</v>
      </c>
      <c r="I54" s="161">
        <f t="shared" si="18"/>
        <v>8267.57</v>
      </c>
      <c r="J54" s="161">
        <f t="shared" si="18"/>
        <v>20387.5</v>
      </c>
      <c r="K54" s="161">
        <f t="shared" si="18"/>
        <v>33139.78</v>
      </c>
      <c r="L54" s="161">
        <f t="shared" si="18"/>
        <v>6100.6199999999953</v>
      </c>
      <c r="M54" s="161">
        <f t="shared" si="18"/>
        <v>7077.1900000000023</v>
      </c>
      <c r="N54" s="176">
        <f t="shared" si="18"/>
        <v>29366.289999999979</v>
      </c>
      <c r="O54" s="177">
        <f t="shared" si="16"/>
        <v>132068.34999999998</v>
      </c>
    </row>
    <row r="55" spans="1:15">
      <c r="A55" t="s">
        <v>153</v>
      </c>
      <c r="C55" s="161">
        <f>C26</f>
        <v>33761.45439999993</v>
      </c>
      <c r="D55" s="161">
        <f t="shared" si="18"/>
        <v>62820.089200000046</v>
      </c>
      <c r="E55" s="161">
        <f t="shared" si="18"/>
        <v>-40967.930799999973</v>
      </c>
      <c r="F55" s="161">
        <f t="shared" si="18"/>
        <v>107962.81196799991</v>
      </c>
      <c r="G55" s="161">
        <f t="shared" si="18"/>
        <v>34343.760000000009</v>
      </c>
      <c r="H55" s="161">
        <f t="shared" si="18"/>
        <v>17173.813333333237</v>
      </c>
      <c r="I55" s="161">
        <f t="shared" si="18"/>
        <v>-21579.5</v>
      </c>
      <c r="J55" s="161">
        <f t="shared" si="18"/>
        <v>28065.199999999953</v>
      </c>
      <c r="K55" s="161">
        <f t="shared" si="18"/>
        <v>-59974.850000000093</v>
      </c>
      <c r="L55" s="161">
        <f t="shared" si="18"/>
        <v>13062.419999999925</v>
      </c>
      <c r="M55" s="161">
        <f t="shared" si="18"/>
        <v>37051.439999999944</v>
      </c>
      <c r="N55" s="176">
        <f t="shared" si="18"/>
        <v>-26772.340000000084</v>
      </c>
      <c r="O55" s="177">
        <f t="shared" si="16"/>
        <v>184946.3681013328</v>
      </c>
    </row>
    <row r="56" spans="1:15">
      <c r="A56" t="s">
        <v>154</v>
      </c>
      <c r="C56" s="161">
        <f>C27</f>
        <v>-39333.84583332995</v>
      </c>
      <c r="D56" s="161">
        <f t="shared" si="18"/>
        <v>-370228.50333333015</v>
      </c>
      <c r="E56" s="161">
        <f t="shared" si="18"/>
        <v>51862.945000000065</v>
      </c>
      <c r="F56" s="161">
        <f t="shared" si="18"/>
        <v>82434.756666669855</v>
      </c>
      <c r="G56" s="161">
        <f t="shared" si="18"/>
        <v>-304875.92000000016</v>
      </c>
      <c r="H56" s="161">
        <f t="shared" si="18"/>
        <v>-281795.27</v>
      </c>
      <c r="I56" s="161">
        <f t="shared" si="18"/>
        <v>-440164.69000000018</v>
      </c>
      <c r="J56" s="161">
        <f t="shared" si="18"/>
        <v>-395172.70000000019</v>
      </c>
      <c r="K56" s="161">
        <f t="shared" si="18"/>
        <v>156698.7899999998</v>
      </c>
      <c r="L56" s="161">
        <f t="shared" si="18"/>
        <v>8677.3699999998789</v>
      </c>
      <c r="M56" s="161">
        <f t="shared" si="18"/>
        <v>-547920.65000000014</v>
      </c>
      <c r="N56" s="176">
        <f t="shared" si="18"/>
        <v>-844357.15999999992</v>
      </c>
      <c r="O56" s="180">
        <f t="shared" si="16"/>
        <v>-2924174.8774999911</v>
      </c>
    </row>
    <row r="57" spans="1:15" ht="15">
      <c r="A57" s="97"/>
      <c r="B57" s="97"/>
      <c r="C57" s="172">
        <f t="shared" ref="C57:N57" si="19">SUM(C49:C56)</f>
        <v>-316281.29604275036</v>
      </c>
      <c r="D57" s="172">
        <f t="shared" si="19"/>
        <v>-723769.37881827098</v>
      </c>
      <c r="E57" s="172">
        <f t="shared" si="19"/>
        <v>-202099.47757416323</v>
      </c>
      <c r="F57" s="172">
        <f t="shared" si="19"/>
        <v>-260158.8499343858</v>
      </c>
      <c r="G57" s="172">
        <f t="shared" si="19"/>
        <v>-649272.96429502685</v>
      </c>
      <c r="H57" s="172">
        <f t="shared" si="19"/>
        <v>-645681.99711896735</v>
      </c>
      <c r="I57" s="172">
        <f t="shared" si="19"/>
        <v>-621129.08556178375</v>
      </c>
      <c r="J57" s="172">
        <f t="shared" si="19"/>
        <v>-473950.72852074285</v>
      </c>
      <c r="K57" s="172">
        <f t="shared" si="19"/>
        <v>-116245.41171079769</v>
      </c>
      <c r="L57" s="172">
        <f t="shared" si="19"/>
        <v>-607248.49118122424</v>
      </c>
      <c r="M57" s="172">
        <f t="shared" si="19"/>
        <v>-774176.43818897009</v>
      </c>
      <c r="N57" s="181">
        <f t="shared" si="19"/>
        <v>-1273637.2461154819</v>
      </c>
      <c r="O57" s="182">
        <f t="shared" si="16"/>
        <v>-6663651.3650625665</v>
      </c>
    </row>
    <row r="58" spans="1:15">
      <c r="N58" s="11"/>
      <c r="O58" s="10"/>
    </row>
    <row r="59" spans="1:15" ht="15">
      <c r="C59" s="183">
        <f t="shared" ref="C59:O59" si="20">C47+C57</f>
        <v>-3989376.119546636</v>
      </c>
      <c r="D59" s="183">
        <f t="shared" si="20"/>
        <v>-4953108.4231683267</v>
      </c>
      <c r="E59" s="183">
        <f t="shared" si="20"/>
        <v>-3442917.9115256383</v>
      </c>
      <c r="F59" s="183">
        <f t="shared" si="20"/>
        <v>-2527243.9022069583</v>
      </c>
      <c r="G59" s="183">
        <f t="shared" si="20"/>
        <v>-4028702.1853291807</v>
      </c>
      <c r="H59" s="183">
        <f t="shared" si="20"/>
        <v>-2935352.1419696696</v>
      </c>
      <c r="I59" s="183">
        <f t="shared" si="20"/>
        <v>1990870.3697011231</v>
      </c>
      <c r="J59" s="183">
        <f t="shared" si="20"/>
        <v>1162747.8165430215</v>
      </c>
      <c r="K59" s="183">
        <f t="shared" si="20"/>
        <v>-111760.67249952152</v>
      </c>
      <c r="L59" s="183">
        <f t="shared" si="20"/>
        <v>-706162.94835539651</v>
      </c>
      <c r="M59" s="183">
        <f t="shared" si="20"/>
        <v>-4822480.468929477</v>
      </c>
      <c r="N59" s="184">
        <f t="shared" si="20"/>
        <v>-1534650.8124372417</v>
      </c>
      <c r="O59" s="186">
        <f t="shared" si="20"/>
        <v>-25898137.399723902</v>
      </c>
    </row>
    <row r="60" spans="1:15">
      <c r="N60" s="11"/>
      <c r="O60" s="10"/>
    </row>
    <row r="61" spans="1:15">
      <c r="N61" s="11"/>
      <c r="O61" s="10"/>
    </row>
    <row r="62" spans="1:15">
      <c r="A62" s="185" t="s">
        <v>158</v>
      </c>
      <c r="B62" s="185"/>
      <c r="C62" s="79">
        <v>0.64710000000000001</v>
      </c>
      <c r="D62" s="79">
        <v>0.64710000000000001</v>
      </c>
      <c r="E62" s="79">
        <v>0.64710000000000001</v>
      </c>
      <c r="F62" s="79">
        <v>0.64710000000000001</v>
      </c>
      <c r="G62" s="79">
        <v>0.6573</v>
      </c>
      <c r="H62" s="79">
        <v>0.6573</v>
      </c>
      <c r="I62" s="79">
        <v>0.6573</v>
      </c>
      <c r="J62" s="79">
        <v>0.6573</v>
      </c>
      <c r="K62" s="79">
        <v>0.6573</v>
      </c>
      <c r="L62" s="79">
        <v>0.6573</v>
      </c>
      <c r="M62" s="79">
        <v>0.6573</v>
      </c>
      <c r="N62" s="79">
        <v>0.6573</v>
      </c>
    </row>
    <row r="65" spans="1:14">
      <c r="A65" s="185" t="s">
        <v>159</v>
      </c>
      <c r="B65" s="187">
        <f>SUM(C65:N65)</f>
        <v>2003935.7215146369</v>
      </c>
      <c r="C65" s="61">
        <f>C35*C62</f>
        <v>944838.2648748128</v>
      </c>
      <c r="D65" s="61">
        <f t="shared" ref="D65:N65" si="21">D35*D62</f>
        <v>1408076.2369568504</v>
      </c>
      <c r="E65" s="61">
        <f t="shared" si="21"/>
        <v>1339401.3602156085</v>
      </c>
      <c r="F65" s="61">
        <f t="shared" si="21"/>
        <v>1553573.8733675487</v>
      </c>
      <c r="G65" s="61">
        <f t="shared" si="21"/>
        <v>-7667.1524965420913</v>
      </c>
      <c r="H65" s="61">
        <f t="shared" si="21"/>
        <v>-533178.01701842726</v>
      </c>
      <c r="I65" s="61">
        <f t="shared" si="21"/>
        <v>1571354.0855550156</v>
      </c>
      <c r="J65" s="61">
        <f t="shared" si="21"/>
        <v>-511533.9922259</v>
      </c>
      <c r="K65" s="61">
        <f t="shared" si="21"/>
        <v>408966.8147650623</v>
      </c>
      <c r="L65" s="61">
        <f t="shared" si="21"/>
        <v>-1424568.3140939504</v>
      </c>
      <c r="M65" s="61">
        <f t="shared" si="21"/>
        <v>-963471.78676491207</v>
      </c>
      <c r="N65" s="61">
        <f t="shared" si="21"/>
        <v>-1781855.6516205303</v>
      </c>
    </row>
    <row r="66" spans="1:14">
      <c r="A66" s="185" t="s">
        <v>160</v>
      </c>
      <c r="B66" s="187">
        <f t="shared" ref="B66:B79" si="22">SUM(C66:N66)</f>
        <v>1204733.6050568651</v>
      </c>
      <c r="C66" s="61">
        <f>C36*C62</f>
        <v>-509593.86351932754</v>
      </c>
      <c r="D66" s="61">
        <f t="shared" ref="D66:N66" si="23">D36*D62</f>
        <v>430599.45378193341</v>
      </c>
      <c r="E66" s="61">
        <f t="shared" si="23"/>
        <v>6733.637665480228</v>
      </c>
      <c r="F66" s="61">
        <f t="shared" si="23"/>
        <v>133189.46774423021</v>
      </c>
      <c r="G66" s="61">
        <f t="shared" si="23"/>
        <v>27469.40533884232</v>
      </c>
      <c r="H66" s="61">
        <f t="shared" si="23"/>
        <v>-75092.783157623635</v>
      </c>
      <c r="I66" s="61">
        <f t="shared" si="23"/>
        <v>491486.19765737822</v>
      </c>
      <c r="J66" s="61">
        <f t="shared" si="23"/>
        <v>2281178.1425861819</v>
      </c>
      <c r="K66" s="61">
        <f t="shared" si="23"/>
        <v>-297556.29025657976</v>
      </c>
      <c r="L66" s="61">
        <f t="shared" si="23"/>
        <v>-242113.94329481656</v>
      </c>
      <c r="M66" s="61">
        <f t="shared" si="23"/>
        <v>-195095.04935437959</v>
      </c>
      <c r="N66" s="61">
        <f t="shared" si="23"/>
        <v>-846470.77013445378</v>
      </c>
    </row>
    <row r="67" spans="1:14">
      <c r="A67" s="185" t="s">
        <v>161</v>
      </c>
      <c r="B67" s="187">
        <f t="shared" si="22"/>
        <v>1325472</v>
      </c>
      <c r="C67" s="1">
        <v>166826</v>
      </c>
      <c r="D67" s="1">
        <v>276446</v>
      </c>
      <c r="E67" s="1">
        <v>54137</v>
      </c>
      <c r="F67" s="1">
        <v>-41108</v>
      </c>
      <c r="G67" s="1">
        <v>276558</v>
      </c>
      <c r="H67" s="1">
        <v>82672</v>
      </c>
      <c r="I67" s="1">
        <v>114455</v>
      </c>
      <c r="J67" s="1">
        <v>-583396</v>
      </c>
      <c r="K67" s="1">
        <v>668223</v>
      </c>
      <c r="L67" s="1">
        <v>-48064</v>
      </c>
      <c r="M67" s="1">
        <v>-161088</v>
      </c>
      <c r="N67" s="1">
        <v>519811</v>
      </c>
    </row>
    <row r="68" spans="1:14">
      <c r="A68" s="185" t="s">
        <v>165</v>
      </c>
      <c r="B68" s="187">
        <f t="shared" si="22"/>
        <v>2530205.6050568651</v>
      </c>
      <c r="C68" s="61">
        <f>C66+C67</f>
        <v>-342767.86351932754</v>
      </c>
      <c r="D68" s="61">
        <f t="shared" ref="D68:N68" si="24">D66+D67</f>
        <v>707045.45378193341</v>
      </c>
      <c r="E68" s="61">
        <f t="shared" si="24"/>
        <v>60870.63766548023</v>
      </c>
      <c r="F68" s="61">
        <f t="shared" si="24"/>
        <v>92081.467744230205</v>
      </c>
      <c r="G68" s="61">
        <f t="shared" si="24"/>
        <v>304027.40533884231</v>
      </c>
      <c r="H68" s="61">
        <f t="shared" si="24"/>
        <v>7579.2168423763651</v>
      </c>
      <c r="I68" s="61">
        <f t="shared" si="24"/>
        <v>605941.19765737816</v>
      </c>
      <c r="J68" s="61">
        <f t="shared" si="24"/>
        <v>1697782.1425861819</v>
      </c>
      <c r="K68" s="61">
        <f t="shared" si="24"/>
        <v>370666.70974342024</v>
      </c>
      <c r="L68" s="61">
        <f t="shared" si="24"/>
        <v>-290177.94329481653</v>
      </c>
      <c r="M68" s="61">
        <f t="shared" si="24"/>
        <v>-356183.04935437959</v>
      </c>
      <c r="N68" s="61">
        <f t="shared" si="24"/>
        <v>-326659.77013445378</v>
      </c>
    </row>
    <row r="69" spans="1:14">
      <c r="A69" s="185" t="s">
        <v>167</v>
      </c>
      <c r="B69" s="187">
        <f t="shared" si="22"/>
        <v>-2260605.7849758849</v>
      </c>
      <c r="C69" s="61">
        <f>(C37+C38+C39+C40+C41)*C62</f>
        <v>-1226754.8685517635</v>
      </c>
      <c r="D69" s="61">
        <f t="shared" ref="D69:N69" si="25">(D37+D38+D39+D40+D41)*D62</f>
        <v>-1683423.8576764397</v>
      </c>
      <c r="E69" s="61">
        <f t="shared" si="25"/>
        <v>-1563339.8418989761</v>
      </c>
      <c r="F69" s="61">
        <f t="shared" si="25"/>
        <v>-960002.05188143498</v>
      </c>
      <c r="G69" s="61">
        <f t="shared" si="25"/>
        <v>-198631.80583860361</v>
      </c>
      <c r="H69" s="61">
        <f t="shared" si="25"/>
        <v>39789.555946737171</v>
      </c>
      <c r="I69" s="61">
        <f t="shared" si="25"/>
        <v>951384.96163686563</v>
      </c>
      <c r="J69" s="61">
        <f t="shared" si="25"/>
        <v>-126448.08038709631</v>
      </c>
      <c r="K69" s="61">
        <f t="shared" si="25"/>
        <v>957234.10180701618</v>
      </c>
      <c r="L69" s="61">
        <f t="shared" si="25"/>
        <v>776341.29982755904</v>
      </c>
      <c r="M69" s="61">
        <f t="shared" si="25"/>
        <v>235598.66919981685</v>
      </c>
      <c r="N69" s="61">
        <f t="shared" si="25"/>
        <v>537646.13284043444</v>
      </c>
    </row>
    <row r="70" spans="1:14">
      <c r="A70" s="185" t="s">
        <v>162</v>
      </c>
      <c r="B70" s="187">
        <f t="shared" si="22"/>
        <v>722430.49806669017</v>
      </c>
      <c r="C70" s="61">
        <f>C42*C62</f>
        <v>94411.038547239572</v>
      </c>
      <c r="D70" s="61">
        <f t="shared" ref="D70:N70" si="26">D42*D62</f>
        <v>254037.46389872581</v>
      </c>
      <c r="E70" s="61">
        <f t="shared" si="26"/>
        <v>42102.06819290587</v>
      </c>
      <c r="F70" s="61">
        <f t="shared" si="26"/>
        <v>146991.4911133878</v>
      </c>
      <c r="G70" s="61">
        <f t="shared" si="26"/>
        <v>-245093.46644389065</v>
      </c>
      <c r="H70" s="61">
        <f t="shared" si="26"/>
        <v>142715.85534379099</v>
      </c>
      <c r="I70" s="61">
        <f t="shared" si="26"/>
        <v>66988.746669864151</v>
      </c>
      <c r="J70" s="61">
        <f t="shared" si="26"/>
        <v>183348.83663310448</v>
      </c>
      <c r="K70" s="61">
        <f t="shared" si="26"/>
        <v>-35516.866873303959</v>
      </c>
      <c r="L70" s="61">
        <f t="shared" si="26"/>
        <v>-90284.932771189066</v>
      </c>
      <c r="M70" s="61">
        <f t="shared" si="26"/>
        <v>101611.32953949709</v>
      </c>
      <c r="N70" s="61">
        <f t="shared" si="26"/>
        <v>61118.934216558126</v>
      </c>
    </row>
    <row r="71" spans="1:14">
      <c r="A71" s="185" t="s">
        <v>15</v>
      </c>
      <c r="B71" s="187">
        <f t="shared" si="22"/>
        <v>-578451.07287324383</v>
      </c>
      <c r="C71" s="61">
        <f>C43*C62</f>
        <v>-105528.42748593929</v>
      </c>
      <c r="D71" s="61">
        <f t="shared" ref="D71:N71" si="27">D43*D62</f>
        <v>-53604.502399157689</v>
      </c>
      <c r="E71" s="61">
        <f t="shared" si="27"/>
        <v>-29909.732029378109</v>
      </c>
      <c r="F71" s="61">
        <f t="shared" si="27"/>
        <v>394.87271830324096</v>
      </c>
      <c r="G71" s="61">
        <f t="shared" si="27"/>
        <v>-50408.80033636927</v>
      </c>
      <c r="H71" s="61">
        <f t="shared" si="27"/>
        <v>44398.95219616581</v>
      </c>
      <c r="I71" s="61">
        <f t="shared" si="27"/>
        <v>-119103.39445335254</v>
      </c>
      <c r="J71" s="61">
        <f t="shared" si="27"/>
        <v>-94266.143854020353</v>
      </c>
      <c r="K71" s="61">
        <f t="shared" si="27"/>
        <v>30044.428118344997</v>
      </c>
      <c r="L71" s="61">
        <f t="shared" si="27"/>
        <v>-97087.058504364497</v>
      </c>
      <c r="M71" s="61">
        <f t="shared" si="27"/>
        <v>-56455.774964787299</v>
      </c>
      <c r="N71" s="61">
        <f t="shared" si="27"/>
        <v>-46925.491878688823</v>
      </c>
    </row>
    <row r="72" spans="1:14">
      <c r="A72" s="185" t="s">
        <v>10</v>
      </c>
      <c r="B72" s="187">
        <f t="shared" si="22"/>
        <v>208594.48169698438</v>
      </c>
      <c r="C72" s="61">
        <f>C44*C62</f>
        <v>-134408.48256780984</v>
      </c>
      <c r="D72" s="61">
        <f t="shared" ref="D72:N72" si="28">D44*D62</f>
        <v>-763735.81837739074</v>
      </c>
      <c r="E72" s="61">
        <f t="shared" si="28"/>
        <v>-116130.31422053784</v>
      </c>
      <c r="F72" s="61">
        <f t="shared" si="28"/>
        <v>-384984.37004299683</v>
      </c>
      <c r="G72" s="61">
        <f t="shared" si="28"/>
        <v>-765383.55222747917</v>
      </c>
      <c r="H72" s="61">
        <f t="shared" si="28"/>
        <v>-256732.06424426526</v>
      </c>
      <c r="I72" s="61">
        <f t="shared" si="28"/>
        <v>1524744.0695892179</v>
      </c>
      <c r="J72" s="61">
        <f t="shared" si="28"/>
        <v>1749498.2461290855</v>
      </c>
      <c r="K72" s="61">
        <f t="shared" si="28"/>
        <v>100717.88897494452</v>
      </c>
      <c r="L72" s="61">
        <f t="shared" si="28"/>
        <v>-268666.24651665898</v>
      </c>
      <c r="M72" s="61">
        <f t="shared" si="28"/>
        <v>-486263.80779459153</v>
      </c>
      <c r="N72" s="61">
        <f t="shared" si="28"/>
        <v>9938.9329954665118</v>
      </c>
    </row>
    <row r="73" spans="1:14">
      <c r="A73" s="185" t="s">
        <v>168</v>
      </c>
      <c r="B73" s="187">
        <f t="shared" si="22"/>
        <v>-14637079.177838949</v>
      </c>
      <c r="C73" s="61">
        <f>(C45+C46+C52+C53)*C62</f>
        <v>-1525649.1083457021</v>
      </c>
      <c r="D73" s="61">
        <f t="shared" ref="D73:N73" si="29">(D45+D46+D52+D53)*D62</f>
        <v>-2417526.170245768</v>
      </c>
      <c r="E73" s="61">
        <f t="shared" si="29"/>
        <v>-1805585.3899974267</v>
      </c>
      <c r="F73" s="61">
        <f t="shared" si="29"/>
        <v>-2040298.2764999454</v>
      </c>
      <c r="G73" s="61">
        <f t="shared" si="29"/>
        <v>-1043937.080490357</v>
      </c>
      <c r="H73" s="61">
        <f t="shared" si="29"/>
        <v>-941804.27204939432</v>
      </c>
      <c r="I73" s="61">
        <f t="shared" si="29"/>
        <v>-2803951.8096823306</v>
      </c>
      <c r="J73" s="61">
        <f t="shared" si="29"/>
        <v>-2424696.7123395931</v>
      </c>
      <c r="K73" s="61">
        <f t="shared" si="29"/>
        <v>-1178841.6194632126</v>
      </c>
      <c r="L73" s="61">
        <f t="shared" si="29"/>
        <v>1111291.7922878372</v>
      </c>
      <c r="M73" s="61">
        <f t="shared" si="29"/>
        <v>-1400142.9404761782</v>
      </c>
      <c r="N73" s="61">
        <f t="shared" si="29"/>
        <v>1834062.4094631213</v>
      </c>
    </row>
    <row r="74" spans="1:14">
      <c r="A74" s="185" t="s">
        <v>163</v>
      </c>
      <c r="B74" s="187">
        <f t="shared" si="22"/>
        <v>-1821904.7136469809</v>
      </c>
      <c r="C74" s="61">
        <f>(C49+C50+C51)*C62</f>
        <v>-119600.69269163065</v>
      </c>
      <c r="D74" s="61">
        <f t="shared" ref="D74:N74" si="30">(D49+D50+D51)*D62</f>
        <v>-168130.31185130012</v>
      </c>
      <c r="E74" s="61">
        <f t="shared" si="30"/>
        <v>-107555.41485873585</v>
      </c>
      <c r="F74" s="61">
        <f t="shared" si="30"/>
        <v>-206335.35073371054</v>
      </c>
      <c r="G74" s="61">
        <f t="shared" si="30"/>
        <v>-201479.92571947098</v>
      </c>
      <c r="H74" s="61">
        <f t="shared" si="30"/>
        <v>-189017.08794864712</v>
      </c>
      <c r="I74" s="61">
        <f t="shared" si="30"/>
        <v>-76233.580642110188</v>
      </c>
      <c r="J74" s="61">
        <f t="shared" si="30"/>
        <v>-64907.100728033918</v>
      </c>
      <c r="K74" s="61">
        <f t="shared" si="30"/>
        <v>-143868.17026220713</v>
      </c>
      <c r="L74" s="61">
        <f t="shared" si="30"/>
        <v>-247373.00438141855</v>
      </c>
      <c r="M74" s="61">
        <f t="shared" si="30"/>
        <v>-74454.556865809864</v>
      </c>
      <c r="N74" s="61">
        <f t="shared" si="30"/>
        <v>-222949.51696390638</v>
      </c>
    </row>
    <row r="75" spans="1:14">
      <c r="A75" s="185" t="s">
        <v>164</v>
      </c>
      <c r="B75" s="187">
        <f t="shared" si="22"/>
        <v>-1799355.6793558719</v>
      </c>
      <c r="C75" s="61">
        <f>(C55+C56)*C62</f>
        <v>-3605.8944965078558</v>
      </c>
      <c r="D75" s="61">
        <f t="shared" ref="D75:N75" si="31">(D55+D56)*D62</f>
        <v>-198923.98478567792</v>
      </c>
      <c r="E75" s="61">
        <f t="shared" si="31"/>
        <v>7050.1636888200601</v>
      </c>
      <c r="F75" s="61">
        <f t="shared" si="31"/>
        <v>123206.26666349481</v>
      </c>
      <c r="G75" s="61">
        <f t="shared" si="31"/>
        <v>-177820.78876800009</v>
      </c>
      <c r="H75" s="61">
        <f t="shared" si="31"/>
        <v>-173935.68346700008</v>
      </c>
      <c r="I75" s="61">
        <f t="shared" si="31"/>
        <v>-303504.45608700009</v>
      </c>
      <c r="J75" s="61">
        <f t="shared" si="31"/>
        <v>-241299.75975000014</v>
      </c>
      <c r="K75" s="61">
        <f t="shared" si="31"/>
        <v>63576.645761999811</v>
      </c>
      <c r="L75" s="61">
        <f t="shared" si="31"/>
        <v>14289.563966999871</v>
      </c>
      <c r="M75" s="61">
        <f t="shared" si="31"/>
        <v>-335794.33173300012</v>
      </c>
      <c r="N75" s="61">
        <f t="shared" si="31"/>
        <v>-572593.42035000003</v>
      </c>
    </row>
    <row r="76" spans="1:14">
      <c r="A76" s="185" t="s">
        <v>166</v>
      </c>
      <c r="B76" s="187">
        <f t="shared" si="22"/>
        <v>86965.402352999983</v>
      </c>
      <c r="C76" s="61">
        <f>C54*C62</f>
        <v>4366.7472779999953</v>
      </c>
      <c r="D76" s="61">
        <f t="shared" ref="D76:N76" si="32">D54*D62</f>
        <v>-12524.969933999995</v>
      </c>
      <c r="E76" s="61">
        <f t="shared" si="32"/>
        <v>-678.71730600000035</v>
      </c>
      <c r="F76" s="61">
        <f t="shared" si="32"/>
        <v>-1115.451566999998</v>
      </c>
      <c r="G76" s="61">
        <f t="shared" si="32"/>
        <v>14887.220565000001</v>
      </c>
      <c r="H76" s="61">
        <f t="shared" si="32"/>
        <v>13448.581481999998</v>
      </c>
      <c r="I76" s="61">
        <f t="shared" si="32"/>
        <v>5434.2737609999995</v>
      </c>
      <c r="J76" s="61">
        <f t="shared" si="32"/>
        <v>13400.703750000001</v>
      </c>
      <c r="K76" s="61">
        <f t="shared" si="32"/>
        <v>21782.777394000001</v>
      </c>
      <c r="L76" s="61">
        <f t="shared" si="32"/>
        <v>4009.937525999997</v>
      </c>
      <c r="M76" s="61">
        <f t="shared" si="32"/>
        <v>4651.8369870000015</v>
      </c>
      <c r="N76" s="61">
        <f t="shared" si="32"/>
        <v>19302.462416999988</v>
      </c>
    </row>
    <row r="77" spans="1:14">
      <c r="A77" s="185"/>
      <c r="B77" s="187">
        <f t="shared" si="22"/>
        <v>-996.81780518265441</v>
      </c>
      <c r="C77" s="61">
        <v>511.71304136980325</v>
      </c>
      <c r="D77" s="61">
        <v>1.539367773104459</v>
      </c>
      <c r="E77" s="61">
        <v>-113.27835066290572</v>
      </c>
      <c r="F77" s="61">
        <v>1.4708818774670362</v>
      </c>
      <c r="G77" s="61">
        <v>-22.94641686975956</v>
      </c>
      <c r="H77" s="61">
        <v>-21.962916661752388</v>
      </c>
      <c r="I77" s="61">
        <v>-128.90599544998258</v>
      </c>
      <c r="J77" s="61">
        <v>-105.86018627713202</v>
      </c>
      <c r="K77" s="61">
        <v>-157.29003393754829</v>
      </c>
      <c r="L77" s="61">
        <v>-46.90595400397433</v>
      </c>
      <c r="M77" s="61">
        <v>-632.4122273423709</v>
      </c>
      <c r="N77" s="61">
        <v>-281.97901499760337</v>
      </c>
    </row>
    <row r="79" spans="1:14">
      <c r="A79" s="185" t="s">
        <v>2</v>
      </c>
      <c r="B79" s="187">
        <f t="shared" si="22"/>
        <v>-15544267.902197571</v>
      </c>
      <c r="C79" s="61">
        <f>C65+C68+C69+C70+C71+C72+C73+C74+C75+C76-C77</f>
        <v>-2415210.9999999981</v>
      </c>
      <c r="D79" s="61">
        <f t="shared" ref="D79:N79" si="33">D65+D68+D69+D70+D71+D72+D73+D74+D75+D76-D77</f>
        <v>-2928711.9999999981</v>
      </c>
      <c r="E79" s="61">
        <f t="shared" si="33"/>
        <v>-2173661.9021975775</v>
      </c>
      <c r="F79" s="61">
        <f t="shared" si="33"/>
        <v>-1676489.0000000005</v>
      </c>
      <c r="G79" s="61">
        <f t="shared" si="33"/>
        <v>-2371485.0000000009</v>
      </c>
      <c r="H79" s="61">
        <f t="shared" si="33"/>
        <v>-1846713.0000000019</v>
      </c>
      <c r="I79" s="61">
        <f t="shared" si="33"/>
        <v>1423182.9999999981</v>
      </c>
      <c r="J79" s="61">
        <f t="shared" si="33"/>
        <v>180984.00000000512</v>
      </c>
      <c r="K79" s="61">
        <f t="shared" si="33"/>
        <v>594920.0000000021</v>
      </c>
      <c r="L79" s="61">
        <f t="shared" si="33"/>
        <v>-512177.99999999767</v>
      </c>
      <c r="M79" s="61">
        <f t="shared" si="33"/>
        <v>-3330272.0000000023</v>
      </c>
      <c r="N79" s="61">
        <f t="shared" si="33"/>
        <v>-488633.00000000116</v>
      </c>
    </row>
    <row r="80" spans="1:14">
      <c r="C80">
        <v>-2415211</v>
      </c>
      <c r="D80">
        <v>-2928712</v>
      </c>
      <c r="E80">
        <v>-2173662</v>
      </c>
      <c r="F80">
        <v>-1676489</v>
      </c>
      <c r="G80">
        <v>-2371485</v>
      </c>
      <c r="H80">
        <v>-1846713</v>
      </c>
      <c r="I80">
        <v>1423183</v>
      </c>
      <c r="J80">
        <v>180984</v>
      </c>
      <c r="K80">
        <v>594920</v>
      </c>
      <c r="L80">
        <v>-512178</v>
      </c>
      <c r="M80">
        <v>-3330272</v>
      </c>
      <c r="N80">
        <v>-488633</v>
      </c>
    </row>
    <row r="81" spans="3:14">
      <c r="C81" s="61">
        <f>C79-C80</f>
        <v>0</v>
      </c>
      <c r="D81" s="61">
        <f t="shared" ref="D81:N81" si="34">D79-D80</f>
        <v>0</v>
      </c>
      <c r="E81" s="61">
        <f t="shared" si="34"/>
        <v>9.7802422475069761E-2</v>
      </c>
      <c r="F81" s="61">
        <f t="shared" si="34"/>
        <v>0</v>
      </c>
      <c r="G81" s="61">
        <f t="shared" si="34"/>
        <v>0</v>
      </c>
      <c r="H81" s="61">
        <f t="shared" si="34"/>
        <v>-1.862645149230957E-9</v>
      </c>
      <c r="I81" s="61">
        <f t="shared" si="34"/>
        <v>-1.862645149230957E-9</v>
      </c>
      <c r="J81" s="61">
        <f t="shared" si="34"/>
        <v>5.1222741603851318E-9</v>
      </c>
      <c r="K81" s="61">
        <f t="shared" si="34"/>
        <v>2.0954757928848267E-9</v>
      </c>
      <c r="L81" s="61">
        <f t="shared" si="34"/>
        <v>2.3283064365386963E-9</v>
      </c>
      <c r="M81" s="61">
        <f t="shared" si="34"/>
        <v>0</v>
      </c>
      <c r="N81" s="61">
        <f t="shared" si="34"/>
        <v>-1.1641532182693481E-9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I15" sqref="I15"/>
    </sheetView>
  </sheetViews>
  <sheetFormatPr defaultRowHeight="12.75"/>
  <cols>
    <col min="1" max="1" width="23.7109375" customWidth="1"/>
    <col min="2" max="2" width="12.140625" customWidth="1"/>
    <col min="3" max="3" width="10.28515625" customWidth="1"/>
    <col min="6" max="6" width="12.5703125" customWidth="1"/>
    <col min="7" max="7" width="10.7109375" customWidth="1"/>
    <col min="8" max="8" width="9.85546875" customWidth="1"/>
    <col min="9" max="9" width="11.42578125" customWidth="1"/>
    <col min="10" max="10" width="13.140625" bestFit="1" customWidth="1"/>
    <col min="11" max="11" width="9.7109375" bestFit="1" customWidth="1"/>
    <col min="12" max="12" width="10.42578125" bestFit="1" customWidth="1"/>
  </cols>
  <sheetData>
    <row r="1" spans="1:12" ht="15">
      <c r="A1" s="97" t="s">
        <v>102</v>
      </c>
      <c r="B1" s="98" t="s">
        <v>103</v>
      </c>
      <c r="C1" s="78"/>
      <c r="E1" s="99" t="s">
        <v>104</v>
      </c>
      <c r="I1" s="100" t="s">
        <v>105</v>
      </c>
    </row>
    <row r="2" spans="1:12" ht="15">
      <c r="B2" s="101" t="s">
        <v>106</v>
      </c>
      <c r="C2" s="102"/>
      <c r="D2" s="102"/>
      <c r="E2" s="103"/>
      <c r="F2" s="104" t="s">
        <v>107</v>
      </c>
      <c r="G2" s="101"/>
      <c r="H2" s="105"/>
      <c r="I2" s="106" t="s">
        <v>108</v>
      </c>
    </row>
    <row r="3" spans="1:12" ht="15">
      <c r="B3" s="107" t="s">
        <v>109</v>
      </c>
      <c r="C3" s="108" t="s">
        <v>110</v>
      </c>
      <c r="D3" s="109" t="s">
        <v>111</v>
      </c>
      <c r="E3" s="110" t="s">
        <v>112</v>
      </c>
      <c r="F3" s="111" t="s">
        <v>113</v>
      </c>
      <c r="G3" s="112" t="s">
        <v>111</v>
      </c>
      <c r="H3" s="113" t="s">
        <v>112</v>
      </c>
      <c r="I3" s="114" t="s">
        <v>114</v>
      </c>
    </row>
    <row r="4" spans="1:12" ht="15">
      <c r="B4" s="115"/>
      <c r="C4" s="116"/>
      <c r="D4" s="117"/>
      <c r="E4" s="118"/>
      <c r="F4" s="119"/>
      <c r="G4" s="117"/>
      <c r="H4" s="120"/>
      <c r="I4" s="121"/>
    </row>
    <row r="5" spans="1:12">
      <c r="A5" t="s">
        <v>115</v>
      </c>
      <c r="B5" s="122">
        <v>-254988.59331685331</v>
      </c>
      <c r="C5" s="123" t="s">
        <v>116</v>
      </c>
      <c r="D5" s="124">
        <v>-42322277.887850031</v>
      </c>
      <c r="E5" s="125">
        <v>45343762.234582677</v>
      </c>
      <c r="F5" s="126">
        <v>29.108286908316586</v>
      </c>
      <c r="G5" s="124">
        <v>-1711306.2823546028</v>
      </c>
      <c r="H5" s="127">
        <v>1964295.9385028984</v>
      </c>
      <c r="I5" s="128">
        <v>3274474.0028809421</v>
      </c>
      <c r="J5" s="61">
        <f>I5*0.6539</f>
        <v>2141178.550483848</v>
      </c>
    </row>
    <row r="6" spans="1:12">
      <c r="A6" t="s">
        <v>117</v>
      </c>
      <c r="B6" s="122">
        <v>-153060.50837118615</v>
      </c>
      <c r="C6" s="123" t="s">
        <v>116</v>
      </c>
      <c r="D6" s="129"/>
      <c r="E6" s="130"/>
      <c r="F6" s="126">
        <v>-17.472660772966456</v>
      </c>
      <c r="G6" s="124">
        <v>5647105.7919544578</v>
      </c>
      <c r="H6" s="127">
        <v>-3812792.6902605561</v>
      </c>
      <c r="I6" s="128">
        <v>1834313.1016939017</v>
      </c>
      <c r="J6" s="61">
        <f>I6*0.6539</f>
        <v>1199457.3371976423</v>
      </c>
      <c r="K6" s="122">
        <v>1325472</v>
      </c>
      <c r="L6" s="61">
        <f>J6+K6</f>
        <v>2524929.3371976423</v>
      </c>
    </row>
    <row r="7" spans="1:12">
      <c r="A7" t="s">
        <v>118</v>
      </c>
      <c r="B7" s="131"/>
      <c r="C7" s="132"/>
      <c r="D7" s="129"/>
      <c r="E7" s="130"/>
      <c r="F7" s="133">
        <v>17.593526253224301</v>
      </c>
      <c r="G7" s="124">
        <v>-1602317.7478920107</v>
      </c>
      <c r="H7" s="127">
        <v>-3767573.0491472273</v>
      </c>
      <c r="I7" s="128">
        <v>-5369890.7970392378</v>
      </c>
      <c r="J7" s="61">
        <f t="shared" ref="J7:J29" si="0">I7*0.6539</f>
        <v>-3511371.5921839578</v>
      </c>
    </row>
    <row r="8" spans="1:12">
      <c r="A8" t="s">
        <v>119</v>
      </c>
      <c r="B8" s="131"/>
      <c r="C8" s="132"/>
      <c r="D8" s="129"/>
      <c r="E8" s="130"/>
      <c r="F8" s="133">
        <v>8.4098409860346095</v>
      </c>
      <c r="G8" s="124">
        <v>169336.75887639433</v>
      </c>
      <c r="H8" s="127">
        <v>-1036726.841770264</v>
      </c>
      <c r="I8" s="128">
        <v>-867390.08289386961</v>
      </c>
      <c r="J8" s="61">
        <f t="shared" si="0"/>
        <v>-567186.37520430132</v>
      </c>
    </row>
    <row r="9" spans="1:12">
      <c r="A9" t="s">
        <v>120</v>
      </c>
      <c r="B9" s="131"/>
      <c r="C9" s="132"/>
      <c r="D9" s="129"/>
      <c r="E9" s="130"/>
      <c r="F9" s="133">
        <v>-2.858605244753285</v>
      </c>
      <c r="G9" s="124">
        <v>495071.00926863612</v>
      </c>
      <c r="H9" s="127">
        <v>625563.21609933954</v>
      </c>
      <c r="I9" s="128">
        <v>1120634.2253679757</v>
      </c>
      <c r="J9" s="61">
        <f t="shared" si="0"/>
        <v>732782.71996811929</v>
      </c>
    </row>
    <row r="10" spans="1:12">
      <c r="A10" t="s">
        <v>121</v>
      </c>
      <c r="B10" s="131"/>
      <c r="C10" s="132"/>
      <c r="D10" s="129"/>
      <c r="E10" s="130"/>
      <c r="F10" s="133">
        <v>-2.1274016711975499</v>
      </c>
      <c r="G10" s="124">
        <v>844896.45557608409</v>
      </c>
      <c r="H10" s="127">
        <v>-65348.740037348412</v>
      </c>
      <c r="I10" s="128">
        <v>779547.71553873573</v>
      </c>
      <c r="J10" s="61">
        <f t="shared" si="0"/>
        <v>509746.25119077932</v>
      </c>
    </row>
    <row r="11" spans="1:12">
      <c r="A11" t="s">
        <v>122</v>
      </c>
      <c r="B11" s="122">
        <v>-17053.517403474267</v>
      </c>
      <c r="C11" s="123" t="s">
        <v>116</v>
      </c>
      <c r="D11" s="124">
        <v>333343.02816864895</v>
      </c>
      <c r="E11" s="125">
        <v>-677963.95873616729</v>
      </c>
      <c r="F11" s="133">
        <v>-1.9467485620404414</v>
      </c>
      <c r="G11" s="124">
        <v>942254.24233997986</v>
      </c>
      <c r="H11" s="127">
        <v>70000.418481523549</v>
      </c>
      <c r="I11" s="128">
        <v>667633.73025398504</v>
      </c>
      <c r="J11" s="61">
        <f t="shared" si="0"/>
        <v>436565.69621308084</v>
      </c>
    </row>
    <row r="12" spans="1:12">
      <c r="A12" t="s">
        <v>123</v>
      </c>
      <c r="B12" s="122">
        <v>-23480.800446510315</v>
      </c>
      <c r="C12" s="123" t="s">
        <v>116</v>
      </c>
      <c r="D12" s="124">
        <v>355191.87591903901</v>
      </c>
      <c r="E12" s="125">
        <v>-1432474.8795345128</v>
      </c>
      <c r="F12" s="133">
        <v>-2.6804566719760632</v>
      </c>
      <c r="G12" s="124">
        <v>1443011.3165753684</v>
      </c>
      <c r="H12" s="127">
        <v>746250.35197607649</v>
      </c>
      <c r="I12" s="128">
        <v>1111978.6649359711</v>
      </c>
      <c r="J12" s="61">
        <f t="shared" si="0"/>
        <v>727122.84900163161</v>
      </c>
    </row>
    <row r="13" spans="1:12" ht="15">
      <c r="A13" t="s">
        <v>15</v>
      </c>
      <c r="B13" s="134">
        <v>-2988.9062499998763</v>
      </c>
      <c r="C13" s="123"/>
      <c r="D13" s="124">
        <v>693502.66676871502</v>
      </c>
      <c r="E13" s="125">
        <v>588760.07289721246</v>
      </c>
      <c r="F13" s="133">
        <v>8.5617218266799142</v>
      </c>
      <c r="G13" s="124">
        <v>-430188.68284775782</v>
      </c>
      <c r="H13" s="127">
        <v>-1736639.1850621086</v>
      </c>
      <c r="I13" s="128">
        <v>-884565.12824393902</v>
      </c>
      <c r="J13" s="61">
        <f t="shared" si="0"/>
        <v>-578417.1373587118</v>
      </c>
    </row>
    <row r="14" spans="1:12" ht="15">
      <c r="A14" t="s">
        <v>10</v>
      </c>
      <c r="B14" s="134">
        <v>-179068.88118407983</v>
      </c>
      <c r="C14" s="123"/>
      <c r="D14" s="124">
        <v>105894.87762506997</v>
      </c>
      <c r="E14" s="125">
        <v>-3191089.3119417937</v>
      </c>
      <c r="F14" s="133">
        <v>-6.7882383405395093</v>
      </c>
      <c r="G14" s="124">
        <v>1309112.4689889196</v>
      </c>
      <c r="H14" s="127">
        <v>2059876.9987062265</v>
      </c>
      <c r="I14" s="128">
        <v>283795.03337842249</v>
      </c>
      <c r="J14" s="61">
        <f t="shared" si="0"/>
        <v>185573.57232615049</v>
      </c>
    </row>
    <row r="15" spans="1:12" ht="15">
      <c r="A15" t="s">
        <v>124</v>
      </c>
      <c r="B15" s="135">
        <v>-776500.41498730041</v>
      </c>
      <c r="C15" s="123" t="s">
        <v>125</v>
      </c>
      <c r="D15" s="124">
        <v>-2472584.5440475415</v>
      </c>
      <c r="E15" s="125">
        <v>-2461060.562769339</v>
      </c>
      <c r="F15" s="133">
        <v>-12.596388513946641</v>
      </c>
      <c r="G15" s="124">
        <v>-496606.67399852542</v>
      </c>
      <c r="H15" s="127">
        <v>4871041.4169049365</v>
      </c>
      <c r="I15" s="128">
        <v>-559210.36391046923</v>
      </c>
      <c r="J15" s="61">
        <f t="shared" si="0"/>
        <v>-365667.65696105582</v>
      </c>
    </row>
    <row r="16" spans="1:12" ht="15">
      <c r="A16" t="s">
        <v>71</v>
      </c>
      <c r="B16" s="135">
        <v>436908.95148048573</v>
      </c>
      <c r="C16" s="123" t="s">
        <v>125</v>
      </c>
      <c r="D16" s="124">
        <v>-11518091.389949055</v>
      </c>
      <c r="E16" s="125">
        <v>1008896.7044694382</v>
      </c>
      <c r="F16" s="133">
        <v>7.5444791297977032</v>
      </c>
      <c r="G16" s="124">
        <v>-4270722.4174241051</v>
      </c>
      <c r="H16" s="127">
        <v>-1052998.9887762624</v>
      </c>
      <c r="I16" s="128">
        <v>-15832916.091679985</v>
      </c>
      <c r="J16" s="61">
        <f t="shared" si="0"/>
        <v>-10353143.832349543</v>
      </c>
    </row>
    <row r="17" spans="1:10" ht="15">
      <c r="A17" t="s">
        <v>126</v>
      </c>
      <c r="B17" s="122">
        <v>66089.637177027878</v>
      </c>
      <c r="C17" s="123" t="s">
        <v>116</v>
      </c>
      <c r="D17" s="124">
        <v>73392.239068000097</v>
      </c>
      <c r="E17" s="125">
        <v>138922.68283227968</v>
      </c>
      <c r="F17" s="136"/>
      <c r="G17" s="129"/>
      <c r="H17" s="137"/>
      <c r="I17" s="128">
        <v>212314.92190027976</v>
      </c>
      <c r="J17" s="61">
        <f t="shared" si="0"/>
        <v>138832.72743059293</v>
      </c>
    </row>
    <row r="18" spans="1:10" ht="15">
      <c r="A18" t="s">
        <v>127</v>
      </c>
      <c r="B18" s="135">
        <v>-98886.287847119675</v>
      </c>
      <c r="C18" s="123" t="s">
        <v>125</v>
      </c>
      <c r="D18" s="138">
        <v>-8376996.0998481037</v>
      </c>
      <c r="E18" s="139">
        <v>4576386.0665444806</v>
      </c>
      <c r="F18" s="140">
        <v>-1.4761030559329018</v>
      </c>
      <c r="G18" s="138">
        <v>-2339646.239062856</v>
      </c>
      <c r="H18" s="141">
        <v>1135051.154382769</v>
      </c>
      <c r="I18" s="142">
        <v>-5005205.11798371</v>
      </c>
      <c r="J18" s="61">
        <f t="shared" si="0"/>
        <v>-3272903.6266495483</v>
      </c>
    </row>
    <row r="19" spans="1:10" ht="15">
      <c r="A19" s="143" t="s">
        <v>128</v>
      </c>
      <c r="B19" s="144"/>
      <c r="C19" s="145"/>
      <c r="D19" s="146">
        <v>-63128625.234145261</v>
      </c>
      <c r="E19" s="147">
        <v>43894139.048344269</v>
      </c>
      <c r="F19" s="148">
        <v>0</v>
      </c>
      <c r="G19" s="149">
        <v>0</v>
      </c>
      <c r="H19" s="150">
        <v>0</v>
      </c>
      <c r="I19" s="151">
        <v>-19234486.185800992</v>
      </c>
      <c r="J19" s="61">
        <f t="shared" si="0"/>
        <v>-12577430.51689527</v>
      </c>
    </row>
    <row r="20" spans="1:10">
      <c r="B20" s="33"/>
      <c r="C20" s="33"/>
      <c r="I20" s="152"/>
      <c r="J20" s="61">
        <f t="shared" si="0"/>
        <v>0</v>
      </c>
    </row>
    <row r="21" spans="1:10">
      <c r="A21" t="s">
        <v>129</v>
      </c>
      <c r="B21" s="153"/>
      <c r="C21" s="153"/>
      <c r="I21" s="128">
        <v>-2435765.9533333336</v>
      </c>
      <c r="J21" s="61">
        <f t="shared" si="0"/>
        <v>-1592747.356884667</v>
      </c>
    </row>
    <row r="22" spans="1:10">
      <c r="A22" t="s">
        <v>130</v>
      </c>
      <c r="B22" s="33"/>
      <c r="C22" s="33"/>
      <c r="I22" s="128">
        <v>377938.67066666391</v>
      </c>
      <c r="J22" s="61">
        <f t="shared" si="0"/>
        <v>247134.09674893154</v>
      </c>
    </row>
    <row r="23" spans="1:10">
      <c r="A23" t="s">
        <v>131</v>
      </c>
      <c r="B23" s="33"/>
      <c r="C23" s="33"/>
      <c r="I23" s="128">
        <v>-1648201.5833333328</v>
      </c>
      <c r="J23" s="61">
        <f t="shared" si="0"/>
        <v>-1077759.0153416663</v>
      </c>
    </row>
    <row r="24" spans="1:10">
      <c r="A24" t="s">
        <v>132</v>
      </c>
      <c r="B24" s="33"/>
      <c r="C24" s="33"/>
      <c r="I24" s="128">
        <v>184946.3681013328</v>
      </c>
      <c r="J24" s="61">
        <f t="shared" si="0"/>
        <v>120936.43010146152</v>
      </c>
    </row>
    <row r="25" spans="1:10">
      <c r="A25" t="s">
        <v>133</v>
      </c>
      <c r="B25" s="33"/>
      <c r="C25" s="33"/>
      <c r="I25" s="128">
        <v>-2924174.8774999911</v>
      </c>
      <c r="J25" s="61">
        <f t="shared" si="0"/>
        <v>-1912117.9523972443</v>
      </c>
    </row>
    <row r="26" spans="1:10">
      <c r="A26" t="s">
        <v>134</v>
      </c>
      <c r="B26" s="33"/>
      <c r="C26" s="33"/>
      <c r="I26" s="142">
        <v>-218393.98966390453</v>
      </c>
      <c r="J26" s="61">
        <f t="shared" si="0"/>
        <v>-142807.82984122718</v>
      </c>
    </row>
    <row r="27" spans="1:10" ht="15">
      <c r="A27" s="143" t="s">
        <v>135</v>
      </c>
      <c r="B27" s="33"/>
      <c r="C27" s="33"/>
      <c r="I27" s="151">
        <v>-6663651.3650625646</v>
      </c>
      <c r="J27" s="61">
        <f t="shared" si="0"/>
        <v>-4357361.6276144115</v>
      </c>
    </row>
    <row r="28" spans="1:10">
      <c r="B28" s="33"/>
      <c r="C28" s="33"/>
      <c r="I28" s="154"/>
      <c r="J28" s="61">
        <f t="shared" si="0"/>
        <v>0</v>
      </c>
    </row>
    <row r="29" spans="1:10" ht="15">
      <c r="A29" t="s">
        <v>136</v>
      </c>
      <c r="B29" s="33"/>
      <c r="C29" s="33"/>
      <c r="I29" s="155">
        <v>-25898137.550863557</v>
      </c>
      <c r="J29" s="61">
        <f t="shared" si="0"/>
        <v>-16934792.144509681</v>
      </c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6"/>
  <sheetViews>
    <sheetView workbookViewId="0">
      <selection activeCell="O6" sqref="O6"/>
    </sheetView>
  </sheetViews>
  <sheetFormatPr defaultRowHeight="12.75"/>
  <cols>
    <col min="2" max="2" width="20.7109375" customWidth="1"/>
  </cols>
  <sheetData>
    <row r="3" spans="2:15">
      <c r="D3" t="s">
        <v>49</v>
      </c>
      <c r="E3" t="s">
        <v>50</v>
      </c>
      <c r="F3" t="s">
        <v>51</v>
      </c>
      <c r="G3" t="s">
        <v>52</v>
      </c>
      <c r="H3" t="s">
        <v>53</v>
      </c>
      <c r="I3" t="s">
        <v>54</v>
      </c>
      <c r="J3" t="s">
        <v>55</v>
      </c>
      <c r="K3" t="s">
        <v>56</v>
      </c>
      <c r="L3" t="s">
        <v>57</v>
      </c>
      <c r="M3" t="s">
        <v>58</v>
      </c>
      <c r="N3" t="s">
        <v>59</v>
      </c>
      <c r="O3" t="s">
        <v>60</v>
      </c>
    </row>
    <row r="6" spans="2:15">
      <c r="B6" t="s">
        <v>87</v>
      </c>
      <c r="C6" s="55"/>
      <c r="D6" s="3">
        <v>21.254838709677422</v>
      </c>
      <c r="E6" s="3">
        <v>17.631649659863946</v>
      </c>
      <c r="F6" s="3">
        <v>19.468392740850089</v>
      </c>
      <c r="G6" s="3">
        <v>14.480444444444444</v>
      </c>
      <c r="H6" s="3">
        <v>7.0468435657301427</v>
      </c>
      <c r="I6" s="3">
        <v>11.395755555555555</v>
      </c>
      <c r="J6" s="3">
        <v>52.682178286507103</v>
      </c>
      <c r="K6" s="3">
        <v>55.107575442247651</v>
      </c>
      <c r="L6" s="3">
        <v>27.484422222222221</v>
      </c>
      <c r="M6" s="3">
        <v>40.995053763440858</v>
      </c>
      <c r="N6" s="3">
        <v>49.756600554785031</v>
      </c>
      <c r="O6" s="3">
        <v>49.01074921956296</v>
      </c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opLeftCell="A3" workbookViewId="0">
      <pane ySplit="1515" activePane="bottomLeft"/>
      <selection activeCell="D6" sqref="D6"/>
      <selection pane="bottomLeft" activeCell="C8" sqref="C8:N8"/>
    </sheetView>
  </sheetViews>
  <sheetFormatPr defaultRowHeight="12.75"/>
  <cols>
    <col min="1" max="1" width="42.28515625" customWidth="1"/>
    <col min="2" max="2" width="13.7109375" customWidth="1"/>
    <col min="3" max="4" width="11.7109375" customWidth="1"/>
    <col min="5" max="5" width="11.5703125" customWidth="1"/>
    <col min="6" max="6" width="12.28515625" customWidth="1"/>
    <col min="7" max="8" width="11.7109375" customWidth="1"/>
    <col min="9" max="9" width="12.28515625" customWidth="1"/>
    <col min="10" max="10" width="11.5703125" customWidth="1"/>
    <col min="11" max="11" width="13" customWidth="1"/>
    <col min="12" max="13" width="11.42578125" customWidth="1"/>
    <col min="14" max="14" width="11" customWidth="1"/>
    <col min="15" max="15" width="12.7109375" bestFit="1" customWidth="1"/>
    <col min="17" max="17" width="12.7109375" bestFit="1" customWidth="1"/>
    <col min="19" max="19" width="12.7109375" bestFit="1" customWidth="1"/>
    <col min="21" max="21" width="12.7109375" bestFit="1" customWidth="1"/>
    <col min="23" max="23" width="12.7109375" bestFit="1" customWidth="1"/>
    <col min="25" max="25" width="12.7109375" bestFit="1" customWidth="1"/>
    <col min="27" max="27" width="12.7109375" bestFit="1" customWidth="1"/>
  </cols>
  <sheetData>
    <row r="1" spans="1:20" ht="15.75">
      <c r="A1" s="8" t="s">
        <v>8</v>
      </c>
    </row>
    <row r="2" spans="1:20" ht="15.75">
      <c r="A2" s="8" t="s">
        <v>93</v>
      </c>
    </row>
    <row r="3" spans="1:20" ht="15.75">
      <c r="A3" s="8"/>
    </row>
    <row r="4" spans="1:20">
      <c r="B4" s="29">
        <f>SUM(C4:N4)</f>
        <v>8760</v>
      </c>
      <c r="C4" s="29">
        <v>744</v>
      </c>
      <c r="D4" s="29">
        <v>672</v>
      </c>
      <c r="E4" s="29">
        <v>743</v>
      </c>
      <c r="F4" s="29">
        <v>720</v>
      </c>
      <c r="G4" s="29">
        <v>744</v>
      </c>
      <c r="H4" s="29">
        <v>720</v>
      </c>
      <c r="I4" s="29">
        <v>744</v>
      </c>
      <c r="J4" s="29">
        <v>744</v>
      </c>
      <c r="K4" s="29">
        <v>720</v>
      </c>
      <c r="L4" s="29">
        <v>744</v>
      </c>
      <c r="M4" s="29">
        <v>721</v>
      </c>
      <c r="N4" s="29">
        <v>744</v>
      </c>
    </row>
    <row r="5" spans="1:20">
      <c r="B5" s="5" t="s">
        <v>2</v>
      </c>
      <c r="C5" s="6">
        <v>43101</v>
      </c>
      <c r="D5" s="6">
        <v>43132</v>
      </c>
      <c r="E5" s="6">
        <v>43160</v>
      </c>
      <c r="F5" s="6">
        <v>43191</v>
      </c>
      <c r="G5" s="6">
        <v>43221</v>
      </c>
      <c r="H5" s="6">
        <v>43252</v>
      </c>
      <c r="I5" s="6">
        <v>43282</v>
      </c>
      <c r="J5" s="6">
        <v>43313</v>
      </c>
      <c r="K5" s="6">
        <v>43344</v>
      </c>
      <c r="L5" s="6">
        <v>43374</v>
      </c>
      <c r="M5" s="6">
        <v>43405</v>
      </c>
      <c r="N5" s="6">
        <v>43435</v>
      </c>
    </row>
    <row r="7" spans="1:20">
      <c r="A7" s="75" t="s">
        <v>82</v>
      </c>
      <c r="B7" s="62">
        <f>AVERAGE(C7:N7)</f>
        <v>30.52620868040729</v>
      </c>
      <c r="C7" s="62">
        <f>'Mid C Index'!D6</f>
        <v>21.254838709677422</v>
      </c>
      <c r="D7" s="62">
        <f>'Mid C Index'!E6</f>
        <v>17.631649659863946</v>
      </c>
      <c r="E7" s="62">
        <f>'Mid C Index'!F6</f>
        <v>19.468392740850089</v>
      </c>
      <c r="F7" s="62">
        <f>'Mid C Index'!G6</f>
        <v>14.480444444444444</v>
      </c>
      <c r="G7" s="62">
        <f>'Mid C Index'!H6</f>
        <v>7.0468435657301427</v>
      </c>
      <c r="H7" s="62">
        <f>'Mid C Index'!I6</f>
        <v>11.395755555555555</v>
      </c>
      <c r="I7" s="62">
        <f>'Mid C Index'!J6</f>
        <v>52.682178286507103</v>
      </c>
      <c r="J7" s="62">
        <f>'Mid C Index'!K6</f>
        <v>55.107575442247651</v>
      </c>
      <c r="K7" s="62">
        <f>'Mid C Index'!L6</f>
        <v>27.484422222222221</v>
      </c>
      <c r="L7" s="62">
        <f>'Mid C Index'!M6</f>
        <v>40.995053763440858</v>
      </c>
      <c r="M7" s="62">
        <f>'Mid C Index'!N6</f>
        <v>49.756600554785031</v>
      </c>
      <c r="N7" s="62">
        <f>'Mid C Index'!O6</f>
        <v>49.01074921956296</v>
      </c>
    </row>
    <row r="8" spans="1:20">
      <c r="A8" t="s">
        <v>88</v>
      </c>
      <c r="C8" s="79">
        <v>0.64710000000000001</v>
      </c>
      <c r="D8" s="79">
        <v>0.64710000000000001</v>
      </c>
      <c r="E8" s="79">
        <v>0.64710000000000001</v>
      </c>
      <c r="F8" s="79">
        <v>0.64710000000000001</v>
      </c>
      <c r="G8" s="79">
        <v>0.6573</v>
      </c>
      <c r="H8" s="79">
        <v>0.6573</v>
      </c>
      <c r="I8" s="79">
        <v>0.6573</v>
      </c>
      <c r="J8" s="79">
        <v>0.6573</v>
      </c>
      <c r="K8" s="79">
        <v>0.6573</v>
      </c>
      <c r="L8" s="79">
        <v>0.6573</v>
      </c>
      <c r="M8" s="79">
        <v>0.6573</v>
      </c>
      <c r="N8" s="79">
        <v>0.6573</v>
      </c>
    </row>
    <row r="9" spans="1:20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T9" s="1"/>
    </row>
    <row r="10" spans="1:20">
      <c r="A10" s="9" t="s">
        <v>44</v>
      </c>
      <c r="B10" s="82">
        <f>B11/8760</f>
        <v>459.97431506849313</v>
      </c>
      <c r="C10" s="80"/>
    </row>
    <row r="11" spans="1:20">
      <c r="A11" s="10" t="s">
        <v>0</v>
      </c>
      <c r="B11" s="28">
        <f>SUM(C11:N11)</f>
        <v>4029375</v>
      </c>
      <c r="C11" s="1">
        <v>311005</v>
      </c>
      <c r="D11" s="1">
        <v>333135</v>
      </c>
      <c r="E11" s="1">
        <v>386042</v>
      </c>
      <c r="F11" s="1">
        <v>506107</v>
      </c>
      <c r="G11" s="1">
        <v>593497</v>
      </c>
      <c r="H11" s="1">
        <v>548190</v>
      </c>
      <c r="I11" s="1">
        <v>356131</v>
      </c>
      <c r="J11" s="1">
        <v>161279</v>
      </c>
      <c r="K11" s="1">
        <v>138550</v>
      </c>
      <c r="L11" s="1">
        <v>186451</v>
      </c>
      <c r="M11" s="1">
        <v>224936</v>
      </c>
      <c r="N11" s="1">
        <v>284052</v>
      </c>
    </row>
    <row r="12" spans="1:20">
      <c r="A12" s="10" t="s">
        <v>1</v>
      </c>
      <c r="B12" s="28">
        <f>SUM(C12:N12)</f>
        <v>3854289.5689533656</v>
      </c>
      <c r="C12" s="68">
        <v>268941.93135223398</v>
      </c>
      <c r="D12" s="68">
        <v>241047.41148376456</v>
      </c>
      <c r="E12" s="68">
        <v>275128.34905395494</v>
      </c>
      <c r="F12" s="68">
        <v>413807.13348999008</v>
      </c>
      <c r="G12" s="68">
        <v>574856.1085998523</v>
      </c>
      <c r="H12" s="68">
        <v>561275.30664062407</v>
      </c>
      <c r="I12" s="68">
        <v>391980.27719116153</v>
      </c>
      <c r="J12" s="68">
        <v>188578.17087750405</v>
      </c>
      <c r="K12" s="68">
        <v>188358.38204498254</v>
      </c>
      <c r="L12" s="68">
        <v>207892.03543243348</v>
      </c>
      <c r="M12" s="68">
        <v>237159.1257904048</v>
      </c>
      <c r="N12" s="68">
        <v>305265.33699645952</v>
      </c>
    </row>
    <row r="13" spans="1:20">
      <c r="A13" s="10"/>
      <c r="B13" s="83">
        <f>B12/8760</f>
        <v>439.9873937161376</v>
      </c>
    </row>
    <row r="14" spans="1:20">
      <c r="A14" s="10" t="s">
        <v>4</v>
      </c>
      <c r="B14" s="28">
        <f>SUM(C14:N14)</f>
        <v>175085.43104663413</v>
      </c>
      <c r="C14" s="2">
        <f>C11-C12</f>
        <v>42063.06864776602</v>
      </c>
      <c r="D14" s="2">
        <f t="shared" ref="D14:N14" si="0">D11-D12</f>
        <v>92087.588516235439</v>
      </c>
      <c r="E14" s="2">
        <f t="shared" si="0"/>
        <v>110913.65094604506</v>
      </c>
      <c r="F14" s="2">
        <f t="shared" si="0"/>
        <v>92299.866510009917</v>
      </c>
      <c r="G14" s="2">
        <f t="shared" si="0"/>
        <v>18640.891400147695</v>
      </c>
      <c r="H14" s="2">
        <f t="shared" si="0"/>
        <v>-13085.306640624069</v>
      </c>
      <c r="I14" s="2">
        <f t="shared" si="0"/>
        <v>-35849.277191161527</v>
      </c>
      <c r="J14" s="2">
        <f t="shared" si="0"/>
        <v>-27299.170877504046</v>
      </c>
      <c r="K14" s="2">
        <f t="shared" si="0"/>
        <v>-49808.382044982543</v>
      </c>
      <c r="L14" s="2">
        <f t="shared" si="0"/>
        <v>-21441.035432433477</v>
      </c>
      <c r="M14" s="2">
        <f t="shared" si="0"/>
        <v>-12223.125790404796</v>
      </c>
      <c r="N14" s="2">
        <f t="shared" si="0"/>
        <v>-21213.336996459519</v>
      </c>
    </row>
    <row r="15" spans="1:20">
      <c r="A15" s="10" t="s">
        <v>5</v>
      </c>
      <c r="B15" s="30">
        <f>B14/8760</f>
        <v>19.986921352355495</v>
      </c>
      <c r="C15" s="37">
        <f t="shared" ref="C15:N15" si="1">C14/C4</f>
        <v>56.53638259108336</v>
      </c>
      <c r="D15" s="37">
        <f t="shared" si="1"/>
        <v>137.0351019586837</v>
      </c>
      <c r="E15" s="37">
        <f t="shared" si="1"/>
        <v>149.27813047919926</v>
      </c>
      <c r="F15" s="37">
        <f t="shared" si="1"/>
        <v>128.19425904168045</v>
      </c>
      <c r="G15" s="37">
        <f t="shared" si="1"/>
        <v>25.054961559338299</v>
      </c>
      <c r="H15" s="37">
        <f t="shared" si="1"/>
        <v>-18.174037000866761</v>
      </c>
      <c r="I15" s="37">
        <f t="shared" si="1"/>
        <v>-48.184512353711732</v>
      </c>
      <c r="J15" s="37">
        <f t="shared" si="1"/>
        <v>-36.692433975139849</v>
      </c>
      <c r="K15" s="37">
        <f t="shared" si="1"/>
        <v>-69.178308395809083</v>
      </c>
      <c r="L15" s="37">
        <f t="shared" si="1"/>
        <v>-28.81859601133532</v>
      </c>
      <c r="M15" s="37">
        <f t="shared" si="1"/>
        <v>-16.953017739812477</v>
      </c>
      <c r="N15" s="37">
        <f t="shared" si="1"/>
        <v>-28.512549726424083</v>
      </c>
    </row>
    <row r="16" spans="1:20">
      <c r="A16" s="10"/>
      <c r="B16" s="12">
        <f>B17/B14</f>
        <v>7.3850058149834252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10" t="s">
        <v>9</v>
      </c>
      <c r="B17" s="13">
        <f>SUM(C17:N17)</f>
        <v>1293006.9263982726</v>
      </c>
      <c r="C17" s="4">
        <f>-C$7*C14</f>
        <v>-894043.73974235589</v>
      </c>
      <c r="D17" s="4">
        <f t="shared" ref="D17:N17" si="2">-D$7*D14</f>
        <v>-1623656.0987399735</v>
      </c>
      <c r="E17" s="4">
        <f t="shared" si="2"/>
        <v>-2159310.5169391641</v>
      </c>
      <c r="F17" s="4">
        <f t="shared" si="2"/>
        <v>-1336543.0892278368</v>
      </c>
      <c r="G17" s="4">
        <f t="shared" si="2"/>
        <v>-131359.44562260513</v>
      </c>
      <c r="H17" s="4">
        <f t="shared" si="2"/>
        <v>149116.95584603972</v>
      </c>
      <c r="I17" s="4">
        <f t="shared" si="2"/>
        <v>1888618.0124271843</v>
      </c>
      <c r="J17" s="4">
        <f t="shared" si="2"/>
        <v>1504391.1186428643</v>
      </c>
      <c r="K17" s="4">
        <f t="shared" si="2"/>
        <v>1368954.6023300525</v>
      </c>
      <c r="L17" s="4">
        <f t="shared" si="2"/>
        <v>878976.40029645083</v>
      </c>
      <c r="M17" s="4">
        <f t="shared" si="2"/>
        <v>608181.18748406251</v>
      </c>
      <c r="N17" s="4">
        <f t="shared" si="2"/>
        <v>1039681.5396435544</v>
      </c>
    </row>
    <row r="18" spans="1:14">
      <c r="A18" s="10"/>
      <c r="B18" s="1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14" t="s">
        <v>3</v>
      </c>
      <c r="B19" s="15">
        <f>SUM(C19:N19)</f>
        <v>911231.69785700762</v>
      </c>
      <c r="C19" s="4">
        <f>C17*C$8</f>
        <v>-578535.70398727851</v>
      </c>
      <c r="D19" s="4">
        <f>D17*D$8</f>
        <v>-1050667.8614946369</v>
      </c>
      <c r="E19" s="4">
        <f t="shared" ref="E19:N19" si="3">E17*E$8</f>
        <v>-1397289.8355113331</v>
      </c>
      <c r="F19" s="4">
        <f t="shared" si="3"/>
        <v>-864877.03303933318</v>
      </c>
      <c r="G19" s="4">
        <f t="shared" si="3"/>
        <v>-86342.563607738353</v>
      </c>
      <c r="H19" s="4">
        <f t="shared" si="3"/>
        <v>98014.575077601912</v>
      </c>
      <c r="I19" s="4">
        <f t="shared" si="3"/>
        <v>1241388.6195683882</v>
      </c>
      <c r="J19" s="4">
        <f t="shared" si="3"/>
        <v>988836.28228395467</v>
      </c>
      <c r="K19" s="4">
        <f t="shared" si="3"/>
        <v>899813.86011154356</v>
      </c>
      <c r="L19" s="4">
        <f t="shared" si="3"/>
        <v>577751.18791485718</v>
      </c>
      <c r="M19" s="4">
        <f t="shared" si="3"/>
        <v>399757.49453327426</v>
      </c>
      <c r="N19" s="4">
        <f t="shared" si="3"/>
        <v>683382.6760077083</v>
      </c>
    </row>
    <row r="20" spans="1:14">
      <c r="A20" s="7"/>
      <c r="B20" s="31"/>
    </row>
    <row r="21" spans="1:14" hidden="1">
      <c r="A21" s="34" t="s">
        <v>20</v>
      </c>
      <c r="B21" s="31"/>
    </row>
    <row r="22" spans="1:14" hidden="1">
      <c r="A22" s="33" t="s">
        <v>21</v>
      </c>
      <c r="B22" s="17">
        <f>SUM(C22:N22)</f>
        <v>705935</v>
      </c>
      <c r="C22" s="2">
        <v>147358</v>
      </c>
      <c r="D22" s="2">
        <v>45205</v>
      </c>
      <c r="E22" s="2">
        <v>92737</v>
      </c>
      <c r="F22" s="2">
        <v>9901</v>
      </c>
      <c r="G22" s="2">
        <v>383</v>
      </c>
      <c r="H22" s="2">
        <v>840</v>
      </c>
      <c r="I22" s="2">
        <v>13951</v>
      </c>
      <c r="J22" s="2">
        <v>94532</v>
      </c>
      <c r="K22" s="2">
        <v>59300</v>
      </c>
      <c r="L22" s="2">
        <v>107507</v>
      </c>
      <c r="M22" s="2">
        <v>58355</v>
      </c>
      <c r="N22" s="2">
        <v>75866</v>
      </c>
    </row>
    <row r="23" spans="1:14" hidden="1">
      <c r="A23" s="33" t="s">
        <v>22</v>
      </c>
      <c r="B23" s="17">
        <f>SUM(C23:N23)</f>
        <v>-1035944</v>
      </c>
      <c r="C23" s="2">
        <v>-14968</v>
      </c>
      <c r="D23" s="2">
        <v>-34073</v>
      </c>
      <c r="E23" s="2">
        <v>-21830</v>
      </c>
      <c r="F23" s="2">
        <v>-130338</v>
      </c>
      <c r="G23" s="2">
        <v>-271672</v>
      </c>
      <c r="H23" s="2">
        <v>-278105</v>
      </c>
      <c r="I23" s="2">
        <v>-137895</v>
      </c>
      <c r="J23" s="2">
        <v>-20896</v>
      </c>
      <c r="K23" s="2">
        <v>-31209</v>
      </c>
      <c r="L23" s="2">
        <v>-22287</v>
      </c>
      <c r="M23" s="2">
        <v>-48835</v>
      </c>
      <c r="N23" s="2">
        <v>-23836</v>
      </c>
    </row>
    <row r="24" spans="1:14" hidden="1">
      <c r="A24" s="7"/>
      <c r="B24" s="31"/>
    </row>
    <row r="25" spans="1:14" hidden="1">
      <c r="A25" s="33" t="s">
        <v>23</v>
      </c>
      <c r="B25" s="13">
        <f>SUM(C25:N25)</f>
        <v>24493467.638631269</v>
      </c>
      <c r="C25" s="4">
        <f t="shared" ref="C25:N25" si="4">C7*C22</f>
        <v>3132070.5225806455</v>
      </c>
      <c r="D25" s="4">
        <f t="shared" si="4"/>
        <v>797038.72287414968</v>
      </c>
      <c r="E25" s="4">
        <f t="shared" si="4"/>
        <v>1805440.3376082147</v>
      </c>
      <c r="F25" s="4">
        <f t="shared" si="4"/>
        <v>143370.88044444445</v>
      </c>
      <c r="G25" s="4">
        <f t="shared" si="4"/>
        <v>2698.9410856746445</v>
      </c>
      <c r="H25" s="4">
        <f t="shared" si="4"/>
        <v>9572.4346666666661</v>
      </c>
      <c r="I25" s="4">
        <f t="shared" si="4"/>
        <v>734969.06927506055</v>
      </c>
      <c r="J25" s="4">
        <f t="shared" si="4"/>
        <v>5209429.3217065549</v>
      </c>
      <c r="K25" s="4">
        <f t="shared" si="4"/>
        <v>1629826.2377777777</v>
      </c>
      <c r="L25" s="4">
        <f t="shared" si="4"/>
        <v>4407255.2449462367</v>
      </c>
      <c r="M25" s="4">
        <f t="shared" si="4"/>
        <v>2903546.4253744804</v>
      </c>
      <c r="N25" s="4">
        <f t="shared" si="4"/>
        <v>3718249.5002913633</v>
      </c>
    </row>
    <row r="26" spans="1:14" hidden="1">
      <c r="A26" s="33" t="s">
        <v>24</v>
      </c>
      <c r="B26" s="13" t="e">
        <f>SUM(C26:N26)</f>
        <v>#REF!</v>
      </c>
      <c r="C26" s="4" t="e">
        <f>#REF!*C23</f>
        <v>#REF!</v>
      </c>
      <c r="D26" s="4" t="e">
        <f>#REF!*D23</f>
        <v>#REF!</v>
      </c>
      <c r="E26" s="4" t="e">
        <f>#REF!*E23</f>
        <v>#REF!</v>
      </c>
      <c r="F26" s="4" t="e">
        <f>#REF!*F23</f>
        <v>#REF!</v>
      </c>
      <c r="G26" s="4" t="e">
        <f>#REF!*G23</f>
        <v>#REF!</v>
      </c>
      <c r="H26" s="4" t="e">
        <f>#REF!*H23</f>
        <v>#REF!</v>
      </c>
      <c r="I26" s="4" t="e">
        <f>#REF!*I23</f>
        <v>#REF!</v>
      </c>
      <c r="J26" s="4" t="e">
        <f>#REF!*J23</f>
        <v>#REF!</v>
      </c>
      <c r="K26" s="4" t="e">
        <f>#REF!*K23</f>
        <v>#REF!</v>
      </c>
      <c r="L26" s="4" t="e">
        <f>#REF!*L23</f>
        <v>#REF!</v>
      </c>
      <c r="M26" s="4" t="e">
        <f>#REF!*M23</f>
        <v>#REF!</v>
      </c>
      <c r="N26" s="4" t="e">
        <f>#REF!*N23</f>
        <v>#REF!</v>
      </c>
    </row>
    <row r="27" spans="1:14" hidden="1">
      <c r="A27" s="33" t="s">
        <v>29</v>
      </c>
      <c r="B27" s="31" t="e">
        <f>SUM(B25:B26)</f>
        <v>#REF!</v>
      </c>
    </row>
    <row r="28" spans="1:14" hidden="1">
      <c r="A28" s="33"/>
      <c r="B28" s="31"/>
    </row>
    <row r="29" spans="1:14" hidden="1">
      <c r="A29" s="33" t="s">
        <v>25</v>
      </c>
      <c r="B29" s="13">
        <f>SUM(C29:N29)</f>
        <v>44793650</v>
      </c>
      <c r="C29" s="4">
        <v>9075662</v>
      </c>
      <c r="D29" s="4">
        <v>2751138</v>
      </c>
      <c r="E29" s="4">
        <v>5619553</v>
      </c>
      <c r="F29" s="4">
        <v>577177</v>
      </c>
      <c r="G29" s="4">
        <v>22410</v>
      </c>
      <c r="H29" s="4">
        <v>32375</v>
      </c>
      <c r="I29" s="4">
        <v>934723</v>
      </c>
      <c r="J29" s="4">
        <v>5871138</v>
      </c>
      <c r="K29" s="4">
        <v>3944699</v>
      </c>
      <c r="L29" s="4">
        <v>7107241</v>
      </c>
      <c r="M29" s="4">
        <v>3786293</v>
      </c>
      <c r="N29" s="4">
        <v>5071241</v>
      </c>
    </row>
    <row r="30" spans="1:14" hidden="1">
      <c r="A30" s="33" t="s">
        <v>26</v>
      </c>
      <c r="B30" s="13">
        <f>SUM(C30:N30)</f>
        <v>-46402691</v>
      </c>
      <c r="C30" s="4">
        <v>-797058</v>
      </c>
      <c r="D30" s="4">
        <v>-2024244</v>
      </c>
      <c r="E30" s="4">
        <v>-1170113</v>
      </c>
      <c r="F30" s="4">
        <v>-6133173</v>
      </c>
      <c r="G30" s="4">
        <v>-10830415</v>
      </c>
      <c r="H30" s="4">
        <v>-9847543</v>
      </c>
      <c r="I30" s="4">
        <v>-6773305</v>
      </c>
      <c r="J30" s="4">
        <v>-1214676</v>
      </c>
      <c r="K30" s="4">
        <v>-1756109</v>
      </c>
      <c r="L30" s="4">
        <v>-1213524</v>
      </c>
      <c r="M30" s="4">
        <v>-3049337</v>
      </c>
      <c r="N30" s="4">
        <v>-1593194</v>
      </c>
    </row>
    <row r="31" spans="1:14" hidden="1">
      <c r="A31" s="33"/>
      <c r="B31" s="31">
        <f>SUM(B29:B30)</f>
        <v>-1609041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idden="1">
      <c r="A32" s="33"/>
      <c r="B32" s="3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idden="1">
      <c r="A33" s="33" t="s">
        <v>27</v>
      </c>
      <c r="B33" s="13">
        <f>SUM(C33:N33)</f>
        <v>-20300182.361368731</v>
      </c>
      <c r="C33" s="4">
        <f>C25-C29</f>
        <v>-5943591.477419354</v>
      </c>
      <c r="D33" s="4">
        <f t="shared" ref="D33:N33" si="5">D25-D29</f>
        <v>-1954099.2771258503</v>
      </c>
      <c r="E33" s="4">
        <f t="shared" si="5"/>
        <v>-3814112.6623917855</v>
      </c>
      <c r="F33" s="4">
        <f t="shared" si="5"/>
        <v>-433806.11955555552</v>
      </c>
      <c r="G33" s="4">
        <f t="shared" si="5"/>
        <v>-19711.058914325356</v>
      </c>
      <c r="H33" s="4">
        <f t="shared" si="5"/>
        <v>-22802.565333333332</v>
      </c>
      <c r="I33" s="4">
        <f t="shared" si="5"/>
        <v>-199753.93072493945</v>
      </c>
      <c r="J33" s="4">
        <f t="shared" si="5"/>
        <v>-661708.67829344515</v>
      </c>
      <c r="K33" s="4">
        <f t="shared" si="5"/>
        <v>-2314872.7622222221</v>
      </c>
      <c r="L33" s="4">
        <f t="shared" si="5"/>
        <v>-2699985.7550537633</v>
      </c>
      <c r="M33" s="4">
        <f t="shared" si="5"/>
        <v>-882746.57462551957</v>
      </c>
      <c r="N33" s="4">
        <f t="shared" si="5"/>
        <v>-1352991.4997086367</v>
      </c>
    </row>
    <row r="34" spans="1:14" hidden="1">
      <c r="A34" s="33" t="s">
        <v>28</v>
      </c>
      <c r="B34" s="13" t="e">
        <f>SUM(C34:N34)</f>
        <v>#REF!</v>
      </c>
      <c r="C34" s="4" t="e">
        <f>C26-C30</f>
        <v>#REF!</v>
      </c>
      <c r="D34" s="4" t="e">
        <f t="shared" ref="D34:N34" si="6">D26-D30</f>
        <v>#REF!</v>
      </c>
      <c r="E34" s="4" t="e">
        <f t="shared" si="6"/>
        <v>#REF!</v>
      </c>
      <c r="F34" s="4" t="e">
        <f t="shared" si="6"/>
        <v>#REF!</v>
      </c>
      <c r="G34" s="4" t="e">
        <f t="shared" si="6"/>
        <v>#REF!</v>
      </c>
      <c r="H34" s="4" t="e">
        <f t="shared" si="6"/>
        <v>#REF!</v>
      </c>
      <c r="I34" s="4" t="e">
        <f t="shared" si="6"/>
        <v>#REF!</v>
      </c>
      <c r="J34" s="4" t="e">
        <f t="shared" si="6"/>
        <v>#REF!</v>
      </c>
      <c r="K34" s="4" t="e">
        <f t="shared" si="6"/>
        <v>#REF!</v>
      </c>
      <c r="L34" s="4" t="e">
        <f t="shared" si="6"/>
        <v>#REF!</v>
      </c>
      <c r="M34" s="4" t="e">
        <f t="shared" si="6"/>
        <v>#REF!</v>
      </c>
      <c r="N34" s="4" t="e">
        <f t="shared" si="6"/>
        <v>#REF!</v>
      </c>
    </row>
    <row r="35" spans="1:14" hidden="1">
      <c r="A35" s="33" t="s">
        <v>30</v>
      </c>
      <c r="B35" s="36" t="e">
        <f>SUM(C35:N35)</f>
        <v>#REF!</v>
      </c>
      <c r="C35" s="31" t="e">
        <f>SUM(C33:C34)</f>
        <v>#REF!</v>
      </c>
      <c r="D35" s="31" t="e">
        <f t="shared" ref="D35:N35" si="7">SUM(D33:D34)</f>
        <v>#REF!</v>
      </c>
      <c r="E35" s="31" t="e">
        <f t="shared" si="7"/>
        <v>#REF!</v>
      </c>
      <c r="F35" s="31" t="e">
        <f t="shared" si="7"/>
        <v>#REF!</v>
      </c>
      <c r="G35" s="31" t="e">
        <f t="shared" si="7"/>
        <v>#REF!</v>
      </c>
      <c r="H35" s="31" t="e">
        <f t="shared" si="7"/>
        <v>#REF!</v>
      </c>
      <c r="I35" s="31" t="e">
        <f t="shared" si="7"/>
        <v>#REF!</v>
      </c>
      <c r="J35" s="31" t="e">
        <f t="shared" si="7"/>
        <v>#REF!</v>
      </c>
      <c r="K35" s="31" t="e">
        <f t="shared" si="7"/>
        <v>#REF!</v>
      </c>
      <c r="L35" s="31" t="e">
        <f t="shared" si="7"/>
        <v>#REF!</v>
      </c>
      <c r="M35" s="31" t="e">
        <f t="shared" si="7"/>
        <v>#REF!</v>
      </c>
      <c r="N35" s="31" t="e">
        <f t="shared" si="7"/>
        <v>#REF!</v>
      </c>
    </row>
    <row r="37" spans="1:14">
      <c r="A37" s="9" t="s">
        <v>31</v>
      </c>
      <c r="B37" s="16"/>
    </row>
    <row r="38" spans="1:14">
      <c r="A38" s="10" t="s">
        <v>32</v>
      </c>
      <c r="B38" s="28">
        <f>SUM(C38:N38)</f>
        <v>3090056</v>
      </c>
      <c r="C38" s="89">
        <v>386733</v>
      </c>
      <c r="D38" s="89">
        <v>175942</v>
      </c>
      <c r="E38" s="89">
        <v>87395</v>
      </c>
      <c r="F38" s="89">
        <v>68469</v>
      </c>
      <c r="G38" s="89">
        <v>64909</v>
      </c>
      <c r="H38" s="89">
        <v>67538</v>
      </c>
      <c r="I38" s="89">
        <v>373187</v>
      </c>
      <c r="J38" s="89">
        <v>422139</v>
      </c>
      <c r="K38" s="89">
        <v>362680</v>
      </c>
      <c r="L38" s="89">
        <v>319922</v>
      </c>
      <c r="M38" s="89">
        <v>358704</v>
      </c>
      <c r="N38" s="89">
        <v>402438</v>
      </c>
    </row>
    <row r="39" spans="1:14">
      <c r="A39" s="10" t="s">
        <v>33</v>
      </c>
      <c r="B39" s="28">
        <f>SUM(C39:N39)</f>
        <v>3279288.1629521474</v>
      </c>
      <c r="C39" s="89">
        <v>365287.68860890908</v>
      </c>
      <c r="D39" s="89">
        <v>324944.55732508312</v>
      </c>
      <c r="E39" s="89">
        <v>317820.8956940652</v>
      </c>
      <c r="F39" s="89">
        <v>226687.93792569643</v>
      </c>
      <c r="G39" s="89">
        <v>91075.960249590964</v>
      </c>
      <c r="H39" s="89">
        <v>91518.159969103246</v>
      </c>
      <c r="I39" s="89">
        <v>219504.62223656167</v>
      </c>
      <c r="J39" s="89">
        <v>294153.15393773303</v>
      </c>
      <c r="K39" s="89">
        <v>309969.7308602815</v>
      </c>
      <c r="L39" s="89">
        <v>333717.54778287717</v>
      </c>
      <c r="M39" s="89">
        <v>340150.70664606069</v>
      </c>
      <c r="N39" s="89">
        <v>364457.20171618566</v>
      </c>
    </row>
    <row r="40" spans="1:14">
      <c r="A40" s="10"/>
      <c r="B40" s="11"/>
    </row>
    <row r="41" spans="1:14">
      <c r="A41" s="10" t="s">
        <v>4</v>
      </c>
      <c r="B41" s="17">
        <f>SUM(C41:N41)</f>
        <v>-189232.16295214777</v>
      </c>
      <c r="C41" s="2">
        <f>C38-C39</f>
        <v>21445.311391090916</v>
      </c>
      <c r="D41" s="2">
        <f t="shared" ref="D41:N41" si="8">D38-D39</f>
        <v>-149002.55732508312</v>
      </c>
      <c r="E41" s="2">
        <f t="shared" si="8"/>
        <v>-230425.8956940652</v>
      </c>
      <c r="F41" s="2">
        <f t="shared" si="8"/>
        <v>-158218.93792569643</v>
      </c>
      <c r="G41" s="2">
        <f t="shared" si="8"/>
        <v>-26166.960249590964</v>
      </c>
      <c r="H41" s="2">
        <f t="shared" si="8"/>
        <v>-23980.159969103246</v>
      </c>
      <c r="I41" s="2">
        <f t="shared" si="8"/>
        <v>153682.37776343833</v>
      </c>
      <c r="J41" s="2">
        <f t="shared" si="8"/>
        <v>127985.84606226697</v>
      </c>
      <c r="K41" s="2">
        <f t="shared" si="8"/>
        <v>52710.269139718497</v>
      </c>
      <c r="L41" s="2">
        <f t="shared" si="8"/>
        <v>-13795.547782877169</v>
      </c>
      <c r="M41" s="2">
        <f t="shared" si="8"/>
        <v>18553.293353939313</v>
      </c>
      <c r="N41" s="2">
        <f t="shared" si="8"/>
        <v>37980.798283814336</v>
      </c>
    </row>
    <row r="42" spans="1:14">
      <c r="A42" s="10" t="s">
        <v>5</v>
      </c>
      <c r="B42" s="18">
        <f>B41/8760</f>
        <v>-21.601845085861619</v>
      </c>
    </row>
    <row r="43" spans="1:14">
      <c r="A43" s="10"/>
      <c r="B43" s="12">
        <f>B45/B38</f>
        <v>22.50007281421437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10" t="s">
        <v>34</v>
      </c>
      <c r="B44" s="13">
        <f>SUM(C44:N44)</f>
        <v>-9410977.2010363769</v>
      </c>
      <c r="C44" s="4">
        <f>-C$7*C41</f>
        <v>-455816.63469644537</v>
      </c>
      <c r="D44" s="4">
        <f t="shared" ref="D44:N44" si="9">-D$7*D41</f>
        <v>2627160.88917966</v>
      </c>
      <c r="E44" s="4">
        <f t="shared" si="9"/>
        <v>4486021.8350342186</v>
      </c>
      <c r="F44" s="4">
        <f t="shared" si="9"/>
        <v>2291080.5406920514</v>
      </c>
      <c r="G44" s="4">
        <f t="shared" si="9"/>
        <v>184394.47546954648</v>
      </c>
      <c r="H44" s="4">
        <f t="shared" si="9"/>
        <v>273272.04119101923</v>
      </c>
      <c r="I44" s="4">
        <f t="shared" si="9"/>
        <v>-8096322.4248277927</v>
      </c>
      <c r="J44" s="4">
        <f t="shared" si="9"/>
        <v>-7052989.6674162708</v>
      </c>
      <c r="K44" s="4">
        <f t="shared" si="9"/>
        <v>-1448711.2924829933</v>
      </c>
      <c r="L44" s="4">
        <f t="shared" si="9"/>
        <v>565549.22305516689</v>
      </c>
      <c r="M44" s="4">
        <f t="shared" si="9"/>
        <v>-923148.80638770619</v>
      </c>
      <c r="N44" s="4">
        <f t="shared" si="9"/>
        <v>-1861467.3798468318</v>
      </c>
    </row>
    <row r="45" spans="1:14">
      <c r="A45" s="10" t="s">
        <v>35</v>
      </c>
      <c r="B45" s="13">
        <f>SUM(C45:N45)</f>
        <v>69526485</v>
      </c>
      <c r="C45" s="90">
        <v>9055016</v>
      </c>
      <c r="D45" s="90">
        <v>4339629</v>
      </c>
      <c r="E45" s="90">
        <v>2734446</v>
      </c>
      <c r="F45" s="90">
        <v>2317057</v>
      </c>
      <c r="G45" s="90">
        <v>2255561</v>
      </c>
      <c r="H45" s="90">
        <v>2313002</v>
      </c>
      <c r="I45" s="90">
        <v>8249668</v>
      </c>
      <c r="J45" s="90">
        <v>9519606</v>
      </c>
      <c r="K45" s="90">
        <v>7225158</v>
      </c>
      <c r="L45" s="90">
        <v>6316558</v>
      </c>
      <c r="M45" s="90">
        <v>7150335</v>
      </c>
      <c r="N45" s="90">
        <v>8050449</v>
      </c>
    </row>
    <row r="46" spans="1:14">
      <c r="A46" s="10" t="s">
        <v>36</v>
      </c>
      <c r="B46" s="13">
        <f>SUM(C46:N46)</f>
        <v>77293436</v>
      </c>
      <c r="C46" s="90">
        <v>8481668</v>
      </c>
      <c r="D46" s="90">
        <v>7698692</v>
      </c>
      <c r="E46" s="90">
        <v>7292619</v>
      </c>
      <c r="F46" s="90">
        <v>5265751</v>
      </c>
      <c r="G46" s="90">
        <v>2664694</v>
      </c>
      <c r="H46" s="90">
        <v>2712482</v>
      </c>
      <c r="I46" s="90">
        <v>5239795</v>
      </c>
      <c r="J46" s="90">
        <v>6788998</v>
      </c>
      <c r="K46" s="90">
        <v>6983768</v>
      </c>
      <c r="L46" s="90">
        <v>7442560</v>
      </c>
      <c r="M46" s="90">
        <v>7920542</v>
      </c>
      <c r="N46" s="90">
        <v>8801867</v>
      </c>
    </row>
    <row r="47" spans="1:14">
      <c r="A47" s="10" t="s">
        <v>18</v>
      </c>
      <c r="B47" s="13">
        <f>SUM(C47:N47)</f>
        <v>-7766951</v>
      </c>
      <c r="C47" s="35">
        <f>C45-C46</f>
        <v>573348</v>
      </c>
      <c r="D47" s="35">
        <f t="shared" ref="D47:N47" si="10">D45-D46</f>
        <v>-3359063</v>
      </c>
      <c r="E47" s="35">
        <f t="shared" si="10"/>
        <v>-4558173</v>
      </c>
      <c r="F47" s="35">
        <f t="shared" si="10"/>
        <v>-2948694</v>
      </c>
      <c r="G47" s="35">
        <f t="shared" si="10"/>
        <v>-409133</v>
      </c>
      <c r="H47" s="35">
        <f t="shared" si="10"/>
        <v>-399480</v>
      </c>
      <c r="I47" s="35">
        <f t="shared" si="10"/>
        <v>3009873</v>
      </c>
      <c r="J47" s="35">
        <f t="shared" si="10"/>
        <v>2730608</v>
      </c>
      <c r="K47" s="35">
        <f t="shared" si="10"/>
        <v>241390</v>
      </c>
      <c r="L47" s="35">
        <f t="shared" si="10"/>
        <v>-1126002</v>
      </c>
      <c r="M47" s="35">
        <f t="shared" si="10"/>
        <v>-770207</v>
      </c>
      <c r="N47" s="35">
        <f t="shared" si="10"/>
        <v>-751418</v>
      </c>
    </row>
    <row r="48" spans="1:14">
      <c r="A48" s="10"/>
      <c r="B48" s="12">
        <f>B46/B39</f>
        <v>23.570187235518006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10" t="s">
        <v>37</v>
      </c>
      <c r="B49" s="13">
        <f>SUM(C49:N49)</f>
        <v>-17177928.201036379</v>
      </c>
      <c r="C49" s="35">
        <f>C44+C47</f>
        <v>117531.36530355463</v>
      </c>
      <c r="D49" s="35">
        <f t="shared" ref="D49:N49" si="11">D44+D47</f>
        <v>-731902.11082033999</v>
      </c>
      <c r="E49" s="35">
        <f t="shared" si="11"/>
        <v>-72151.164965781383</v>
      </c>
      <c r="F49" s="35">
        <f t="shared" si="11"/>
        <v>-657613.45930794859</v>
      </c>
      <c r="G49" s="35">
        <f t="shared" si="11"/>
        <v>-224738.52453045352</v>
      </c>
      <c r="H49" s="35">
        <f t="shared" si="11"/>
        <v>-126207.95880898077</v>
      </c>
      <c r="I49" s="35">
        <f t="shared" si="11"/>
        <v>-5086449.4248277927</v>
      </c>
      <c r="J49" s="35">
        <f t="shared" si="11"/>
        <v>-4322381.6674162708</v>
      </c>
      <c r="K49" s="35">
        <f t="shared" si="11"/>
        <v>-1207321.2924829933</v>
      </c>
      <c r="L49" s="35">
        <f t="shared" si="11"/>
        <v>-560452.77694483311</v>
      </c>
      <c r="M49" s="35">
        <f t="shared" si="11"/>
        <v>-1693355.8063877062</v>
      </c>
      <c r="N49" s="35">
        <f t="shared" si="11"/>
        <v>-2612885.3798468318</v>
      </c>
    </row>
    <row r="50" spans="1:14">
      <c r="A50" s="10"/>
      <c r="B50" s="11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>
      <c r="A51" s="14" t="s">
        <v>3</v>
      </c>
      <c r="B51" s="15">
        <f>SUM(C51:N51)</f>
        <v>-11277342.025769349</v>
      </c>
      <c r="C51" s="4">
        <f>C49*C$8</f>
        <v>76054.546487930202</v>
      </c>
      <c r="D51" s="4">
        <f t="shared" ref="D51:N51" si="12">D49*D$8</f>
        <v>-473613.85591184202</v>
      </c>
      <c r="E51" s="4">
        <f t="shared" si="12"/>
        <v>-46689.018849357133</v>
      </c>
      <c r="F51" s="4">
        <f t="shared" si="12"/>
        <v>-425541.66951817356</v>
      </c>
      <c r="G51" s="4">
        <f t="shared" si="12"/>
        <v>-147720.63217386711</v>
      </c>
      <c r="H51" s="4">
        <f t="shared" si="12"/>
        <v>-82956.491325143055</v>
      </c>
      <c r="I51" s="4">
        <f t="shared" si="12"/>
        <v>-3343323.206939308</v>
      </c>
      <c r="J51" s="4">
        <f t="shared" si="12"/>
        <v>-2841101.4699927149</v>
      </c>
      <c r="K51" s="4">
        <f t="shared" si="12"/>
        <v>-793572.2855490715</v>
      </c>
      <c r="L51" s="4">
        <f t="shared" si="12"/>
        <v>-368385.61028583877</v>
      </c>
      <c r="M51" s="4">
        <f t="shared" si="12"/>
        <v>-1113042.7715386392</v>
      </c>
      <c r="N51" s="4">
        <f t="shared" si="12"/>
        <v>-1717449.5601733224</v>
      </c>
    </row>
    <row r="53" spans="1:14">
      <c r="A53" s="9" t="s">
        <v>10</v>
      </c>
      <c r="B53" s="16"/>
      <c r="C53" s="6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>
      <c r="A54" s="67" t="s">
        <v>100</v>
      </c>
      <c r="B54" s="28">
        <f>SUM(C54:N54)</f>
        <v>1389037</v>
      </c>
      <c r="C54" s="68">
        <v>157214</v>
      </c>
      <c r="D54" s="78">
        <v>114536</v>
      </c>
      <c r="E54" s="78">
        <v>151617</v>
      </c>
      <c r="F54" s="78">
        <v>115228</v>
      </c>
      <c r="G54" s="78">
        <v>80600</v>
      </c>
      <c r="H54" s="78">
        <v>92894</v>
      </c>
      <c r="I54" s="78">
        <v>34927</v>
      </c>
      <c r="J54" s="78">
        <v>72308</v>
      </c>
      <c r="K54" s="78">
        <v>129500</v>
      </c>
      <c r="L54" s="78">
        <v>155635</v>
      </c>
      <c r="M54" s="78">
        <v>155052</v>
      </c>
      <c r="N54" s="78">
        <v>129526</v>
      </c>
    </row>
    <row r="55" spans="1:14">
      <c r="A55" s="67" t="s">
        <v>101</v>
      </c>
      <c r="B55" s="28">
        <f>SUM(C55:N55)</f>
        <v>1448501.9687011715</v>
      </c>
      <c r="C55" s="95">
        <v>144050.36015625001</v>
      </c>
      <c r="D55" s="95">
        <v>134633.1881835938</v>
      </c>
      <c r="E55" s="95">
        <v>140043.83520507812</v>
      </c>
      <c r="F55" s="95">
        <v>113251.83725585938</v>
      </c>
      <c r="G55" s="95">
        <v>58563.078186034996</v>
      </c>
      <c r="H55" s="95">
        <v>62757.626257324198</v>
      </c>
      <c r="I55" s="95">
        <v>117846.3086914062</v>
      </c>
      <c r="J55" s="95">
        <v>130595.86166992181</v>
      </c>
      <c r="K55" s="95">
        <v>136303.6450683593</v>
      </c>
      <c r="L55" s="95">
        <v>134560.51245117182</v>
      </c>
      <c r="M55" s="95">
        <v>132976.50166015621</v>
      </c>
      <c r="N55" s="95">
        <v>142919.21391601561</v>
      </c>
    </row>
    <row r="56" spans="1:14">
      <c r="A56" s="10"/>
      <c r="B56" s="11"/>
    </row>
    <row r="57" spans="1:14">
      <c r="A57" s="10" t="s">
        <v>4</v>
      </c>
      <c r="B57" s="17">
        <f>SUM(C57:N57)</f>
        <v>-59464.968701171456</v>
      </c>
      <c r="C57" s="2">
        <f>C54-C55</f>
        <v>13163.639843749988</v>
      </c>
      <c r="D57" s="2">
        <f t="shared" ref="D57:N57" si="13">D54-D55</f>
        <v>-20097.188183593797</v>
      </c>
      <c r="E57" s="2">
        <f t="shared" si="13"/>
        <v>11573.164794921875</v>
      </c>
      <c r="F57" s="2">
        <f t="shared" si="13"/>
        <v>1976.1627441406163</v>
      </c>
      <c r="G57" s="2">
        <f t="shared" si="13"/>
        <v>22036.921813965004</v>
      </c>
      <c r="H57" s="2">
        <f t="shared" si="13"/>
        <v>30136.373742675802</v>
      </c>
      <c r="I57" s="2">
        <f t="shared" si="13"/>
        <v>-82919.308691406201</v>
      </c>
      <c r="J57" s="2">
        <f t="shared" si="13"/>
        <v>-58287.861669921811</v>
      </c>
      <c r="K57" s="2">
        <f t="shared" si="13"/>
        <v>-6803.6450683592993</v>
      </c>
      <c r="L57" s="2">
        <f t="shared" si="13"/>
        <v>21074.487548828183</v>
      </c>
      <c r="M57" s="2">
        <f t="shared" si="13"/>
        <v>22075.498339843791</v>
      </c>
      <c r="N57" s="2">
        <f t="shared" si="13"/>
        <v>-13393.213916015608</v>
      </c>
    </row>
    <row r="58" spans="1:14">
      <c r="A58" s="10" t="s">
        <v>5</v>
      </c>
      <c r="B58" s="18">
        <f>B57/8760</f>
        <v>-6.7882384362067869</v>
      </c>
    </row>
    <row r="59" spans="1:14">
      <c r="A59" s="10"/>
      <c r="B59" s="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10" t="s">
        <v>11</v>
      </c>
      <c r="B60" s="13">
        <f>SUM(C60:N60)</f>
        <v>5783438.1553460481</v>
      </c>
      <c r="C60" s="4">
        <f>-C$7*C57</f>
        <v>-279791.04171118932</v>
      </c>
      <c r="D60" s="4">
        <f t="shared" ref="D60:N60" si="14">-D$7*D57</f>
        <v>354346.58120148326</v>
      </c>
      <c r="E60" s="4">
        <f t="shared" si="14"/>
        <v>-225310.91748211882</v>
      </c>
      <c r="F60" s="4">
        <f t="shared" si="14"/>
        <v>-28615.714829709075</v>
      </c>
      <c r="G60" s="4">
        <f t="shared" si="14"/>
        <v>-155290.74069323752</v>
      </c>
      <c r="H60" s="4">
        <f t="shared" si="14"/>
        <v>-343426.74850239634</v>
      </c>
      <c r="I60" s="4">
        <f t="shared" si="14"/>
        <v>4368369.8038745793</v>
      </c>
      <c r="J60" s="4">
        <f t="shared" si="14"/>
        <v>3212102.7343425113</v>
      </c>
      <c r="K60" s="4">
        <f t="shared" si="14"/>
        <v>186994.25370892696</v>
      </c>
      <c r="L60" s="4">
        <f t="shared" si="14"/>
        <v>-863949.75010117632</v>
      </c>
      <c r="M60" s="4">
        <f t="shared" si="14"/>
        <v>-1098401.7529434275</v>
      </c>
      <c r="N60" s="4">
        <f t="shared" si="14"/>
        <v>656411.44848180166</v>
      </c>
    </row>
    <row r="61" spans="1:14">
      <c r="A61" s="67" t="s">
        <v>91</v>
      </c>
      <c r="B61" s="13">
        <f>SUM(C61:N61)</f>
        <v>19331412</v>
      </c>
      <c r="C61" s="96">
        <v>2183195</v>
      </c>
      <c r="D61" s="96">
        <v>895901</v>
      </c>
      <c r="E61" s="96">
        <v>2130831</v>
      </c>
      <c r="F61" s="96">
        <v>1531308</v>
      </c>
      <c r="G61" s="96">
        <v>583831</v>
      </c>
      <c r="H61" s="96">
        <v>1505425</v>
      </c>
      <c r="I61" s="96">
        <v>853835</v>
      </c>
      <c r="J61" s="96">
        <v>1379563</v>
      </c>
      <c r="K61" s="96">
        <v>1950629</v>
      </c>
      <c r="L61" s="96">
        <v>2362829</v>
      </c>
      <c r="M61" s="96">
        <v>2222243</v>
      </c>
      <c r="N61" s="96">
        <v>1731822</v>
      </c>
    </row>
    <row r="62" spans="1:14">
      <c r="A62" s="67" t="s">
        <v>92</v>
      </c>
      <c r="B62" s="13">
        <f>SUM(C62:N62)</f>
        <v>22416606.327108137</v>
      </c>
      <c r="C62" s="94">
        <v>2098449.145762126</v>
      </c>
      <c r="D62" s="94">
        <v>2001163.6175791414</v>
      </c>
      <c r="E62" s="94">
        <v>2059875.5922953286</v>
      </c>
      <c r="F62" s="94">
        <v>1786452.6980082188</v>
      </c>
      <c r="G62" s="94">
        <v>1311506.4780219889</v>
      </c>
      <c r="H62" s="94">
        <v>1346229.7268852089</v>
      </c>
      <c r="I62" s="94">
        <v>1849542.5309165809</v>
      </c>
      <c r="J62" s="94">
        <v>1951904.6978935101</v>
      </c>
      <c r="K62" s="94">
        <v>1997833.9196189728</v>
      </c>
      <c r="L62" s="94">
        <v>1988087.3486503449</v>
      </c>
      <c r="M62" s="94">
        <v>1969231.1123832562</v>
      </c>
      <c r="N62" s="94">
        <v>2056329.4590934608</v>
      </c>
    </row>
    <row r="63" spans="1:14">
      <c r="A63" s="10" t="s">
        <v>17</v>
      </c>
      <c r="B63" s="13">
        <f>B61-B62</f>
        <v>-3085194.3271081373</v>
      </c>
      <c r="C63" s="35">
        <f t="shared" ref="C63:N63" si="15">C61-C62</f>
        <v>84745.854237874039</v>
      </c>
      <c r="D63" s="35">
        <f t="shared" si="15"/>
        <v>-1105262.6175791414</v>
      </c>
      <c r="E63" s="35">
        <f t="shared" si="15"/>
        <v>70955.407704671379</v>
      </c>
      <c r="F63" s="35">
        <f t="shared" si="15"/>
        <v>-255144.69800821878</v>
      </c>
      <c r="G63" s="35">
        <f t="shared" si="15"/>
        <v>-727675.47802198888</v>
      </c>
      <c r="H63" s="35">
        <f t="shared" si="15"/>
        <v>159195.27311479114</v>
      </c>
      <c r="I63" s="35">
        <f t="shared" si="15"/>
        <v>-995707.53091658093</v>
      </c>
      <c r="J63" s="35">
        <f t="shared" si="15"/>
        <v>-572341.69789351011</v>
      </c>
      <c r="K63" s="35">
        <f t="shared" si="15"/>
        <v>-47204.91961897281</v>
      </c>
      <c r="L63" s="35">
        <f t="shared" si="15"/>
        <v>374741.65134965512</v>
      </c>
      <c r="M63" s="35">
        <f t="shared" si="15"/>
        <v>253011.8876167438</v>
      </c>
      <c r="N63" s="35">
        <f t="shared" si="15"/>
        <v>-324507.45909346081</v>
      </c>
    </row>
    <row r="64" spans="1:14">
      <c r="A64" s="10"/>
      <c r="B64" s="1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>
      <c r="A65" s="10" t="s">
        <v>12</v>
      </c>
      <c r="B65" s="13">
        <f>SUM(C65:N65)</f>
        <v>2698243.8282379098</v>
      </c>
      <c r="C65" s="35">
        <f t="shared" ref="C65:N65" si="16">C60+C63</f>
        <v>-195045.18747331528</v>
      </c>
      <c r="D65" s="35">
        <f t="shared" si="16"/>
        <v>-750916.03637765814</v>
      </c>
      <c r="E65" s="35">
        <f t="shared" si="16"/>
        <v>-154355.50977744744</v>
      </c>
      <c r="F65" s="35">
        <f t="shared" si="16"/>
        <v>-283760.41283792787</v>
      </c>
      <c r="G65" s="35">
        <f t="shared" si="16"/>
        <v>-882966.21871522639</v>
      </c>
      <c r="H65" s="35">
        <f t="shared" si="16"/>
        <v>-184231.4753876052</v>
      </c>
      <c r="I65" s="35">
        <f t="shared" si="16"/>
        <v>3372662.2729579983</v>
      </c>
      <c r="J65" s="35">
        <f t="shared" si="16"/>
        <v>2639761.0364490012</v>
      </c>
      <c r="K65" s="35">
        <f t="shared" si="16"/>
        <v>139789.33408995415</v>
      </c>
      <c r="L65" s="35">
        <f t="shared" si="16"/>
        <v>-489208.0987515212</v>
      </c>
      <c r="M65" s="35">
        <f t="shared" si="16"/>
        <v>-845389.86532668374</v>
      </c>
      <c r="N65" s="35">
        <f t="shared" si="16"/>
        <v>331903.98938834085</v>
      </c>
    </row>
    <row r="66" spans="1:14">
      <c r="A66" s="10"/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>
      <c r="A67" s="14" t="s">
        <v>3</v>
      </c>
      <c r="B67" s="15">
        <f>SUM(C67:N67)</f>
        <v>1787673.2551947343</v>
      </c>
      <c r="C67" s="4">
        <f>C65*C$8</f>
        <v>-126213.74081398232</v>
      </c>
      <c r="D67" s="4">
        <f t="shared" ref="D67:N67" si="17">D65*D$8</f>
        <v>-485917.76713998261</v>
      </c>
      <c r="E67" s="4">
        <f t="shared" si="17"/>
        <v>-99883.450376986235</v>
      </c>
      <c r="F67" s="4">
        <f t="shared" si="17"/>
        <v>-183621.36314742314</v>
      </c>
      <c r="G67" s="4">
        <f t="shared" si="17"/>
        <v>-580373.69556151831</v>
      </c>
      <c r="H67" s="4">
        <f t="shared" si="17"/>
        <v>-121095.34877227289</v>
      </c>
      <c r="I67" s="4">
        <f t="shared" si="17"/>
        <v>2216850.9120152923</v>
      </c>
      <c r="J67" s="4">
        <f t="shared" si="17"/>
        <v>1735114.9292579284</v>
      </c>
      <c r="K67" s="4">
        <f t="shared" si="17"/>
        <v>91883.529297326866</v>
      </c>
      <c r="L67" s="4">
        <f t="shared" si="17"/>
        <v>-321556.48330937489</v>
      </c>
      <c r="M67" s="4">
        <f t="shared" si="17"/>
        <v>-555674.75847922917</v>
      </c>
      <c r="N67" s="4">
        <f t="shared" si="17"/>
        <v>218160.49222495643</v>
      </c>
    </row>
    <row r="68" spans="1:14">
      <c r="A68" s="10"/>
      <c r="B68" s="31"/>
    </row>
    <row r="69" spans="1:14">
      <c r="A69" s="10"/>
      <c r="B69" s="31"/>
    </row>
    <row r="70" spans="1:14">
      <c r="A70" s="10"/>
      <c r="B70" s="31"/>
    </row>
    <row r="71" spans="1:14">
      <c r="A71" s="10"/>
      <c r="B71" s="31"/>
    </row>
    <row r="72" spans="1:14">
      <c r="A72" s="10"/>
      <c r="B72" s="31"/>
    </row>
    <row r="73" spans="1:14">
      <c r="A73" s="10"/>
      <c r="B73" s="31"/>
    </row>
    <row r="74" spans="1:14">
      <c r="A74" s="10"/>
      <c r="B74" s="31"/>
    </row>
    <row r="75" spans="1:14">
      <c r="A75" s="10"/>
      <c r="B75" s="31"/>
    </row>
    <row r="76" spans="1:14">
      <c r="A76" s="10"/>
      <c r="B76" s="31"/>
    </row>
    <row r="77" spans="1:14">
      <c r="A77" s="10"/>
      <c r="B77" s="31"/>
    </row>
    <row r="78" spans="1:14">
      <c r="A78" s="10"/>
      <c r="B78" s="31"/>
    </row>
    <row r="79" spans="1:14">
      <c r="A79" s="10"/>
      <c r="B79" s="31"/>
    </row>
    <row r="80" spans="1:14">
      <c r="A80" s="10"/>
      <c r="B80" s="31"/>
    </row>
    <row r="81" spans="1:14">
      <c r="A81" s="10"/>
      <c r="B81" s="31"/>
    </row>
    <row r="82" spans="1:14">
      <c r="A82" s="10"/>
      <c r="B82" s="31"/>
    </row>
    <row r="83" spans="1:14">
      <c r="A83" s="10"/>
      <c r="B83" s="31"/>
    </row>
    <row r="84" spans="1:14">
      <c r="A84" s="10"/>
      <c r="B84" s="31"/>
    </row>
    <row r="85" spans="1:14">
      <c r="A85" s="10"/>
      <c r="B85" s="31"/>
    </row>
    <row r="86" spans="1:14">
      <c r="A86" s="10"/>
      <c r="B86" s="32"/>
      <c r="C86">
        <v>87.316368377685492</v>
      </c>
      <c r="D86">
        <v>73.775378277587905</v>
      </c>
      <c r="E86">
        <v>74.31087803344731</v>
      </c>
      <c r="F86">
        <v>85.258126904296887</v>
      </c>
      <c r="G86">
        <v>107.92027320556637</v>
      </c>
      <c r="H86">
        <v>101.3685295898437</v>
      </c>
      <c r="I86">
        <v>91.92655499267579</v>
      </c>
      <c r="J86">
        <v>80.379194525146602</v>
      </c>
      <c r="K86">
        <v>55.9099644042969</v>
      </c>
      <c r="L86">
        <v>56.792810150146572</v>
      </c>
      <c r="M86">
        <v>71.685077746581996</v>
      </c>
      <c r="N86">
        <v>81.0387351074219</v>
      </c>
    </row>
    <row r="87" spans="1:14">
      <c r="A87" s="9" t="s">
        <v>19</v>
      </c>
      <c r="B87" s="81">
        <f>B88/8760</f>
        <v>108.72054794520548</v>
      </c>
      <c r="C87">
        <v>-2.16319995117188</v>
      </c>
      <c r="D87">
        <v>-2.08</v>
      </c>
      <c r="E87">
        <v>-2.2463999023437502</v>
      </c>
      <c r="F87" s="80">
        <v>-2.16319995117188</v>
      </c>
      <c r="G87" s="80">
        <v>-2.16319995117188</v>
      </c>
      <c r="H87">
        <v>-2.16319995117188</v>
      </c>
      <c r="I87">
        <v>-2.16319995117188</v>
      </c>
      <c r="J87">
        <v>-2.2463999023437502</v>
      </c>
      <c r="K87">
        <v>-2.16319995117188</v>
      </c>
      <c r="L87">
        <v>-2.16319995117188</v>
      </c>
      <c r="M87">
        <v>-2.16319995117188</v>
      </c>
      <c r="N87">
        <v>-2.2463999023437502</v>
      </c>
    </row>
    <row r="88" spans="1:14">
      <c r="A88" s="54" t="s">
        <v>45</v>
      </c>
      <c r="B88" s="17">
        <f>SUM(C88:N88)</f>
        <v>952392</v>
      </c>
      <c r="C88" s="91">
        <v>96583</v>
      </c>
      <c r="D88" s="91">
        <v>84012</v>
      </c>
      <c r="E88" s="91">
        <v>96208</v>
      </c>
      <c r="F88" s="91">
        <v>98937</v>
      </c>
      <c r="G88" s="91">
        <v>100843</v>
      </c>
      <c r="H88" s="91">
        <v>99261</v>
      </c>
      <c r="I88" s="91">
        <v>81952</v>
      </c>
      <c r="J88" s="91">
        <v>62062</v>
      </c>
      <c r="K88" s="91">
        <v>54677</v>
      </c>
      <c r="L88" s="91">
        <v>44730</v>
      </c>
      <c r="M88" s="91">
        <v>57098</v>
      </c>
      <c r="N88" s="91">
        <v>76029</v>
      </c>
    </row>
    <row r="89" spans="1:14">
      <c r="A89" s="54" t="s">
        <v>46</v>
      </c>
      <c r="B89" s="17">
        <f>SUM(C89:N89)</f>
        <v>941557.09199829132</v>
      </c>
      <c r="C89" s="92">
        <v>85153.168426513614</v>
      </c>
      <c r="D89" s="92">
        <v>71695.378277587908</v>
      </c>
      <c r="E89" s="92">
        <v>72064.478131103562</v>
      </c>
      <c r="F89" s="92">
        <v>83094.926953125017</v>
      </c>
      <c r="G89" s="92">
        <v>105757.07325439451</v>
      </c>
      <c r="H89" s="92">
        <v>99205.329638671828</v>
      </c>
      <c r="I89" s="92">
        <v>89763.355041503921</v>
      </c>
      <c r="J89" s="92">
        <v>78132.794622802845</v>
      </c>
      <c r="K89" s="92">
        <v>53746.764453125019</v>
      </c>
      <c r="L89" s="92">
        <v>54629.610198974689</v>
      </c>
      <c r="M89" s="92">
        <v>69521.877795410124</v>
      </c>
      <c r="N89" s="92">
        <v>78792.33520507814</v>
      </c>
    </row>
    <row r="90" spans="1:14">
      <c r="A90" s="54"/>
      <c r="B90" s="18">
        <f>B89/8760</f>
        <v>107.48368630117481</v>
      </c>
    </row>
    <row r="91" spans="1:14">
      <c r="A91" s="10" t="s">
        <v>4</v>
      </c>
      <c r="B91" s="17">
        <f>SUM(C91:N91)</f>
        <v>10834.908001708827</v>
      </c>
      <c r="C91" s="2">
        <f>C88-C89</f>
        <v>11429.831573486386</v>
      </c>
      <c r="D91" s="2">
        <f t="shared" ref="D91:N91" si="18">D88-D89</f>
        <v>12316.621722412092</v>
      </c>
      <c r="E91" s="2">
        <f t="shared" si="18"/>
        <v>24143.521868896438</v>
      </c>
      <c r="F91" s="2">
        <f t="shared" si="18"/>
        <v>15842.073046874983</v>
      </c>
      <c r="G91" s="2">
        <f t="shared" si="18"/>
        <v>-4914.0732543945051</v>
      </c>
      <c r="H91" s="2">
        <f t="shared" si="18"/>
        <v>55.670361328171566</v>
      </c>
      <c r="I91" s="2">
        <f t="shared" si="18"/>
        <v>-7811.3550415039208</v>
      </c>
      <c r="J91" s="2">
        <f t="shared" si="18"/>
        <v>-16070.794622802845</v>
      </c>
      <c r="K91" s="2">
        <f t="shared" si="18"/>
        <v>930.23554687498108</v>
      </c>
      <c r="L91" s="2">
        <f t="shared" si="18"/>
        <v>-9899.6101989746894</v>
      </c>
      <c r="M91" s="2">
        <f t="shared" si="18"/>
        <v>-12423.877795410124</v>
      </c>
      <c r="N91" s="2">
        <f t="shared" si="18"/>
        <v>-2763.3352050781396</v>
      </c>
    </row>
    <row r="92" spans="1:14">
      <c r="A92" s="10" t="s">
        <v>5</v>
      </c>
      <c r="B92" s="18">
        <f>B91/8760</f>
        <v>1.2368616440306881</v>
      </c>
    </row>
    <row r="93" spans="1:14">
      <c r="A93" s="10"/>
      <c r="B93" s="18">
        <f>B94/B91</f>
        <v>120.4873852700658</v>
      </c>
    </row>
    <row r="94" spans="1:14">
      <c r="A94" s="67" t="s">
        <v>11</v>
      </c>
      <c r="B94" s="13">
        <f>SUM(C94:N94)</f>
        <v>1305469.7347676102</v>
      </c>
      <c r="C94" s="4">
        <f>-C$7*C91</f>
        <v>-242939.22657323163</v>
      </c>
      <c r="D94" s="4">
        <f t="shared" ref="D94:N94" si="19">-D$7*D91</f>
        <v>-217162.35920264004</v>
      </c>
      <c r="E94" s="4">
        <f t="shared" si="19"/>
        <v>-470035.56589097879</v>
      </c>
      <c r="F94" s="4">
        <f t="shared" si="19"/>
        <v>-229400.25864010392</v>
      </c>
      <c r="G94" s="4">
        <f t="shared" si="19"/>
        <v>34628.705494256501</v>
      </c>
      <c r="H94" s="4">
        <f t="shared" si="19"/>
        <v>-634.40582938529622</v>
      </c>
      <c r="I94" s="4">
        <f t="shared" si="19"/>
        <v>411519.19895571563</v>
      </c>
      <c r="J94" s="4">
        <f t="shared" si="19"/>
        <v>885622.52709297568</v>
      </c>
      <c r="K94" s="4">
        <f t="shared" si="19"/>
        <v>-25566.98653643177</v>
      </c>
      <c r="L94" s="4">
        <f t="shared" si="19"/>
        <v>405835.05234407482</v>
      </c>
      <c r="M94" s="4">
        <f t="shared" si="19"/>
        <v>618169.92480768485</v>
      </c>
      <c r="N94" s="4">
        <f t="shared" si="19"/>
        <v>135433.12874567427</v>
      </c>
    </row>
    <row r="95" spans="1:14">
      <c r="A95" s="10" t="s">
        <v>47</v>
      </c>
      <c r="B95" s="13">
        <f>SUM(C95:N95)</f>
        <v>23629453.760000002</v>
      </c>
      <c r="C95" s="91">
        <v>1946814.45</v>
      </c>
      <c r="D95" s="91">
        <v>1988030.94</v>
      </c>
      <c r="E95" s="91">
        <v>2051117.13</v>
      </c>
      <c r="F95" s="91">
        <v>1973405.25</v>
      </c>
      <c r="G95" s="91">
        <v>2093340.89</v>
      </c>
      <c r="H95" s="91">
        <v>2096579.44</v>
      </c>
      <c r="I95" s="91">
        <v>2006453.17</v>
      </c>
      <c r="J95" s="91">
        <v>1965405.25</v>
      </c>
      <c r="K95" s="91">
        <v>1965926.41</v>
      </c>
      <c r="L95" s="91">
        <v>1926765.61</v>
      </c>
      <c r="M95" s="91">
        <v>1940145.67</v>
      </c>
      <c r="N95" s="91">
        <v>1675469.55</v>
      </c>
    </row>
    <row r="96" spans="1:14">
      <c r="A96" s="10" t="s">
        <v>48</v>
      </c>
      <c r="B96" s="13">
        <f>SUM(C96:N96)</f>
        <v>23412585.42761239</v>
      </c>
      <c r="C96" s="90">
        <v>2212019</v>
      </c>
      <c r="D96" s="90">
        <v>1850408.7242025898</v>
      </c>
      <c r="E96" s="90">
        <v>1879285.4018604162</v>
      </c>
      <c r="F96" s="90">
        <v>1972945.6725383902</v>
      </c>
      <c r="G96" s="90">
        <v>2101505.6149770385</v>
      </c>
      <c r="H96" s="90">
        <v>2096597.2251690787</v>
      </c>
      <c r="I96" s="90">
        <v>2110185.1122559854</v>
      </c>
      <c r="J96" s="90">
        <v>1966043.6041835239</v>
      </c>
      <c r="K96" s="90">
        <v>1706703.5488233676</v>
      </c>
      <c r="L96" s="90">
        <v>1715869.9008831335</v>
      </c>
      <c r="M96" s="90">
        <v>1844979.9882057935</v>
      </c>
      <c r="N96" s="90">
        <v>1956041.6345130682</v>
      </c>
    </row>
    <row r="97" spans="1:14" ht="12.75" customHeight="1">
      <c r="A97" s="67" t="s">
        <v>72</v>
      </c>
      <c r="B97" s="13">
        <f>SUM(C97:N97)</f>
        <v>216868.33238761406</v>
      </c>
      <c r="C97" s="35">
        <f>C95-C96</f>
        <v>-265204.55000000005</v>
      </c>
      <c r="D97" s="35">
        <f t="shared" ref="D97:N97" si="20">D95-D96</f>
        <v>137622.21579741011</v>
      </c>
      <c r="E97" s="35">
        <f t="shared" si="20"/>
        <v>171831.72813958372</v>
      </c>
      <c r="F97" s="35">
        <f t="shared" si="20"/>
        <v>459.57746160984971</v>
      </c>
      <c r="G97" s="35">
        <f t="shared" si="20"/>
        <v>-8164.7249770385679</v>
      </c>
      <c r="H97" s="35">
        <f t="shared" si="20"/>
        <v>-17.785169078735635</v>
      </c>
      <c r="I97" s="35">
        <f t="shared" si="20"/>
        <v>-103731.94225598546</v>
      </c>
      <c r="J97" s="35">
        <f t="shared" si="20"/>
        <v>-638.35418352391571</v>
      </c>
      <c r="K97" s="35">
        <f t="shared" si="20"/>
        <v>259222.86117663234</v>
      </c>
      <c r="L97" s="35">
        <f t="shared" si="20"/>
        <v>210895.70911686658</v>
      </c>
      <c r="M97" s="35">
        <f t="shared" si="20"/>
        <v>95165.681794206379</v>
      </c>
      <c r="N97" s="35">
        <f t="shared" si="20"/>
        <v>-280572.0845130682</v>
      </c>
    </row>
    <row r="98" spans="1:14" ht="12.75" customHeight="1">
      <c r="A98" s="10"/>
      <c r="B98" s="13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2.75" customHeight="1">
      <c r="A99" s="54" t="s">
        <v>61</v>
      </c>
      <c r="B99" s="13">
        <f>SUM(C99:N99)</f>
        <v>1522338.0671552243</v>
      </c>
      <c r="C99" s="35">
        <f>C94+C97</f>
        <v>-508143.77657323168</v>
      </c>
      <c r="D99" s="35">
        <f t="shared" ref="D99:N99" si="21">D94+D97</f>
        <v>-79540.14340522993</v>
      </c>
      <c r="E99" s="35">
        <f t="shared" si="21"/>
        <v>-298203.83775139507</v>
      </c>
      <c r="F99" s="35">
        <f t="shared" si="21"/>
        <v>-228940.68117849407</v>
      </c>
      <c r="G99" s="35">
        <f t="shared" si="21"/>
        <v>26463.980517217933</v>
      </c>
      <c r="H99" s="35">
        <f t="shared" si="21"/>
        <v>-652.19099846403185</v>
      </c>
      <c r="I99" s="35">
        <f t="shared" si="21"/>
        <v>307787.25669973018</v>
      </c>
      <c r="J99" s="35">
        <f t="shared" si="21"/>
        <v>884984.17290945177</v>
      </c>
      <c r="K99" s="35">
        <f t="shared" si="21"/>
        <v>233655.87464020058</v>
      </c>
      <c r="L99" s="35">
        <f t="shared" si="21"/>
        <v>616730.7614609414</v>
      </c>
      <c r="M99" s="35">
        <f t="shared" si="21"/>
        <v>713335.60660189122</v>
      </c>
      <c r="N99" s="35">
        <f t="shared" si="21"/>
        <v>-145138.95576739393</v>
      </c>
    </row>
    <row r="100" spans="1:14">
      <c r="A100" s="10"/>
      <c r="B100" s="11"/>
    </row>
    <row r="101" spans="1:14" ht="14.25" customHeight="1">
      <c r="A101" s="14" t="s">
        <v>3</v>
      </c>
      <c r="B101" s="15">
        <f>SUM(C101:N101)</f>
        <v>1012004.0616179941</v>
      </c>
      <c r="C101" s="4">
        <f>C99*C$8</f>
        <v>-328819.8378205382</v>
      </c>
      <c r="D101" s="4">
        <f t="shared" ref="D101:N101" si="22">D99*D$8</f>
        <v>-51470.426797524291</v>
      </c>
      <c r="E101" s="4">
        <f t="shared" si="22"/>
        <v>-192967.70340892774</v>
      </c>
      <c r="F101" s="4">
        <f t="shared" si="22"/>
        <v>-148147.51479060351</v>
      </c>
      <c r="G101" s="4">
        <f t="shared" si="22"/>
        <v>17394.774393967346</v>
      </c>
      <c r="H101" s="4">
        <f t="shared" si="22"/>
        <v>-428.68514329040812</v>
      </c>
      <c r="I101" s="4">
        <f t="shared" si="22"/>
        <v>202308.56382873264</v>
      </c>
      <c r="J101" s="4">
        <f t="shared" si="22"/>
        <v>581700.09685338265</v>
      </c>
      <c r="K101" s="4">
        <f t="shared" si="22"/>
        <v>153582.00640100383</v>
      </c>
      <c r="L101" s="4">
        <f t="shared" si="22"/>
        <v>405377.12950827676</v>
      </c>
      <c r="M101" s="4">
        <f t="shared" si="22"/>
        <v>468875.4942194231</v>
      </c>
      <c r="N101" s="4">
        <f t="shared" si="22"/>
        <v>-95399.835625908032</v>
      </c>
    </row>
    <row r="102" spans="1:14" ht="14.25" customHeight="1">
      <c r="A102" s="10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4.25" customHeight="1">
      <c r="A103" s="67" t="s">
        <v>75</v>
      </c>
      <c r="B103" s="73">
        <f>B11+B88</f>
        <v>4981767</v>
      </c>
      <c r="C103" s="2">
        <f>B103/8760</f>
        <v>568.69486301369864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4.25" customHeight="1">
      <c r="A104" s="67" t="s">
        <v>76</v>
      </c>
      <c r="B104" s="73">
        <f>B12+B89</f>
        <v>4795846.6609516572</v>
      </c>
      <c r="C104" s="2">
        <f>B104/8760</f>
        <v>547.47108001731249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4.25" customHeight="1">
      <c r="A105" s="67" t="s">
        <v>78</v>
      </c>
      <c r="B105" s="73">
        <f>B103-B104</f>
        <v>185920.33904834278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4.25" customHeight="1">
      <c r="A106" s="67" t="s">
        <v>77</v>
      </c>
      <c r="B106" s="72">
        <f>B105/8760</f>
        <v>21.223782996386163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4.25" customHeight="1">
      <c r="A107" s="67" t="s">
        <v>79</v>
      </c>
      <c r="B107" s="74">
        <f>B105/B104</f>
        <v>3.8766948193345682E-2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4.25" customHeight="1">
      <c r="A108" s="67"/>
      <c r="B108" s="3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4.25" customHeight="1">
      <c r="A109" s="10"/>
      <c r="B109" s="71"/>
      <c r="C109">
        <v>883283</v>
      </c>
      <c r="D109">
        <v>759685</v>
      </c>
      <c r="E109">
        <v>759355</v>
      </c>
      <c r="F109">
        <v>663255</v>
      </c>
      <c r="G109">
        <v>677061</v>
      </c>
      <c r="H109">
        <v>705344</v>
      </c>
      <c r="I109">
        <v>757339</v>
      </c>
      <c r="J109">
        <v>790997</v>
      </c>
      <c r="K109">
        <v>660977</v>
      </c>
      <c r="L109">
        <v>708474</v>
      </c>
      <c r="M109">
        <v>733846</v>
      </c>
      <c r="N109">
        <v>955854</v>
      </c>
    </row>
    <row r="110" spans="1:14">
      <c r="A110" s="9" t="s">
        <v>16</v>
      </c>
      <c r="B110" s="16"/>
      <c r="C110" s="2"/>
      <c r="D110" s="1"/>
      <c r="E110" s="1"/>
      <c r="F110" s="1"/>
      <c r="G110" s="1"/>
      <c r="H110" s="1"/>
    </row>
    <row r="111" spans="1:14">
      <c r="A111" s="10" t="s">
        <v>83</v>
      </c>
      <c r="B111" s="17">
        <f>SUM(C111:N111)</f>
        <v>9376108</v>
      </c>
      <c r="C111" s="89">
        <v>980851</v>
      </c>
      <c r="D111" s="89">
        <v>802013</v>
      </c>
      <c r="E111" s="89">
        <v>792839</v>
      </c>
      <c r="F111" s="89">
        <v>696244</v>
      </c>
      <c r="G111" s="89">
        <v>695272</v>
      </c>
      <c r="H111" s="89">
        <v>684980</v>
      </c>
      <c r="I111" s="89">
        <v>816746</v>
      </c>
      <c r="J111" s="89">
        <v>803770</v>
      </c>
      <c r="K111" s="89">
        <v>680149</v>
      </c>
      <c r="L111" s="89">
        <v>721588</v>
      </c>
      <c r="M111" s="89">
        <v>787879</v>
      </c>
      <c r="N111" s="89">
        <v>913777</v>
      </c>
    </row>
    <row r="112" spans="1:14">
      <c r="A112" s="10" t="s">
        <v>84</v>
      </c>
      <c r="B112" s="17">
        <f>SUM(C112:N112)</f>
        <v>9255306.75</v>
      </c>
      <c r="C112" s="89">
        <v>900518</v>
      </c>
      <c r="D112" s="89">
        <v>825882.78437500005</v>
      </c>
      <c r="E112" s="89">
        <v>795777.24062499998</v>
      </c>
      <c r="F112" s="89">
        <v>705163.64218750002</v>
      </c>
      <c r="G112" s="89">
        <v>707156.05390625005</v>
      </c>
      <c r="H112" s="89">
        <v>697601.52421874995</v>
      </c>
      <c r="I112" s="89">
        <v>749945.52109375002</v>
      </c>
      <c r="J112" s="89">
        <v>755833.56953125005</v>
      </c>
      <c r="K112" s="89">
        <v>672912.34375</v>
      </c>
      <c r="L112" s="89">
        <v>720778.48046875</v>
      </c>
      <c r="M112" s="89">
        <v>796576.19921875</v>
      </c>
      <c r="N112" s="89">
        <v>927161.39062499988</v>
      </c>
    </row>
    <row r="113" spans="1:14" ht="12.75" customHeight="1">
      <c r="A113" s="10"/>
      <c r="B113" s="11"/>
    </row>
    <row r="114" spans="1:14">
      <c r="A114" s="10" t="s">
        <v>4</v>
      </c>
      <c r="B114" s="17">
        <f>SUM(C114:N114)</f>
        <v>120801.25</v>
      </c>
      <c r="C114" s="2">
        <f>C111-C112</f>
        <v>80333</v>
      </c>
      <c r="D114" s="2">
        <f t="shared" ref="D114:N114" si="23">D111-D112</f>
        <v>-23869.784375000047</v>
      </c>
      <c r="E114" s="2">
        <f t="shared" si="23"/>
        <v>-2938.2406249999767</v>
      </c>
      <c r="F114" s="2">
        <f t="shared" si="23"/>
        <v>-8919.6421875000233</v>
      </c>
      <c r="G114" s="2">
        <f t="shared" si="23"/>
        <v>-11884.053906250047</v>
      </c>
      <c r="H114" s="2">
        <f t="shared" si="23"/>
        <v>-12621.524218749953</v>
      </c>
      <c r="I114" s="2">
        <f t="shared" si="23"/>
        <v>66800.478906249977</v>
      </c>
      <c r="J114" s="2">
        <f t="shared" si="23"/>
        <v>47936.430468749953</v>
      </c>
      <c r="K114" s="2">
        <f t="shared" si="23"/>
        <v>7236.65625</v>
      </c>
      <c r="L114" s="2">
        <f t="shared" si="23"/>
        <v>809.51953125</v>
      </c>
      <c r="M114" s="2">
        <f t="shared" si="23"/>
        <v>-8697.19921875</v>
      </c>
      <c r="N114" s="2">
        <f t="shared" si="23"/>
        <v>-13384.390624999884</v>
      </c>
    </row>
    <row r="115" spans="1:14" ht="12.75" customHeight="1">
      <c r="A115" s="10" t="s">
        <v>5</v>
      </c>
      <c r="B115" s="30">
        <f>B114/8760</f>
        <v>13.790097031963469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>
      <c r="A116" s="10"/>
      <c r="B116" s="12">
        <f>B117/B114</f>
        <v>51.132549819743701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10" t="s">
        <v>6</v>
      </c>
      <c r="B117" s="13">
        <f>SUM(C117:N117)</f>
        <v>6176875.9339123135</v>
      </c>
      <c r="C117" s="4">
        <f>C$7*C114</f>
        <v>1707464.9580645163</v>
      </c>
      <c r="D117" s="4">
        <f t="shared" ref="D117:N117" si="24">D$7*D114</f>
        <v>-420863.67555649532</v>
      </c>
      <c r="E117" s="4">
        <f t="shared" si="24"/>
        <v>-57202.822454620371</v>
      </c>
      <c r="F117" s="4">
        <f t="shared" si="24"/>
        <v>-129160.383160417</v>
      </c>
      <c r="G117" s="4">
        <f t="shared" si="24"/>
        <v>-83745.068804048307</v>
      </c>
      <c r="H117" s="4">
        <f t="shared" si="24"/>
        <v>-143831.80473539876</v>
      </c>
      <c r="I117" s="4">
        <f t="shared" si="24"/>
        <v>3519194.7393631181</v>
      </c>
      <c r="J117" s="4">
        <f t="shared" si="24"/>
        <v>2641660.4584886972</v>
      </c>
      <c r="K117" s="4">
        <f t="shared" si="24"/>
        <v>198895.31585208332</v>
      </c>
      <c r="L117" s="4">
        <f t="shared" si="24"/>
        <v>33186.296706149195</v>
      </c>
      <c r="M117" s="4">
        <f t="shared" si="24"/>
        <v>-432743.06747273216</v>
      </c>
      <c r="N117" s="4">
        <f t="shared" si="24"/>
        <v>-655979.01237853884</v>
      </c>
    </row>
    <row r="118" spans="1:14">
      <c r="A118" s="10" t="s">
        <v>13</v>
      </c>
      <c r="B118" s="13">
        <f>SUM(C118:N118)</f>
        <v>4048838.1229762551</v>
      </c>
      <c r="C118" s="4">
        <f>C117*C$8</f>
        <v>1104900.5743635485</v>
      </c>
      <c r="D118" s="4">
        <f t="shared" ref="D118:N118" si="25">D117*D$8</f>
        <v>-272340.88445260812</v>
      </c>
      <c r="E118" s="4">
        <f t="shared" si="25"/>
        <v>-37015.946410384844</v>
      </c>
      <c r="F118" s="4">
        <f t="shared" si="25"/>
        <v>-83579.683943105847</v>
      </c>
      <c r="G118" s="4">
        <f t="shared" si="25"/>
        <v>-55045.633724900952</v>
      </c>
      <c r="H118" s="4">
        <f t="shared" si="25"/>
        <v>-94540.645252577611</v>
      </c>
      <c r="I118" s="4">
        <f t="shared" si="25"/>
        <v>2313166.7021833775</v>
      </c>
      <c r="J118" s="4">
        <f t="shared" si="25"/>
        <v>1736363.4193646207</v>
      </c>
      <c r="K118" s="4">
        <f t="shared" si="25"/>
        <v>130733.89110957437</v>
      </c>
      <c r="L118" s="4">
        <f t="shared" si="25"/>
        <v>21813.352824951864</v>
      </c>
      <c r="M118" s="4">
        <f t="shared" si="25"/>
        <v>-284442.01824982686</v>
      </c>
      <c r="N118" s="4">
        <f t="shared" si="25"/>
        <v>-431175.0048364136</v>
      </c>
    </row>
    <row r="119" spans="1:14">
      <c r="A119" s="67" t="s">
        <v>89</v>
      </c>
      <c r="B119" s="13">
        <f>SUM(C119:N119)</f>
        <v>-2560676</v>
      </c>
      <c r="C119" s="93">
        <v>-899103</v>
      </c>
      <c r="D119" s="93">
        <v>-134989</v>
      </c>
      <c r="E119" s="93">
        <v>66915</v>
      </c>
      <c r="F119" s="93">
        <v>59414</v>
      </c>
      <c r="G119" s="93">
        <v>223625</v>
      </c>
      <c r="H119" s="93">
        <v>-16866</v>
      </c>
      <c r="I119" s="93">
        <v>-830278</v>
      </c>
      <c r="J119" s="93">
        <v>-758570</v>
      </c>
      <c r="K119" s="93">
        <v>-202249</v>
      </c>
      <c r="L119" s="93">
        <v>292748</v>
      </c>
      <c r="M119" s="93">
        <v>-175063</v>
      </c>
      <c r="N119" s="93">
        <v>-186260</v>
      </c>
    </row>
    <row r="120" spans="1:14" ht="9" customHeight="1">
      <c r="A120" s="10"/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14" t="s">
        <v>7</v>
      </c>
      <c r="B121" s="15">
        <f>SUM(C121:N121)</f>
        <v>1488162.1229762551</v>
      </c>
      <c r="C121" s="4">
        <f t="shared" ref="C121:N121" si="26">C118+C119</f>
        <v>205797.57436354854</v>
      </c>
      <c r="D121" s="4">
        <f t="shared" si="26"/>
        <v>-407329.88445260812</v>
      </c>
      <c r="E121" s="4">
        <f t="shared" si="26"/>
        <v>29899.053589615156</v>
      </c>
      <c r="F121" s="4">
        <f t="shared" si="26"/>
        <v>-24165.683943105847</v>
      </c>
      <c r="G121" s="4">
        <f t="shared" si="26"/>
        <v>168579.36627509905</v>
      </c>
      <c r="H121" s="4">
        <f t="shared" si="26"/>
        <v>-111406.64525257761</v>
      </c>
      <c r="I121" s="4">
        <f t="shared" si="26"/>
        <v>1482888.7021833775</v>
      </c>
      <c r="J121" s="4">
        <f t="shared" si="26"/>
        <v>977793.4193646207</v>
      </c>
      <c r="K121" s="4">
        <f t="shared" si="26"/>
        <v>-71515.108890425632</v>
      </c>
      <c r="L121" s="4">
        <f t="shared" si="26"/>
        <v>314561.35282495187</v>
      </c>
      <c r="M121" s="4">
        <f t="shared" si="26"/>
        <v>-459505.01824982686</v>
      </c>
      <c r="N121" s="4">
        <f t="shared" si="26"/>
        <v>-617435.00483641354</v>
      </c>
    </row>
    <row r="122" spans="1:14" ht="12.75" customHeight="1">
      <c r="A122" s="10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 customHeight="1">
      <c r="A123" s="64" t="s">
        <v>62</v>
      </c>
      <c r="B123" s="65">
        <f>SUM(C123:N123)</f>
        <v>17569671</v>
      </c>
      <c r="C123" s="90">
        <v>1463312</v>
      </c>
      <c r="D123" s="90">
        <v>1494869</v>
      </c>
      <c r="E123" s="90">
        <v>1439098</v>
      </c>
      <c r="F123" s="90">
        <v>1417627</v>
      </c>
      <c r="G123" s="90">
        <v>1487109</v>
      </c>
      <c r="H123" s="90">
        <v>1422611</v>
      </c>
      <c r="I123" s="90">
        <v>1434301</v>
      </c>
      <c r="J123" s="90">
        <v>1491858</v>
      </c>
      <c r="K123" s="90">
        <v>1478942</v>
      </c>
      <c r="L123" s="90">
        <v>1454078</v>
      </c>
      <c r="M123" s="90">
        <v>1475183</v>
      </c>
      <c r="N123" s="90">
        <v>1510683</v>
      </c>
    </row>
    <row r="124" spans="1:14" ht="12.75" customHeight="1">
      <c r="A124" s="63" t="s">
        <v>63</v>
      </c>
      <c r="B124" s="13">
        <f>SUM(C124:N124)</f>
        <v>-20599612</v>
      </c>
      <c r="C124" s="90">
        <v>-1601614</v>
      </c>
      <c r="D124" s="90">
        <v>-1536835</v>
      </c>
      <c r="E124" s="90">
        <v>-1582047</v>
      </c>
      <c r="F124" s="90">
        <v>-1818694</v>
      </c>
      <c r="G124" s="90">
        <v>-2240043</v>
      </c>
      <c r="H124" s="90">
        <v>-2290921</v>
      </c>
      <c r="I124" s="90">
        <v>-1821024</v>
      </c>
      <c r="J124" s="90">
        <v>-1835393</v>
      </c>
      <c r="K124" s="90">
        <v>-1530445</v>
      </c>
      <c r="L124" s="90">
        <v>-1417619</v>
      </c>
      <c r="M124" s="90">
        <v>-1330901</v>
      </c>
      <c r="N124" s="90">
        <v>-1594076</v>
      </c>
    </row>
    <row r="125" spans="1:14" ht="12.75" customHeight="1">
      <c r="A125" s="63" t="s">
        <v>66</v>
      </c>
      <c r="B125" s="13">
        <f>SUM(C125:N125)</f>
        <v>-3029941</v>
      </c>
      <c r="C125" s="4">
        <f>C123+C124</f>
        <v>-138302</v>
      </c>
      <c r="D125" s="4">
        <f t="shared" ref="D125:N125" si="27">D123+D124</f>
        <v>-41966</v>
      </c>
      <c r="E125" s="4">
        <f t="shared" si="27"/>
        <v>-142949</v>
      </c>
      <c r="F125" s="4">
        <f t="shared" si="27"/>
        <v>-401067</v>
      </c>
      <c r="G125" s="4">
        <f t="shared" si="27"/>
        <v>-752934</v>
      </c>
      <c r="H125" s="4">
        <f t="shared" si="27"/>
        <v>-868310</v>
      </c>
      <c r="I125" s="4">
        <f t="shared" si="27"/>
        <v>-386723</v>
      </c>
      <c r="J125" s="4">
        <f t="shared" si="27"/>
        <v>-343535</v>
      </c>
      <c r="K125" s="4">
        <f t="shared" si="27"/>
        <v>-51503</v>
      </c>
      <c r="L125" s="4">
        <f t="shared" si="27"/>
        <v>36459</v>
      </c>
      <c r="M125" s="4">
        <f t="shared" si="27"/>
        <v>144282</v>
      </c>
      <c r="N125" s="4">
        <f t="shared" si="27"/>
        <v>-83393</v>
      </c>
    </row>
    <row r="126" spans="1:14" ht="12.75" customHeight="1">
      <c r="A126" s="63"/>
      <c r="B126" s="1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 customHeight="1">
      <c r="A127" s="63" t="s">
        <v>64</v>
      </c>
      <c r="B127" s="13">
        <f>SUM(C127:N127)</f>
        <v>17237232</v>
      </c>
      <c r="C127" s="90">
        <v>1503379</v>
      </c>
      <c r="D127" s="90">
        <v>1417562</v>
      </c>
      <c r="E127" s="90">
        <v>1557827</v>
      </c>
      <c r="F127" s="90">
        <v>1347286</v>
      </c>
      <c r="G127" s="90">
        <v>1410951</v>
      </c>
      <c r="H127" s="90">
        <v>1401574</v>
      </c>
      <c r="I127" s="90">
        <v>1411206</v>
      </c>
      <c r="J127" s="90">
        <v>1443939</v>
      </c>
      <c r="K127" s="90">
        <v>1441121</v>
      </c>
      <c r="L127" s="90">
        <v>1400226</v>
      </c>
      <c r="M127" s="90">
        <v>1464406</v>
      </c>
      <c r="N127" s="90">
        <v>1437755</v>
      </c>
    </row>
    <row r="128" spans="1:14" ht="12.75" customHeight="1">
      <c r="A128" s="63" t="s">
        <v>65</v>
      </c>
      <c r="B128" s="13">
        <f>SUM(C128:N128)</f>
        <v>-15802274</v>
      </c>
      <c r="C128" s="90">
        <v>-1306342</v>
      </c>
      <c r="D128" s="90">
        <v>-1061936</v>
      </c>
      <c r="E128" s="90">
        <v>-1137644</v>
      </c>
      <c r="F128" s="90">
        <v>-1166933</v>
      </c>
      <c r="G128" s="90">
        <v>-1506921</v>
      </c>
      <c r="H128" s="90">
        <v>-1586833</v>
      </c>
      <c r="I128" s="90">
        <v>-1599620</v>
      </c>
      <c r="J128" s="90">
        <v>-1447883</v>
      </c>
      <c r="K128" s="90">
        <v>-1304804</v>
      </c>
      <c r="L128" s="90">
        <v>-1285929</v>
      </c>
      <c r="M128" s="90">
        <v>-1197858</v>
      </c>
      <c r="N128" s="90">
        <v>-1199571</v>
      </c>
    </row>
    <row r="129" spans="1:14" ht="12.75" customHeight="1">
      <c r="A129" s="63" t="s">
        <v>67</v>
      </c>
      <c r="B129" s="13">
        <f>SUM(C129:N129)</f>
        <v>1434958</v>
      </c>
      <c r="C129" s="4">
        <f>C127+C128</f>
        <v>197037</v>
      </c>
      <c r="D129" s="4">
        <f t="shared" ref="D129:N129" si="28">D127+D128</f>
        <v>355626</v>
      </c>
      <c r="E129" s="4">
        <f t="shared" si="28"/>
        <v>420183</v>
      </c>
      <c r="F129" s="4">
        <f t="shared" si="28"/>
        <v>180353</v>
      </c>
      <c r="G129" s="4">
        <f t="shared" si="28"/>
        <v>-95970</v>
      </c>
      <c r="H129" s="4">
        <f t="shared" si="28"/>
        <v>-185259</v>
      </c>
      <c r="I129" s="4">
        <f t="shared" si="28"/>
        <v>-188414</v>
      </c>
      <c r="J129" s="4">
        <f t="shared" si="28"/>
        <v>-3944</v>
      </c>
      <c r="K129" s="4">
        <f t="shared" si="28"/>
        <v>136317</v>
      </c>
      <c r="L129" s="4">
        <f t="shared" si="28"/>
        <v>114297</v>
      </c>
      <c r="M129" s="4">
        <f t="shared" si="28"/>
        <v>266548</v>
      </c>
      <c r="N129" s="4">
        <f t="shared" si="28"/>
        <v>238184</v>
      </c>
    </row>
    <row r="130" spans="1:14" ht="12.75" customHeight="1">
      <c r="A130" s="63"/>
      <c r="B130" s="1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 customHeight="1">
      <c r="A131" s="63" t="s">
        <v>68</v>
      </c>
      <c r="B131" s="13">
        <f>SUM(C131:N131)</f>
        <v>-4464899</v>
      </c>
      <c r="C131" s="4">
        <f>C125-C129</f>
        <v>-335339</v>
      </c>
      <c r="D131" s="4">
        <f t="shared" ref="D131:N131" si="29">D125-D129</f>
        <v>-397592</v>
      </c>
      <c r="E131" s="4">
        <f t="shared" si="29"/>
        <v>-563132</v>
      </c>
      <c r="F131" s="4">
        <f t="shared" si="29"/>
        <v>-581420</v>
      </c>
      <c r="G131" s="4">
        <f t="shared" si="29"/>
        <v>-656964</v>
      </c>
      <c r="H131" s="4">
        <f t="shared" si="29"/>
        <v>-683051</v>
      </c>
      <c r="I131" s="4">
        <f t="shared" si="29"/>
        <v>-198309</v>
      </c>
      <c r="J131" s="4">
        <f t="shared" si="29"/>
        <v>-339591</v>
      </c>
      <c r="K131" s="4">
        <f t="shared" si="29"/>
        <v>-187820</v>
      </c>
      <c r="L131" s="4">
        <f t="shared" si="29"/>
        <v>-77838</v>
      </c>
      <c r="M131" s="4">
        <f t="shared" si="29"/>
        <v>-122266</v>
      </c>
      <c r="N131" s="4">
        <f t="shared" si="29"/>
        <v>-321577</v>
      </c>
    </row>
    <row r="132" spans="1:14" ht="12.75" customHeight="1">
      <c r="A132" s="66" t="s">
        <v>69</v>
      </c>
      <c r="B132" s="15">
        <f>SUM(C132:N132)</f>
        <v>-2915627.7861000006</v>
      </c>
      <c r="C132" s="4">
        <f>C131*C$8</f>
        <v>-216997.86689999999</v>
      </c>
      <c r="D132" s="4">
        <f>D131*D$8</f>
        <v>-257281.78320000001</v>
      </c>
      <c r="E132" s="4">
        <f t="shared" ref="E132:N132" si="30">E131*E$8</f>
        <v>-364402.71720000001</v>
      </c>
      <c r="F132" s="4">
        <f t="shared" si="30"/>
        <v>-376236.88199999998</v>
      </c>
      <c r="G132" s="4">
        <f t="shared" si="30"/>
        <v>-431822.43719999999</v>
      </c>
      <c r="H132" s="4">
        <f t="shared" si="30"/>
        <v>-448969.42229999998</v>
      </c>
      <c r="I132" s="4">
        <f t="shared" si="30"/>
        <v>-130348.50569999999</v>
      </c>
      <c r="J132" s="4">
        <f t="shared" si="30"/>
        <v>-223213.1643</v>
      </c>
      <c r="K132" s="4">
        <f t="shared" si="30"/>
        <v>-123454.086</v>
      </c>
      <c r="L132" s="4">
        <f t="shared" si="30"/>
        <v>-51162.917399999998</v>
      </c>
      <c r="M132" s="4">
        <f t="shared" si="30"/>
        <v>-80365.441800000001</v>
      </c>
      <c r="N132" s="4">
        <f t="shared" si="30"/>
        <v>-211372.56210000001</v>
      </c>
    </row>
    <row r="133" spans="1:14" ht="12.75" customHeight="1">
      <c r="A133" s="33"/>
    </row>
    <row r="134" spans="1:14">
      <c r="A134" s="19" t="s">
        <v>14</v>
      </c>
      <c r="B134" s="76">
        <f>SUM(C134:N134)</f>
        <v>-8993898.6742233559</v>
      </c>
      <c r="C134" s="77">
        <f>C19+C51+C67+C101+C121+C132</f>
        <v>-968715.02867032029</v>
      </c>
      <c r="D134" s="77">
        <f t="shared" ref="D134:N134" si="31">D19+D51+D67+D101+D121+D132</f>
        <v>-2726281.5789965941</v>
      </c>
      <c r="E134" s="77">
        <f t="shared" si="31"/>
        <v>-2071333.6717569891</v>
      </c>
      <c r="F134" s="77">
        <f t="shared" si="31"/>
        <v>-2022590.1464386391</v>
      </c>
      <c r="G134" s="77">
        <f t="shared" si="31"/>
        <v>-1060285.1878740573</v>
      </c>
      <c r="H134" s="77">
        <f t="shared" si="31"/>
        <v>-666842.01771568204</v>
      </c>
      <c r="I134" s="77">
        <f t="shared" si="31"/>
        <v>1669765.0849564823</v>
      </c>
      <c r="J134" s="77">
        <f t="shared" si="31"/>
        <v>1219130.0934671715</v>
      </c>
      <c r="K134" s="77">
        <f t="shared" si="31"/>
        <v>156737.91537037713</v>
      </c>
      <c r="L134" s="77">
        <f t="shared" si="31"/>
        <v>556584.65925287211</v>
      </c>
      <c r="M134" s="77">
        <f t="shared" si="31"/>
        <v>-1339955.0013149979</v>
      </c>
      <c r="N134" s="77">
        <f t="shared" si="31"/>
        <v>-1740113.7945029794</v>
      </c>
    </row>
    <row r="135" spans="1:14">
      <c r="A135" s="67" t="s">
        <v>74</v>
      </c>
      <c r="B135" s="11"/>
    </row>
    <row r="136" spans="1:14">
      <c r="A136" s="67"/>
      <c r="B136" s="11"/>
    </row>
    <row r="137" spans="1:14">
      <c r="A137" s="67" t="s">
        <v>90</v>
      </c>
      <c r="B137" s="13">
        <f>-1776322*0.6471</f>
        <v>-1149457.9661999999</v>
      </c>
    </row>
    <row r="138" spans="1:14">
      <c r="A138" s="67"/>
      <c r="B138" s="11"/>
    </row>
    <row r="139" spans="1:14">
      <c r="A139" s="67" t="s">
        <v>80</v>
      </c>
      <c r="B139" s="13">
        <v>-6219740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1:14">
      <c r="A140" s="10"/>
      <c r="B140" s="11"/>
    </row>
    <row r="141" spans="1:14">
      <c r="A141" s="14" t="s">
        <v>94</v>
      </c>
      <c r="B141" s="20">
        <f>B139-B137-B134</f>
        <v>3923616.6404233556</v>
      </c>
    </row>
    <row r="143" spans="1:14">
      <c r="B143" s="4">
        <f>B134+B141</f>
        <v>-5070282.0338000003</v>
      </c>
    </row>
  </sheetData>
  <phoneticPr fontId="0" type="noConversion"/>
  <pageMargins left="0" right="0" top="0" bottom="0" header="0.5" footer="0.5"/>
  <pageSetup scale="74" orientation="landscape" r:id="rId1"/>
  <headerFooter alignWithMargins="0"/>
  <rowBreaks count="1" manualBreakCount="1">
    <brk id="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E1F0DDC157094680432942C7A7D184" ma:contentTypeVersion="48" ma:contentTypeDescription="" ma:contentTypeScope="" ma:versionID="58c00855dfc42bab1502972f72e0ed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190222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FEAE15-0740-41C0-89BD-DD1FA40C3659}"/>
</file>

<file path=customXml/itemProps2.xml><?xml version="1.0" encoding="utf-8"?>
<ds:datastoreItem xmlns:ds="http://schemas.openxmlformats.org/officeDocument/2006/customXml" ds:itemID="{2BFFB542-A772-4CCE-91FE-024C54DEFD2A}"/>
</file>

<file path=customXml/itemProps3.xml><?xml version="1.0" encoding="utf-8"?>
<ds:datastoreItem xmlns:ds="http://schemas.openxmlformats.org/officeDocument/2006/customXml" ds:itemID="{C20723F9-0C08-443F-9308-F49922BDA7CF}"/>
</file>

<file path=customXml/itemProps4.xml><?xml version="1.0" encoding="utf-8"?>
<ds:datastoreItem xmlns:ds="http://schemas.openxmlformats.org/officeDocument/2006/customXml" ds:itemID="{92DC3564-BA42-41EE-B95D-11F849E0F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</vt:lpstr>
      <vt:lpstr>Mon Variance</vt:lpstr>
      <vt:lpstr>Ann Variance </vt:lpstr>
      <vt:lpstr>Mid C Index</vt:lpstr>
      <vt:lpstr>Calculation</vt:lpstr>
      <vt:lpstr>Calculation!Print_Area</vt:lpstr>
      <vt:lpstr>Table!Print_Area</vt:lpstr>
      <vt:lpstr>Calculation!Print_Titles</vt:lpstr>
    </vt:vector>
  </TitlesOfParts>
  <Company>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annette brandon</cp:lastModifiedBy>
  <cp:lastPrinted>2017-08-02T20:28:15Z</cp:lastPrinted>
  <dcterms:created xsi:type="dcterms:W3CDTF">2006-03-02T19:40:17Z</dcterms:created>
  <dcterms:modified xsi:type="dcterms:W3CDTF">2019-03-20T23:15:50Z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0x0101006E56B4D1795A2E4DB2F0B01679ED314A00DAE1F0DDC157094680432942C7A7D184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