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codeName="ThisWorkbook" defaultThemeVersion="166925"/>
  <xr:revisionPtr revIDLastSave="0" documentId="13_ncr:1_{F428DDE0-1AD4-43A0-A9E3-5AC1BA1B4961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Total First Year" sheetId="1" r:id="rId1"/>
    <sheet name="APP 2885" sheetId="2" r:id="rId2"/>
  </sheets>
  <definedNames>
    <definedName name="JR_PAGE_ANCHOR_0_1">'Total First Year'!$A$1</definedName>
    <definedName name="JR_PAGE_ANCHOR_0_2">'APP 2885'!$A$1</definedName>
    <definedName name="JR_PAGE_ANCHOR_0_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0" i="1" l="1"/>
  <c r="F107" i="1" s="1"/>
  <c r="F101" i="1"/>
  <c r="F102" i="1"/>
  <c r="F11" i="1"/>
  <c r="F12" i="1"/>
  <c r="F13" i="1"/>
  <c r="F14" i="1"/>
  <c r="F15" i="1"/>
  <c r="F10" i="1"/>
  <c r="F27" i="1"/>
  <c r="F28" i="1"/>
  <c r="F26" i="1"/>
  <c r="F46" i="1"/>
  <c r="F47" i="1"/>
  <c r="F45" i="1"/>
  <c r="F60" i="1"/>
  <c r="F56" i="1"/>
  <c r="F57" i="1"/>
  <c r="F58" i="1"/>
  <c r="F59" i="1"/>
  <c r="F55" i="1"/>
  <c r="F65" i="1"/>
  <c r="F66" i="1"/>
  <c r="F64" i="1"/>
  <c r="F79" i="1"/>
  <c r="F80" i="1"/>
  <c r="F78" i="1"/>
  <c r="F97" i="1"/>
  <c r="F98" i="1"/>
  <c r="F96" i="1"/>
  <c r="F7" i="1"/>
  <c r="F8" i="1"/>
  <c r="F9" i="1"/>
  <c r="F16" i="1"/>
  <c r="F17" i="1"/>
  <c r="F18" i="1"/>
  <c r="F19" i="1"/>
  <c r="F20" i="1"/>
  <c r="F21" i="1"/>
  <c r="F22" i="1"/>
  <c r="F23" i="1"/>
  <c r="F24" i="1"/>
  <c r="F25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8" i="1"/>
  <c r="F49" i="1"/>
  <c r="F51" i="1"/>
  <c r="F52" i="1"/>
  <c r="F53" i="1"/>
  <c r="F54" i="1"/>
  <c r="F61" i="1"/>
  <c r="F62" i="1"/>
  <c r="F63" i="1"/>
  <c r="F67" i="1"/>
  <c r="F68" i="1"/>
  <c r="F69" i="1"/>
  <c r="F70" i="1"/>
  <c r="F71" i="1"/>
  <c r="F72" i="1"/>
  <c r="F73" i="1"/>
  <c r="F74" i="1"/>
  <c r="F75" i="1"/>
  <c r="F76" i="1"/>
  <c r="F77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9" i="1"/>
  <c r="F103" i="1"/>
  <c r="F104" i="1"/>
  <c r="F105" i="1"/>
  <c r="F106" i="1"/>
  <c r="F6" i="1"/>
  <c r="H103" i="1" l="1"/>
  <c r="P103" i="1" s="1"/>
  <c r="J103" i="1"/>
  <c r="K103" i="1"/>
  <c r="L103" i="1"/>
  <c r="S103" i="1"/>
  <c r="M103" i="1" l="1"/>
  <c r="O103" i="1"/>
  <c r="W103" i="1" s="1"/>
  <c r="T103" i="1"/>
  <c r="G29" i="1"/>
  <c r="K29" i="1" s="1"/>
  <c r="S29" i="1"/>
  <c r="L29" i="1"/>
  <c r="X103" i="1" l="1"/>
  <c r="H29" i="1"/>
  <c r="P29" i="1" s="1"/>
  <c r="T29" i="1" s="1"/>
  <c r="J29" i="1"/>
  <c r="M29" i="1" s="1"/>
  <c r="K102" i="1"/>
  <c r="Q107" i="1"/>
  <c r="I107" i="1"/>
  <c r="E107" i="1"/>
  <c r="S102" i="1"/>
  <c r="L102" i="1"/>
  <c r="J102" i="1"/>
  <c r="H102" i="1"/>
  <c r="P102" i="1" s="1"/>
  <c r="S101" i="1"/>
  <c r="L101" i="1"/>
  <c r="K101" i="1"/>
  <c r="J101" i="1"/>
  <c r="H101" i="1"/>
  <c r="P101" i="1" s="1"/>
  <c r="S100" i="1"/>
  <c r="L100" i="1"/>
  <c r="K100" i="1"/>
  <c r="J100" i="1"/>
  <c r="H100" i="1"/>
  <c r="P100" i="1" s="1"/>
  <c r="T100" i="1" s="1"/>
  <c r="S49" i="1"/>
  <c r="L49" i="1"/>
  <c r="K49" i="1"/>
  <c r="J49" i="1"/>
  <c r="H49" i="1"/>
  <c r="P49" i="1" s="1"/>
  <c r="S48" i="1"/>
  <c r="L48" i="1"/>
  <c r="K48" i="1"/>
  <c r="J48" i="1"/>
  <c r="H48" i="1"/>
  <c r="P48" i="1" s="1"/>
  <c r="T48" i="1" s="1"/>
  <c r="S99" i="1"/>
  <c r="L99" i="1"/>
  <c r="K99" i="1"/>
  <c r="J99" i="1"/>
  <c r="H99" i="1"/>
  <c r="P99" i="1" s="1"/>
  <c r="S47" i="1"/>
  <c r="L47" i="1"/>
  <c r="K47" i="1"/>
  <c r="J47" i="1"/>
  <c r="H47" i="1"/>
  <c r="P47" i="1" s="1"/>
  <c r="S98" i="1"/>
  <c r="L98" i="1"/>
  <c r="K98" i="1"/>
  <c r="J98" i="1"/>
  <c r="H98" i="1"/>
  <c r="O98" i="1" s="1"/>
  <c r="S46" i="1"/>
  <c r="L46" i="1"/>
  <c r="K46" i="1"/>
  <c r="J46" i="1"/>
  <c r="H46" i="1"/>
  <c r="P46" i="1" s="1"/>
  <c r="S97" i="1"/>
  <c r="L97" i="1"/>
  <c r="K97" i="1"/>
  <c r="J97" i="1"/>
  <c r="H97" i="1"/>
  <c r="O97" i="1" s="1"/>
  <c r="S45" i="1"/>
  <c r="L45" i="1"/>
  <c r="K45" i="1"/>
  <c r="J45" i="1"/>
  <c r="H45" i="1"/>
  <c r="P45" i="1" s="1"/>
  <c r="S96" i="1"/>
  <c r="L96" i="1"/>
  <c r="K96" i="1"/>
  <c r="J96" i="1"/>
  <c r="H96" i="1"/>
  <c r="P96" i="1" s="1"/>
  <c r="T96" i="1" s="1"/>
  <c r="S44" i="1"/>
  <c r="L44" i="1"/>
  <c r="K44" i="1"/>
  <c r="J44" i="1"/>
  <c r="H44" i="1"/>
  <c r="P44" i="1" s="1"/>
  <c r="S95" i="1"/>
  <c r="L95" i="1"/>
  <c r="K95" i="1"/>
  <c r="J95" i="1"/>
  <c r="H95" i="1"/>
  <c r="P95" i="1" s="1"/>
  <c r="S43" i="1"/>
  <c r="L43" i="1"/>
  <c r="K43" i="1"/>
  <c r="J43" i="1"/>
  <c r="H43" i="1"/>
  <c r="S94" i="1"/>
  <c r="L94" i="1"/>
  <c r="K94" i="1"/>
  <c r="J94" i="1"/>
  <c r="H94" i="1"/>
  <c r="P94" i="1" s="1"/>
  <c r="S42" i="1"/>
  <c r="L42" i="1"/>
  <c r="K42" i="1"/>
  <c r="J42" i="1"/>
  <c r="H42" i="1"/>
  <c r="P42" i="1" s="1"/>
  <c r="S93" i="1"/>
  <c r="L93" i="1"/>
  <c r="K93" i="1"/>
  <c r="J93" i="1"/>
  <c r="H93" i="1"/>
  <c r="O93" i="1" s="1"/>
  <c r="S41" i="1"/>
  <c r="L41" i="1"/>
  <c r="K41" i="1"/>
  <c r="J41" i="1"/>
  <c r="H41" i="1"/>
  <c r="P41" i="1" s="1"/>
  <c r="S92" i="1"/>
  <c r="L92" i="1"/>
  <c r="K92" i="1"/>
  <c r="J92" i="1"/>
  <c r="H92" i="1"/>
  <c r="P92" i="1" s="1"/>
  <c r="S40" i="1"/>
  <c r="L40" i="1"/>
  <c r="K40" i="1"/>
  <c r="J40" i="1"/>
  <c r="H40" i="1"/>
  <c r="P40" i="1" s="1"/>
  <c r="T40" i="1" s="1"/>
  <c r="S91" i="1"/>
  <c r="L91" i="1"/>
  <c r="K91" i="1"/>
  <c r="J91" i="1"/>
  <c r="H91" i="1"/>
  <c r="P91" i="1" s="1"/>
  <c r="T91" i="1" s="1"/>
  <c r="S39" i="1"/>
  <c r="L39" i="1"/>
  <c r="K39" i="1"/>
  <c r="J39" i="1"/>
  <c r="H39" i="1"/>
  <c r="S90" i="1"/>
  <c r="L90" i="1"/>
  <c r="K90" i="1"/>
  <c r="J90" i="1"/>
  <c r="H90" i="1"/>
  <c r="O90" i="1" s="1"/>
  <c r="S38" i="1"/>
  <c r="L38" i="1"/>
  <c r="K38" i="1"/>
  <c r="J38" i="1"/>
  <c r="H38" i="1"/>
  <c r="P38" i="1" s="1"/>
  <c r="S89" i="1"/>
  <c r="L89" i="1"/>
  <c r="K89" i="1"/>
  <c r="J89" i="1"/>
  <c r="H89" i="1"/>
  <c r="P89" i="1" s="1"/>
  <c r="S37" i="1"/>
  <c r="L37" i="1"/>
  <c r="K37" i="1"/>
  <c r="J37" i="1"/>
  <c r="H37" i="1"/>
  <c r="P37" i="1" s="1"/>
  <c r="S88" i="1"/>
  <c r="L88" i="1"/>
  <c r="K88" i="1"/>
  <c r="J88" i="1"/>
  <c r="H88" i="1"/>
  <c r="O88" i="1" s="1"/>
  <c r="S36" i="1"/>
  <c r="L36" i="1"/>
  <c r="K36" i="1"/>
  <c r="J36" i="1"/>
  <c r="H36" i="1"/>
  <c r="P36" i="1" s="1"/>
  <c r="T36" i="1" s="1"/>
  <c r="S87" i="1"/>
  <c r="L87" i="1"/>
  <c r="K87" i="1"/>
  <c r="J87" i="1"/>
  <c r="H87" i="1"/>
  <c r="P87" i="1" s="1"/>
  <c r="S35" i="1"/>
  <c r="L35" i="1"/>
  <c r="K35" i="1"/>
  <c r="J35" i="1"/>
  <c r="H35" i="1"/>
  <c r="S86" i="1"/>
  <c r="L86" i="1"/>
  <c r="K86" i="1"/>
  <c r="J86" i="1"/>
  <c r="H86" i="1"/>
  <c r="O86" i="1" s="1"/>
  <c r="S34" i="1"/>
  <c r="L34" i="1"/>
  <c r="K34" i="1"/>
  <c r="J34" i="1"/>
  <c r="H34" i="1"/>
  <c r="P34" i="1" s="1"/>
  <c r="S85" i="1"/>
  <c r="L85" i="1"/>
  <c r="K85" i="1"/>
  <c r="J85" i="1"/>
  <c r="H85" i="1"/>
  <c r="O85" i="1" s="1"/>
  <c r="S33" i="1"/>
  <c r="L33" i="1"/>
  <c r="K33" i="1"/>
  <c r="J33" i="1"/>
  <c r="H33" i="1"/>
  <c r="S84" i="1"/>
  <c r="L84" i="1"/>
  <c r="K84" i="1"/>
  <c r="J84" i="1"/>
  <c r="H84" i="1"/>
  <c r="O84" i="1" s="1"/>
  <c r="S32" i="1"/>
  <c r="L32" i="1"/>
  <c r="K32" i="1"/>
  <c r="J32" i="1"/>
  <c r="H32" i="1"/>
  <c r="P32" i="1" s="1"/>
  <c r="S83" i="1"/>
  <c r="L83" i="1"/>
  <c r="K83" i="1"/>
  <c r="J83" i="1"/>
  <c r="H83" i="1"/>
  <c r="P83" i="1" s="1"/>
  <c r="S31" i="1"/>
  <c r="L31" i="1"/>
  <c r="K31" i="1"/>
  <c r="J31" i="1"/>
  <c r="H31" i="1"/>
  <c r="S82" i="1"/>
  <c r="L82" i="1"/>
  <c r="K82" i="1"/>
  <c r="J82" i="1"/>
  <c r="H82" i="1"/>
  <c r="P82" i="1" s="1"/>
  <c r="S30" i="1"/>
  <c r="L30" i="1"/>
  <c r="K30" i="1"/>
  <c r="J30" i="1"/>
  <c r="H30" i="1"/>
  <c r="O30" i="1" s="1"/>
  <c r="S81" i="1"/>
  <c r="L81" i="1"/>
  <c r="K81" i="1"/>
  <c r="J81" i="1"/>
  <c r="H81" i="1"/>
  <c r="P81" i="1" s="1"/>
  <c r="S28" i="1"/>
  <c r="L28" i="1"/>
  <c r="K28" i="1"/>
  <c r="J28" i="1"/>
  <c r="H28" i="1"/>
  <c r="S80" i="1"/>
  <c r="L80" i="1"/>
  <c r="K80" i="1"/>
  <c r="J80" i="1"/>
  <c r="H80" i="1"/>
  <c r="O80" i="1" s="1"/>
  <c r="S27" i="1"/>
  <c r="L27" i="1"/>
  <c r="K27" i="1"/>
  <c r="J27" i="1"/>
  <c r="H27" i="1"/>
  <c r="O27" i="1" s="1"/>
  <c r="S79" i="1"/>
  <c r="L79" i="1"/>
  <c r="K79" i="1"/>
  <c r="J79" i="1"/>
  <c r="H79" i="1"/>
  <c r="P79" i="1" s="1"/>
  <c r="S26" i="1"/>
  <c r="L26" i="1"/>
  <c r="K26" i="1"/>
  <c r="J26" i="1"/>
  <c r="H26" i="1"/>
  <c r="S78" i="1"/>
  <c r="L78" i="1"/>
  <c r="K78" i="1"/>
  <c r="J78" i="1"/>
  <c r="H78" i="1"/>
  <c r="P78" i="1" s="1"/>
  <c r="S25" i="1"/>
  <c r="L25" i="1"/>
  <c r="K25" i="1"/>
  <c r="J25" i="1"/>
  <c r="H25" i="1"/>
  <c r="P25" i="1" s="1"/>
  <c r="S77" i="1"/>
  <c r="L77" i="1"/>
  <c r="K77" i="1"/>
  <c r="J77" i="1"/>
  <c r="H77" i="1"/>
  <c r="O77" i="1" s="1"/>
  <c r="S24" i="1"/>
  <c r="L24" i="1"/>
  <c r="K24" i="1"/>
  <c r="J24" i="1"/>
  <c r="H24" i="1"/>
  <c r="S76" i="1"/>
  <c r="L76" i="1"/>
  <c r="K76" i="1"/>
  <c r="J76" i="1"/>
  <c r="H76" i="1"/>
  <c r="O76" i="1" s="1"/>
  <c r="S75" i="1"/>
  <c r="L75" i="1"/>
  <c r="K75" i="1"/>
  <c r="J75" i="1"/>
  <c r="H75" i="1"/>
  <c r="P75" i="1" s="1"/>
  <c r="S74" i="1"/>
  <c r="L74" i="1"/>
  <c r="K74" i="1"/>
  <c r="J74" i="1"/>
  <c r="H74" i="1"/>
  <c r="P74" i="1" s="1"/>
  <c r="S73" i="1"/>
  <c r="L73" i="1"/>
  <c r="K73" i="1"/>
  <c r="J73" i="1"/>
  <c r="H73" i="1"/>
  <c r="P73" i="1" s="1"/>
  <c r="S72" i="1"/>
  <c r="L72" i="1"/>
  <c r="K72" i="1"/>
  <c r="J72" i="1"/>
  <c r="H72" i="1"/>
  <c r="O72" i="1" s="1"/>
  <c r="S71" i="1"/>
  <c r="L71" i="1"/>
  <c r="K71" i="1"/>
  <c r="J71" i="1"/>
  <c r="H71" i="1"/>
  <c r="O71" i="1" s="1"/>
  <c r="S70" i="1"/>
  <c r="L70" i="1"/>
  <c r="K70" i="1"/>
  <c r="J70" i="1"/>
  <c r="H70" i="1"/>
  <c r="O70" i="1" s="1"/>
  <c r="S69" i="1"/>
  <c r="L69" i="1"/>
  <c r="K69" i="1"/>
  <c r="J69" i="1"/>
  <c r="H69" i="1"/>
  <c r="P69" i="1" s="1"/>
  <c r="S68" i="1"/>
  <c r="L68" i="1"/>
  <c r="K68" i="1"/>
  <c r="J68" i="1"/>
  <c r="H68" i="1"/>
  <c r="O68" i="1" s="1"/>
  <c r="S67" i="1"/>
  <c r="L67" i="1"/>
  <c r="K67" i="1"/>
  <c r="J67" i="1"/>
  <c r="H67" i="1"/>
  <c r="P67" i="1" s="1"/>
  <c r="S66" i="1"/>
  <c r="L66" i="1"/>
  <c r="K66" i="1"/>
  <c r="J66" i="1"/>
  <c r="H66" i="1"/>
  <c r="P66" i="1" s="1"/>
  <c r="S65" i="1"/>
  <c r="L65" i="1"/>
  <c r="K65" i="1"/>
  <c r="J65" i="1"/>
  <c r="H65" i="1"/>
  <c r="P65" i="1" s="1"/>
  <c r="S64" i="1"/>
  <c r="L64" i="1"/>
  <c r="K64" i="1"/>
  <c r="J64" i="1"/>
  <c r="H64" i="1"/>
  <c r="O64" i="1" s="1"/>
  <c r="S23" i="1"/>
  <c r="L23" i="1"/>
  <c r="K23" i="1"/>
  <c r="J23" i="1"/>
  <c r="H23" i="1"/>
  <c r="P23" i="1" s="1"/>
  <c r="S22" i="1"/>
  <c r="L22" i="1"/>
  <c r="K22" i="1"/>
  <c r="J22" i="1"/>
  <c r="H22" i="1"/>
  <c r="P22" i="1" s="1"/>
  <c r="S21" i="1"/>
  <c r="L21" i="1"/>
  <c r="K21" i="1"/>
  <c r="J21" i="1"/>
  <c r="H21" i="1"/>
  <c r="P21" i="1" s="1"/>
  <c r="S20" i="1"/>
  <c r="L20" i="1"/>
  <c r="K20" i="1"/>
  <c r="J20" i="1"/>
  <c r="H20" i="1"/>
  <c r="O20" i="1" s="1"/>
  <c r="S19" i="1"/>
  <c r="L19" i="1"/>
  <c r="K19" i="1"/>
  <c r="J19" i="1"/>
  <c r="H19" i="1"/>
  <c r="P19" i="1" s="1"/>
  <c r="S18" i="1"/>
  <c r="L18" i="1"/>
  <c r="K18" i="1"/>
  <c r="J18" i="1"/>
  <c r="H18" i="1"/>
  <c r="P18" i="1" s="1"/>
  <c r="S63" i="1"/>
  <c r="L63" i="1"/>
  <c r="K63" i="1"/>
  <c r="J63" i="1"/>
  <c r="H63" i="1"/>
  <c r="P63" i="1" s="1"/>
  <c r="S17" i="1"/>
  <c r="L17" i="1"/>
  <c r="K17" i="1"/>
  <c r="J17" i="1"/>
  <c r="H17" i="1"/>
  <c r="O17" i="1" s="1"/>
  <c r="S62" i="1"/>
  <c r="L62" i="1"/>
  <c r="K62" i="1"/>
  <c r="J62" i="1"/>
  <c r="H62" i="1"/>
  <c r="P62" i="1" s="1"/>
  <c r="T62" i="1" s="1"/>
  <c r="S16" i="1"/>
  <c r="L16" i="1"/>
  <c r="K16" i="1"/>
  <c r="J16" i="1"/>
  <c r="H16" i="1"/>
  <c r="P16" i="1" s="1"/>
  <c r="S61" i="1"/>
  <c r="L61" i="1"/>
  <c r="K61" i="1"/>
  <c r="J61" i="1"/>
  <c r="H61" i="1"/>
  <c r="P61" i="1" s="1"/>
  <c r="S15" i="1"/>
  <c r="L15" i="1"/>
  <c r="K15" i="1"/>
  <c r="J15" i="1"/>
  <c r="H15" i="1"/>
  <c r="S60" i="1"/>
  <c r="L60" i="1"/>
  <c r="K60" i="1"/>
  <c r="J60" i="1"/>
  <c r="H60" i="1"/>
  <c r="P60" i="1" s="1"/>
  <c r="S14" i="1"/>
  <c r="L14" i="1"/>
  <c r="K14" i="1"/>
  <c r="J14" i="1"/>
  <c r="H14" i="1"/>
  <c r="S59" i="1"/>
  <c r="L59" i="1"/>
  <c r="K59" i="1"/>
  <c r="J59" i="1"/>
  <c r="H59" i="1"/>
  <c r="P59" i="1" s="1"/>
  <c r="S13" i="1"/>
  <c r="L13" i="1"/>
  <c r="K13" i="1"/>
  <c r="J13" i="1"/>
  <c r="H13" i="1"/>
  <c r="O13" i="1" s="1"/>
  <c r="S58" i="1"/>
  <c r="L58" i="1"/>
  <c r="K58" i="1"/>
  <c r="J58" i="1"/>
  <c r="H58" i="1"/>
  <c r="O58" i="1" s="1"/>
  <c r="S12" i="1"/>
  <c r="L12" i="1"/>
  <c r="K12" i="1"/>
  <c r="J12" i="1"/>
  <c r="H12" i="1"/>
  <c r="O12" i="1" s="1"/>
  <c r="S57" i="1"/>
  <c r="L57" i="1"/>
  <c r="K57" i="1"/>
  <c r="J57" i="1"/>
  <c r="H57" i="1"/>
  <c r="S11" i="1"/>
  <c r="L11" i="1"/>
  <c r="K11" i="1"/>
  <c r="J11" i="1"/>
  <c r="H11" i="1"/>
  <c r="O11" i="1" s="1"/>
  <c r="S56" i="1"/>
  <c r="L56" i="1"/>
  <c r="K56" i="1"/>
  <c r="J56" i="1"/>
  <c r="H56" i="1"/>
  <c r="P56" i="1" s="1"/>
  <c r="S10" i="1"/>
  <c r="L10" i="1"/>
  <c r="K10" i="1"/>
  <c r="J10" i="1"/>
  <c r="H10" i="1"/>
  <c r="P10" i="1" s="1"/>
  <c r="S55" i="1"/>
  <c r="L55" i="1"/>
  <c r="K55" i="1"/>
  <c r="J55" i="1"/>
  <c r="H55" i="1"/>
  <c r="P55" i="1" s="1"/>
  <c r="S106" i="1"/>
  <c r="L106" i="1"/>
  <c r="K106" i="1"/>
  <c r="J106" i="1"/>
  <c r="H106" i="1"/>
  <c r="O106" i="1" s="1"/>
  <c r="W106" i="1" s="1"/>
  <c r="S105" i="1"/>
  <c r="L105" i="1"/>
  <c r="K105" i="1"/>
  <c r="J105" i="1"/>
  <c r="H105" i="1"/>
  <c r="P105" i="1" s="1"/>
  <c r="S104" i="1"/>
  <c r="L104" i="1"/>
  <c r="K104" i="1"/>
  <c r="J104" i="1"/>
  <c r="H104" i="1"/>
  <c r="O104" i="1" s="1"/>
  <c r="W104" i="1" s="1"/>
  <c r="S9" i="1"/>
  <c r="L9" i="1"/>
  <c r="K9" i="1"/>
  <c r="J9" i="1"/>
  <c r="H9" i="1"/>
  <c r="O9" i="1" s="1"/>
  <c r="S54" i="1"/>
  <c r="L54" i="1"/>
  <c r="K54" i="1"/>
  <c r="J54" i="1"/>
  <c r="H54" i="1"/>
  <c r="P54" i="1" s="1"/>
  <c r="S53" i="1"/>
  <c r="L53" i="1"/>
  <c r="K53" i="1"/>
  <c r="J53" i="1"/>
  <c r="H53" i="1"/>
  <c r="P53" i="1" s="1"/>
  <c r="S52" i="1"/>
  <c r="L52" i="1"/>
  <c r="K52" i="1"/>
  <c r="J52" i="1"/>
  <c r="H52" i="1"/>
  <c r="P52" i="1" s="1"/>
  <c r="S51" i="1"/>
  <c r="L51" i="1"/>
  <c r="K51" i="1"/>
  <c r="J51" i="1"/>
  <c r="H51" i="1"/>
  <c r="O51" i="1" s="1"/>
  <c r="S8" i="1"/>
  <c r="L8" i="1"/>
  <c r="K8" i="1"/>
  <c r="J8" i="1"/>
  <c r="H8" i="1"/>
  <c r="P8" i="1" s="1"/>
  <c r="S7" i="1"/>
  <c r="L7" i="1"/>
  <c r="K7" i="1"/>
  <c r="J7" i="1"/>
  <c r="H7" i="1"/>
  <c r="O7" i="1" s="1"/>
  <c r="S6" i="1"/>
  <c r="L6" i="1"/>
  <c r="K6" i="1"/>
  <c r="J6" i="1"/>
  <c r="H6" i="1"/>
  <c r="O6" i="1" s="1"/>
  <c r="T44" i="1" l="1"/>
  <c r="T46" i="1"/>
  <c r="T34" i="1"/>
  <c r="O29" i="1"/>
  <c r="W29" i="1" s="1"/>
  <c r="M47" i="1"/>
  <c r="M87" i="1"/>
  <c r="P97" i="1"/>
  <c r="T97" i="1" s="1"/>
  <c r="M45" i="1"/>
  <c r="M49" i="1"/>
  <c r="M95" i="1"/>
  <c r="O45" i="1"/>
  <c r="P86" i="1"/>
  <c r="T86" i="1" s="1"/>
  <c r="O96" i="1"/>
  <c r="P85" i="1"/>
  <c r="T85" i="1" s="1"/>
  <c r="O36" i="1"/>
  <c r="M35" i="1"/>
  <c r="T87" i="1"/>
  <c r="O87" i="1"/>
  <c r="T92" i="1"/>
  <c r="O92" i="1"/>
  <c r="P20" i="1"/>
  <c r="T20" i="1" s="1"/>
  <c r="M22" i="1"/>
  <c r="O23" i="1"/>
  <c r="O83" i="1"/>
  <c r="M57" i="1"/>
  <c r="P13" i="1"/>
  <c r="T13" i="1" s="1"/>
  <c r="O60" i="1"/>
  <c r="P90" i="1"/>
  <c r="T90" i="1" s="1"/>
  <c r="P93" i="1"/>
  <c r="T93" i="1" s="1"/>
  <c r="M10" i="1"/>
  <c r="M41" i="1"/>
  <c r="P98" i="1"/>
  <c r="T98" i="1" s="1"/>
  <c r="T102" i="1"/>
  <c r="T32" i="1"/>
  <c r="T42" i="1"/>
  <c r="O46" i="1"/>
  <c r="T49" i="1"/>
  <c r="T54" i="1"/>
  <c r="T56" i="1"/>
  <c r="P88" i="1"/>
  <c r="T47" i="1"/>
  <c r="M99" i="1"/>
  <c r="O34" i="1"/>
  <c r="M39" i="1"/>
  <c r="O32" i="1"/>
  <c r="M96" i="1"/>
  <c r="M14" i="1"/>
  <c r="M104" i="1"/>
  <c r="X104" i="1" s="1"/>
  <c r="T79" i="1"/>
  <c r="P7" i="1"/>
  <c r="T7" i="1" s="1"/>
  <c r="P11" i="1"/>
  <c r="T11" i="1" s="1"/>
  <c r="T8" i="1"/>
  <c r="T25" i="1"/>
  <c r="P77" i="1"/>
  <c r="T77" i="1" s="1"/>
  <c r="T22" i="1"/>
  <c r="T99" i="1"/>
  <c r="T60" i="1"/>
  <c r="M74" i="1"/>
  <c r="T83" i="1"/>
  <c r="T88" i="1"/>
  <c r="M91" i="1"/>
  <c r="M33" i="1"/>
  <c r="O19" i="1"/>
  <c r="O40" i="1"/>
  <c r="M93" i="1"/>
  <c r="W93" i="1" s="1"/>
  <c r="M42" i="1"/>
  <c r="O44" i="1"/>
  <c r="M48" i="1"/>
  <c r="M102" i="1"/>
  <c r="T16" i="1"/>
  <c r="P71" i="1"/>
  <c r="T71" i="1" s="1"/>
  <c r="M79" i="1"/>
  <c r="P27" i="1"/>
  <c r="T27" i="1" s="1"/>
  <c r="M37" i="1"/>
  <c r="O91" i="1"/>
  <c r="O49" i="1"/>
  <c r="O8" i="1"/>
  <c r="P106" i="1"/>
  <c r="T106" i="1" s="1"/>
  <c r="M15" i="1"/>
  <c r="M16" i="1"/>
  <c r="O62" i="1"/>
  <c r="T19" i="1"/>
  <c r="T75" i="1"/>
  <c r="O79" i="1"/>
  <c r="M90" i="1"/>
  <c r="W90" i="1" s="1"/>
  <c r="O42" i="1"/>
  <c r="W42" i="1" s="1"/>
  <c r="M97" i="1"/>
  <c r="W97" i="1" s="1"/>
  <c r="M46" i="1"/>
  <c r="O47" i="1"/>
  <c r="O99" i="1"/>
  <c r="O48" i="1"/>
  <c r="M60" i="1"/>
  <c r="M28" i="1"/>
  <c r="T82" i="1"/>
  <c r="J107" i="1"/>
  <c r="M18" i="1"/>
  <c r="M24" i="1"/>
  <c r="M85" i="1"/>
  <c r="W85" i="1" s="1"/>
  <c r="T52" i="1"/>
  <c r="O56" i="1"/>
  <c r="O22" i="1"/>
  <c r="T23" i="1"/>
  <c r="O66" i="1"/>
  <c r="O69" i="1"/>
  <c r="T74" i="1"/>
  <c r="P76" i="1"/>
  <c r="T76" i="1" s="1"/>
  <c r="O82" i="1"/>
  <c r="M36" i="1"/>
  <c r="M88" i="1"/>
  <c r="W88" i="1" s="1"/>
  <c r="P9" i="1"/>
  <c r="T9" i="1" s="1"/>
  <c r="M59" i="1"/>
  <c r="O63" i="1"/>
  <c r="O75" i="1"/>
  <c r="M73" i="1"/>
  <c r="M7" i="1"/>
  <c r="W7" i="1" s="1"/>
  <c r="M53" i="1"/>
  <c r="O54" i="1"/>
  <c r="M13" i="1"/>
  <c r="W13" i="1" s="1"/>
  <c r="O59" i="1"/>
  <c r="W59" i="1" s="1"/>
  <c r="O61" i="1"/>
  <c r="O21" i="1"/>
  <c r="M68" i="1"/>
  <c r="W68" i="1" s="1"/>
  <c r="O25" i="1"/>
  <c r="P30" i="1"/>
  <c r="T30" i="1" s="1"/>
  <c r="M83" i="1"/>
  <c r="M106" i="1"/>
  <c r="X106" i="1" s="1"/>
  <c r="M31" i="1"/>
  <c r="M17" i="1"/>
  <c r="W17" i="1" s="1"/>
  <c r="M20" i="1"/>
  <c r="W20" i="1" s="1"/>
  <c r="M70" i="1"/>
  <c r="W70" i="1" s="1"/>
  <c r="T73" i="1"/>
  <c r="M26" i="1"/>
  <c r="P84" i="1"/>
  <c r="T84" i="1" s="1"/>
  <c r="O78" i="1"/>
  <c r="T78" i="1"/>
  <c r="P58" i="1"/>
  <c r="T58" i="1" s="1"/>
  <c r="M78" i="1"/>
  <c r="T105" i="1"/>
  <c r="O105" i="1"/>
  <c r="W105" i="1" s="1"/>
  <c r="T81" i="1"/>
  <c r="T101" i="1"/>
  <c r="M101" i="1"/>
  <c r="O102" i="1"/>
  <c r="T38" i="1"/>
  <c r="O89" i="1"/>
  <c r="T89" i="1"/>
  <c r="M89" i="1"/>
  <c r="O38" i="1"/>
  <c r="M44" i="1"/>
  <c r="O95" i="1"/>
  <c r="T95" i="1"/>
  <c r="M43" i="1"/>
  <c r="O94" i="1"/>
  <c r="T94" i="1"/>
  <c r="M81" i="1"/>
  <c r="O81" i="1"/>
  <c r="O73" i="1"/>
  <c r="P70" i="1"/>
  <c r="T70" i="1" s="1"/>
  <c r="M66" i="1"/>
  <c r="M65" i="1"/>
  <c r="P64" i="1"/>
  <c r="T64" i="1" s="1"/>
  <c r="P68" i="1"/>
  <c r="T68" i="1" s="1"/>
  <c r="T67" i="1"/>
  <c r="O67" i="1"/>
  <c r="M51" i="1"/>
  <c r="W51" i="1" s="1"/>
  <c r="M55" i="1"/>
  <c r="M25" i="1"/>
  <c r="M38" i="1"/>
  <c r="M100" i="1"/>
  <c r="M61" i="1"/>
  <c r="M63" i="1"/>
  <c r="M56" i="1"/>
  <c r="M11" i="1"/>
  <c r="W11" i="1" s="1"/>
  <c r="M21" i="1"/>
  <c r="M32" i="1"/>
  <c r="M84" i="1"/>
  <c r="W84" i="1" s="1"/>
  <c r="M94" i="1"/>
  <c r="M12" i="1"/>
  <c r="W12" i="1" s="1"/>
  <c r="M72" i="1"/>
  <c r="W72" i="1" s="1"/>
  <c r="M76" i="1"/>
  <c r="W76" i="1" s="1"/>
  <c r="M80" i="1"/>
  <c r="W80" i="1" s="1"/>
  <c r="M52" i="1"/>
  <c r="M82" i="1"/>
  <c r="M64" i="1"/>
  <c r="W64" i="1" s="1"/>
  <c r="M69" i="1"/>
  <c r="M30" i="1"/>
  <c r="W30" i="1" s="1"/>
  <c r="M86" i="1"/>
  <c r="W86" i="1" s="1"/>
  <c r="M40" i="1"/>
  <c r="M92" i="1"/>
  <c r="M98" i="1"/>
  <c r="W98" i="1" s="1"/>
  <c r="O101" i="1"/>
  <c r="O100" i="1"/>
  <c r="O52" i="1"/>
  <c r="H107" i="1"/>
  <c r="Q103" i="1" s="1"/>
  <c r="N107" i="1"/>
  <c r="P6" i="1"/>
  <c r="T6" i="1" s="1"/>
  <c r="M62" i="1"/>
  <c r="M105" i="1"/>
  <c r="T10" i="1"/>
  <c r="L107" i="1"/>
  <c r="P51" i="1"/>
  <c r="T51" i="1" s="1"/>
  <c r="O53" i="1"/>
  <c r="M9" i="1"/>
  <c r="W9" i="1" s="1"/>
  <c r="P33" i="1"/>
  <c r="T33" i="1" s="1"/>
  <c r="O33" i="1"/>
  <c r="M6" i="1"/>
  <c r="W6" i="1" s="1"/>
  <c r="M8" i="1"/>
  <c r="P104" i="1"/>
  <c r="T104" i="1" s="1"/>
  <c r="O55" i="1"/>
  <c r="P57" i="1"/>
  <c r="T57" i="1" s="1"/>
  <c r="O57" i="1"/>
  <c r="M58" i="1"/>
  <c r="W58" i="1" s="1"/>
  <c r="T69" i="1"/>
  <c r="O14" i="1"/>
  <c r="M54" i="1"/>
  <c r="T55" i="1"/>
  <c r="P12" i="1"/>
  <c r="T12" i="1" s="1"/>
  <c r="T59" i="1"/>
  <c r="P14" i="1"/>
  <c r="T14" i="1" s="1"/>
  <c r="O15" i="1"/>
  <c r="P15" i="1"/>
  <c r="T15" i="1" s="1"/>
  <c r="P24" i="1"/>
  <c r="T24" i="1" s="1"/>
  <c r="O24" i="1"/>
  <c r="T53" i="1"/>
  <c r="S107" i="1"/>
  <c r="O10" i="1"/>
  <c r="O16" i="1"/>
  <c r="K107" i="1"/>
  <c r="M23" i="1"/>
  <c r="M27" i="1"/>
  <c r="W27" i="1" s="1"/>
  <c r="M77" i="1"/>
  <c r="W77" i="1" s="1"/>
  <c r="P26" i="1"/>
  <c r="T26" i="1" s="1"/>
  <c r="P31" i="1"/>
  <c r="T31" i="1" s="1"/>
  <c r="O31" i="1"/>
  <c r="T63" i="1"/>
  <c r="T66" i="1"/>
  <c r="M67" i="1"/>
  <c r="P17" i="1"/>
  <c r="T17" i="1" s="1"/>
  <c r="O18" i="1"/>
  <c r="O65" i="1"/>
  <c r="P72" i="1"/>
  <c r="T72" i="1" s="1"/>
  <c r="O74" i="1"/>
  <c r="P28" i="1"/>
  <c r="T28" i="1" s="1"/>
  <c r="O28" i="1"/>
  <c r="M34" i="1"/>
  <c r="T61" i="1"/>
  <c r="T21" i="1"/>
  <c r="M71" i="1"/>
  <c r="W71" i="1" s="1"/>
  <c r="M75" i="1"/>
  <c r="T18" i="1"/>
  <c r="M19" i="1"/>
  <c r="T65" i="1"/>
  <c r="O26" i="1"/>
  <c r="P80" i="1"/>
  <c r="T80" i="1" s="1"/>
  <c r="O35" i="1"/>
  <c r="T37" i="1"/>
  <c r="O39" i="1"/>
  <c r="T41" i="1"/>
  <c r="O43" i="1"/>
  <c r="T45" i="1"/>
  <c r="P35" i="1"/>
  <c r="T35" i="1" s="1"/>
  <c r="P39" i="1"/>
  <c r="T39" i="1" s="1"/>
  <c r="P43" i="1"/>
  <c r="T43" i="1" s="1"/>
  <c r="O37" i="1"/>
  <c r="O41" i="1"/>
  <c r="U103" i="1" l="1"/>
  <c r="V103" i="1"/>
  <c r="Y103" i="1"/>
  <c r="W18" i="1"/>
  <c r="W41" i="1"/>
  <c r="W87" i="1"/>
  <c r="W47" i="1"/>
  <c r="W38" i="1"/>
  <c r="W99" i="1"/>
  <c r="W60" i="1"/>
  <c r="Q29" i="1"/>
  <c r="X29" i="1" s="1"/>
  <c r="W45" i="1"/>
  <c r="W8" i="1"/>
  <c r="W43" i="1"/>
  <c r="W35" i="1"/>
  <c r="W65" i="1"/>
  <c r="W23" i="1"/>
  <c r="W40" i="1"/>
  <c r="W94" i="1"/>
  <c r="W95" i="1"/>
  <c r="W48" i="1"/>
  <c r="W91" i="1"/>
  <c r="W46" i="1"/>
  <c r="W96" i="1"/>
  <c r="W24" i="1"/>
  <c r="W92" i="1"/>
  <c r="W61" i="1"/>
  <c r="W49" i="1"/>
  <c r="W57" i="1"/>
  <c r="W101" i="1"/>
  <c r="W54" i="1"/>
  <c r="W33" i="1"/>
  <c r="W10" i="1"/>
  <c r="W32" i="1"/>
  <c r="W37" i="1"/>
  <c r="W39" i="1"/>
  <c r="W22" i="1"/>
  <c r="W83" i="1"/>
  <c r="W100" i="1"/>
  <c r="W89" i="1"/>
  <c r="W36" i="1"/>
  <c r="W56" i="1"/>
  <c r="W73" i="1"/>
  <c r="W82" i="1"/>
  <c r="W44" i="1"/>
  <c r="W102" i="1"/>
  <c r="W79" i="1"/>
  <c r="W14" i="1"/>
  <c r="W28" i="1"/>
  <c r="W15" i="1"/>
  <c r="W19" i="1"/>
  <c r="W16" i="1"/>
  <c r="W74" i="1"/>
  <c r="W25" i="1"/>
  <c r="W66" i="1"/>
  <c r="W63" i="1"/>
  <c r="Q10" i="1"/>
  <c r="U10" i="1" s="1"/>
  <c r="W69" i="1"/>
  <c r="W81" i="1"/>
  <c r="W67" i="1"/>
  <c r="W21" i="1"/>
  <c r="W31" i="1"/>
  <c r="W78" i="1"/>
  <c r="W55" i="1"/>
  <c r="W52" i="1"/>
  <c r="Q74" i="1"/>
  <c r="U74" i="1" s="1"/>
  <c r="Q24" i="1"/>
  <c r="U24" i="1" s="1"/>
  <c r="Q72" i="1"/>
  <c r="X72" i="1" s="1"/>
  <c r="Q33" i="1"/>
  <c r="Y33" i="1" s="1"/>
  <c r="O107" i="1"/>
  <c r="P107" i="1" s="1"/>
  <c r="Q51" i="1"/>
  <c r="Q15" i="1"/>
  <c r="U15" i="1" s="1"/>
  <c r="Q39" i="1"/>
  <c r="Y39" i="1" s="1"/>
  <c r="Q65" i="1"/>
  <c r="Y65" i="1" s="1"/>
  <c r="Q73" i="1"/>
  <c r="V73" i="1" s="1"/>
  <c r="Q43" i="1"/>
  <c r="V43" i="1" s="1"/>
  <c r="Q66" i="1"/>
  <c r="X66" i="1" s="1"/>
  <c r="Q35" i="1"/>
  <c r="Y35" i="1" s="1"/>
  <c r="Q79" i="1"/>
  <c r="Q64" i="1"/>
  <c r="X64" i="1" s="1"/>
  <c r="Q12" i="1"/>
  <c r="Y12" i="1" s="1"/>
  <c r="Q14" i="1"/>
  <c r="X14" i="1" s="1"/>
  <c r="Q7" i="1"/>
  <c r="U7" i="1" s="1"/>
  <c r="Q31" i="1"/>
  <c r="Y31" i="1" s="1"/>
  <c r="Q17" i="1"/>
  <c r="Y17" i="1" s="1"/>
  <c r="Q76" i="1"/>
  <c r="V76" i="1" s="1"/>
  <c r="Q26" i="1"/>
  <c r="U26" i="1" s="1"/>
  <c r="Q63" i="1"/>
  <c r="U63" i="1" s="1"/>
  <c r="Q16" i="1"/>
  <c r="X16" i="1" s="1"/>
  <c r="Q53" i="1"/>
  <c r="U53" i="1" s="1"/>
  <c r="Q28" i="1"/>
  <c r="X28" i="1" s="1"/>
  <c r="Q52" i="1"/>
  <c r="U52" i="1" s="1"/>
  <c r="Q11" i="1"/>
  <c r="Q104" i="1"/>
  <c r="V104" i="1" s="1"/>
  <c r="Q18" i="1"/>
  <c r="U18" i="1" s="1"/>
  <c r="W62" i="1"/>
  <c r="X105" i="1"/>
  <c r="W34" i="1"/>
  <c r="V107" i="1"/>
  <c r="M107" i="1"/>
  <c r="W53" i="1"/>
  <c r="Q101" i="1"/>
  <c r="Q97" i="1"/>
  <c r="Q93" i="1"/>
  <c r="Q89" i="1"/>
  <c r="Q85" i="1"/>
  <c r="Q81" i="1"/>
  <c r="Q77" i="1"/>
  <c r="Y77" i="1" s="1"/>
  <c r="Q70" i="1"/>
  <c r="Q22" i="1"/>
  <c r="Q102" i="1"/>
  <c r="V102" i="1" s="1"/>
  <c r="Q46" i="1"/>
  <c r="Q42" i="1"/>
  <c r="Q38" i="1"/>
  <c r="Q34" i="1"/>
  <c r="Q30" i="1"/>
  <c r="Q25" i="1"/>
  <c r="Q98" i="1"/>
  <c r="Q94" i="1"/>
  <c r="Q90" i="1"/>
  <c r="Q47" i="1"/>
  <c r="Q99" i="1"/>
  <c r="Q95" i="1"/>
  <c r="Q91" i="1"/>
  <c r="Q87" i="1"/>
  <c r="Q83" i="1"/>
  <c r="Q48" i="1"/>
  <c r="Q44" i="1"/>
  <c r="Q40" i="1"/>
  <c r="Q36" i="1"/>
  <c r="Q32" i="1"/>
  <c r="Q49" i="1"/>
  <c r="Q96" i="1"/>
  <c r="Q92" i="1"/>
  <c r="Q88" i="1"/>
  <c r="Q69" i="1"/>
  <c r="Q20" i="1"/>
  <c r="Q62" i="1"/>
  <c r="X62" i="1" s="1"/>
  <c r="Q27" i="1"/>
  <c r="Y27" i="1" s="1"/>
  <c r="Q67" i="1"/>
  <c r="Q45" i="1"/>
  <c r="Q82" i="1"/>
  <c r="Q78" i="1"/>
  <c r="Q84" i="1"/>
  <c r="Q23" i="1"/>
  <c r="X23" i="1" s="1"/>
  <c r="Q58" i="1"/>
  <c r="Y58" i="1" s="1"/>
  <c r="Q105" i="1"/>
  <c r="Q100" i="1"/>
  <c r="Q41" i="1"/>
  <c r="Q68" i="1"/>
  <c r="Q21" i="1"/>
  <c r="Q37" i="1"/>
  <c r="Q75" i="1"/>
  <c r="X75" i="1" s="1"/>
  <c r="Q19" i="1"/>
  <c r="X19" i="1" s="1"/>
  <c r="Q86" i="1"/>
  <c r="Q80" i="1"/>
  <c r="Q59" i="1"/>
  <c r="Q55" i="1"/>
  <c r="Q9" i="1"/>
  <c r="X9" i="1" s="1"/>
  <c r="Q106" i="1"/>
  <c r="Q61" i="1"/>
  <c r="Q56" i="1"/>
  <c r="Q60" i="1"/>
  <c r="Q71" i="1"/>
  <c r="Q13" i="1"/>
  <c r="Q57" i="1"/>
  <c r="X57" i="1" s="1"/>
  <c r="Q54" i="1"/>
  <c r="X54" i="1" s="1"/>
  <c r="Q8" i="1"/>
  <c r="X8" i="1" s="1"/>
  <c r="Q6" i="1"/>
  <c r="X6" i="1" s="1"/>
  <c r="W75" i="1"/>
  <c r="W26" i="1"/>
  <c r="V29" i="1" l="1"/>
  <c r="Y29" i="1"/>
  <c r="U29" i="1"/>
  <c r="Y10" i="1"/>
  <c r="V10" i="1"/>
  <c r="X10" i="1"/>
  <c r="U51" i="1"/>
  <c r="V51" i="1"/>
  <c r="Y51" i="1"/>
  <c r="V72" i="1"/>
  <c r="Y72" i="1"/>
  <c r="V63" i="1"/>
  <c r="Y74" i="1"/>
  <c r="X74" i="1"/>
  <c r="Y53" i="1"/>
  <c r="V16" i="1"/>
  <c r="X76" i="1"/>
  <c r="V53" i="1"/>
  <c r="V31" i="1"/>
  <c r="Y54" i="1"/>
  <c r="Y24" i="1"/>
  <c r="V24" i="1"/>
  <c r="X17" i="1"/>
  <c r="V74" i="1"/>
  <c r="V17" i="1"/>
  <c r="X24" i="1"/>
  <c r="U17" i="1"/>
  <c r="X63" i="1"/>
  <c r="U43" i="1"/>
  <c r="X31" i="1"/>
  <c r="X51" i="1"/>
  <c r="U107" i="1"/>
  <c r="T107" i="1"/>
  <c r="V65" i="1"/>
  <c r="V39" i="1"/>
  <c r="V7" i="1"/>
  <c r="Y7" i="1"/>
  <c r="Y14" i="1"/>
  <c r="V35" i="1"/>
  <c r="U72" i="1"/>
  <c r="U39" i="1"/>
  <c r="U35" i="1"/>
  <c r="U33" i="1"/>
  <c r="X33" i="1"/>
  <c r="V52" i="1"/>
  <c r="V33" i="1"/>
  <c r="Y19" i="1"/>
  <c r="X35" i="1"/>
  <c r="X65" i="1"/>
  <c r="Y52" i="1"/>
  <c r="X52" i="1"/>
  <c r="X39" i="1"/>
  <c r="X7" i="1"/>
  <c r="Y63" i="1"/>
  <c r="X107" i="1"/>
  <c r="Y23" i="1"/>
  <c r="V18" i="1"/>
  <c r="U11" i="1"/>
  <c r="Y11" i="1"/>
  <c r="X11" i="1"/>
  <c r="U76" i="1"/>
  <c r="Y76" i="1"/>
  <c r="U79" i="1"/>
  <c r="V79" i="1"/>
  <c r="X79" i="1"/>
  <c r="Y79" i="1"/>
  <c r="Y18" i="1"/>
  <c r="X77" i="1"/>
  <c r="V11" i="1"/>
  <c r="U31" i="1"/>
  <c r="Y28" i="1"/>
  <c r="V28" i="1"/>
  <c r="X18" i="1"/>
  <c r="Y62" i="1"/>
  <c r="U66" i="1"/>
  <c r="V66" i="1"/>
  <c r="Y66" i="1"/>
  <c r="Y15" i="1"/>
  <c r="V15" i="1"/>
  <c r="X15" i="1"/>
  <c r="U16" i="1"/>
  <c r="Y16" i="1"/>
  <c r="Y26" i="1"/>
  <c r="U28" i="1"/>
  <c r="X12" i="1"/>
  <c r="X43" i="1"/>
  <c r="Y43" i="1"/>
  <c r="X26" i="1"/>
  <c r="X53" i="1"/>
  <c r="V26" i="1"/>
  <c r="U65" i="1"/>
  <c r="U14" i="1"/>
  <c r="V14" i="1"/>
  <c r="U12" i="1"/>
  <c r="V12" i="1"/>
  <c r="U104" i="1"/>
  <c r="Y104" i="1"/>
  <c r="U64" i="1"/>
  <c r="V64" i="1"/>
  <c r="Y64" i="1"/>
  <c r="U73" i="1"/>
  <c r="X73" i="1"/>
  <c r="Y73" i="1"/>
  <c r="V71" i="1"/>
  <c r="U71" i="1"/>
  <c r="V91" i="1"/>
  <c r="U91" i="1"/>
  <c r="X91" i="1"/>
  <c r="Y91" i="1"/>
  <c r="U105" i="1"/>
  <c r="V105" i="1"/>
  <c r="V32" i="1"/>
  <c r="Y32" i="1"/>
  <c r="U32" i="1"/>
  <c r="X32" i="1"/>
  <c r="V34" i="1"/>
  <c r="U34" i="1"/>
  <c r="V81" i="1"/>
  <c r="U81" i="1"/>
  <c r="Y81" i="1"/>
  <c r="X81" i="1"/>
  <c r="Y34" i="1"/>
  <c r="U6" i="1"/>
  <c r="V6" i="1"/>
  <c r="Y6" i="1"/>
  <c r="V61" i="1"/>
  <c r="U61" i="1"/>
  <c r="Y61" i="1"/>
  <c r="X61" i="1"/>
  <c r="V75" i="1"/>
  <c r="U75" i="1"/>
  <c r="U23" i="1"/>
  <c r="V23" i="1"/>
  <c r="U20" i="1"/>
  <c r="X20" i="1"/>
  <c r="Y20" i="1"/>
  <c r="V20" i="1"/>
  <c r="V40" i="1"/>
  <c r="U40" i="1"/>
  <c r="Y40" i="1"/>
  <c r="X40" i="1"/>
  <c r="U47" i="1"/>
  <c r="V47" i="1"/>
  <c r="Y47" i="1"/>
  <c r="X47" i="1"/>
  <c r="V42" i="1"/>
  <c r="U42" i="1"/>
  <c r="Y42" i="1"/>
  <c r="X42" i="1"/>
  <c r="V89" i="1"/>
  <c r="U89" i="1"/>
  <c r="X89" i="1"/>
  <c r="Y89" i="1"/>
  <c r="X27" i="1"/>
  <c r="X34" i="1"/>
  <c r="V8" i="1"/>
  <c r="U8" i="1"/>
  <c r="U37" i="1"/>
  <c r="V37" i="1"/>
  <c r="Y37" i="1"/>
  <c r="U69" i="1"/>
  <c r="X69" i="1"/>
  <c r="V69" i="1"/>
  <c r="Y69" i="1"/>
  <c r="V90" i="1"/>
  <c r="U90" i="1"/>
  <c r="Y90" i="1"/>
  <c r="X90" i="1"/>
  <c r="V93" i="1"/>
  <c r="U93" i="1"/>
  <c r="X93" i="1"/>
  <c r="Y93" i="1"/>
  <c r="Y8" i="1"/>
  <c r="V54" i="1"/>
  <c r="U54" i="1"/>
  <c r="U9" i="1"/>
  <c r="V9" i="1"/>
  <c r="U21" i="1"/>
  <c r="V21" i="1"/>
  <c r="X21" i="1"/>
  <c r="Y21" i="1"/>
  <c r="U78" i="1"/>
  <c r="V78" i="1"/>
  <c r="Y78" i="1"/>
  <c r="X78" i="1"/>
  <c r="V88" i="1"/>
  <c r="U88" i="1"/>
  <c r="Y88" i="1"/>
  <c r="X88" i="1"/>
  <c r="V48" i="1"/>
  <c r="U48" i="1"/>
  <c r="Y48" i="1"/>
  <c r="X48" i="1"/>
  <c r="V94" i="1"/>
  <c r="U94" i="1"/>
  <c r="Y94" i="1"/>
  <c r="X94" i="1"/>
  <c r="U102" i="1"/>
  <c r="X102" i="1"/>
  <c r="Y102" i="1"/>
  <c r="V97" i="1"/>
  <c r="U97" i="1"/>
  <c r="Y97" i="1"/>
  <c r="X97" i="1"/>
  <c r="Y107" i="1"/>
  <c r="Y71" i="1"/>
  <c r="X58" i="1"/>
  <c r="Y75" i="1"/>
  <c r="V106" i="1"/>
  <c r="U106" i="1"/>
  <c r="Y106" i="1"/>
  <c r="U84" i="1"/>
  <c r="V84" i="1"/>
  <c r="X84" i="1"/>
  <c r="Y84" i="1"/>
  <c r="V44" i="1"/>
  <c r="U44" i="1"/>
  <c r="Y44" i="1"/>
  <c r="X44" i="1"/>
  <c r="V46" i="1"/>
  <c r="U46" i="1"/>
  <c r="X46" i="1"/>
  <c r="Y46" i="1"/>
  <c r="U57" i="1"/>
  <c r="Y57" i="1"/>
  <c r="V57" i="1"/>
  <c r="U55" i="1"/>
  <c r="Y55" i="1"/>
  <c r="V55" i="1"/>
  <c r="V68" i="1"/>
  <c r="U68" i="1"/>
  <c r="Y68" i="1"/>
  <c r="X68" i="1"/>
  <c r="V82" i="1"/>
  <c r="U82" i="1"/>
  <c r="Y82" i="1"/>
  <c r="X82" i="1"/>
  <c r="V92" i="1"/>
  <c r="U92" i="1"/>
  <c r="Y92" i="1"/>
  <c r="X92" i="1"/>
  <c r="V83" i="1"/>
  <c r="U83" i="1"/>
  <c r="X83" i="1"/>
  <c r="Y83" i="1"/>
  <c r="V98" i="1"/>
  <c r="U98" i="1"/>
  <c r="Y98" i="1"/>
  <c r="X98" i="1"/>
  <c r="V22" i="1"/>
  <c r="U22" i="1"/>
  <c r="Y22" i="1"/>
  <c r="X22" i="1"/>
  <c r="Y101" i="1"/>
  <c r="X101" i="1"/>
  <c r="V101" i="1"/>
  <c r="U101" i="1"/>
  <c r="X55" i="1"/>
  <c r="X71" i="1"/>
  <c r="X37" i="1"/>
  <c r="V13" i="1"/>
  <c r="U13" i="1"/>
  <c r="Y13" i="1"/>
  <c r="X13" i="1"/>
  <c r="U59" i="1"/>
  <c r="V59" i="1"/>
  <c r="X59" i="1"/>
  <c r="Y59" i="1"/>
  <c r="U41" i="1"/>
  <c r="V41" i="1"/>
  <c r="Y41" i="1"/>
  <c r="U45" i="1"/>
  <c r="V45" i="1"/>
  <c r="X45" i="1"/>
  <c r="Y45" i="1"/>
  <c r="V96" i="1"/>
  <c r="U96" i="1"/>
  <c r="Y96" i="1"/>
  <c r="X96" i="1"/>
  <c r="V87" i="1"/>
  <c r="U87" i="1"/>
  <c r="Y87" i="1"/>
  <c r="X87" i="1"/>
  <c r="V25" i="1"/>
  <c r="U25" i="1"/>
  <c r="X25" i="1"/>
  <c r="Y25" i="1"/>
  <c r="V70" i="1"/>
  <c r="U70" i="1"/>
  <c r="Y70" i="1"/>
  <c r="X70" i="1"/>
  <c r="X41" i="1"/>
  <c r="V67" i="1"/>
  <c r="U67" i="1"/>
  <c r="V30" i="1"/>
  <c r="U30" i="1"/>
  <c r="X30" i="1"/>
  <c r="Y30" i="1"/>
  <c r="X67" i="1"/>
  <c r="U80" i="1"/>
  <c r="Y80" i="1"/>
  <c r="X80" i="1"/>
  <c r="V80" i="1"/>
  <c r="V86" i="1"/>
  <c r="U86" i="1"/>
  <c r="X86" i="1"/>
  <c r="Y86" i="1"/>
  <c r="W107" i="1"/>
  <c r="V100" i="1"/>
  <c r="U100" i="1"/>
  <c r="X100" i="1"/>
  <c r="Y100" i="1"/>
  <c r="V49" i="1"/>
  <c r="U49" i="1"/>
  <c r="Y49" i="1"/>
  <c r="X49" i="1"/>
  <c r="V77" i="1"/>
  <c r="U77" i="1"/>
  <c r="V60" i="1"/>
  <c r="U60" i="1"/>
  <c r="Y60" i="1"/>
  <c r="X60" i="1"/>
  <c r="V27" i="1"/>
  <c r="U27" i="1"/>
  <c r="V95" i="1"/>
  <c r="U95" i="1"/>
  <c r="Y95" i="1"/>
  <c r="X95" i="1"/>
  <c r="Y67" i="1"/>
  <c r="Y105" i="1"/>
  <c r="V56" i="1"/>
  <c r="U56" i="1"/>
  <c r="Y56" i="1"/>
  <c r="X56" i="1"/>
  <c r="V19" i="1"/>
  <c r="U19" i="1"/>
  <c r="V58" i="1"/>
  <c r="U58" i="1"/>
  <c r="V62" i="1"/>
  <c r="U62" i="1"/>
  <c r="V36" i="1"/>
  <c r="U36" i="1"/>
  <c r="Y36" i="1"/>
  <c r="X36" i="1"/>
  <c r="V99" i="1"/>
  <c r="U99" i="1"/>
  <c r="X99" i="1"/>
  <c r="Y99" i="1"/>
  <c r="V38" i="1"/>
  <c r="U38" i="1"/>
  <c r="Y38" i="1"/>
  <c r="X38" i="1"/>
  <c r="V85" i="1"/>
  <c r="U85" i="1"/>
  <c r="X85" i="1"/>
  <c r="Y85" i="1"/>
  <c r="Y9" i="1"/>
</calcChain>
</file>

<file path=xl/sharedStrings.xml><?xml version="1.0" encoding="utf-8"?>
<sst xmlns="http://schemas.openxmlformats.org/spreadsheetml/2006/main" count="398" uniqueCount="111">
  <si>
    <t xml:space="preserve">PROGRAM YEAR </t>
  </si>
  <si>
    <t xml:space="preserve"> CASCADE NATURAL GAS CORPORATION</t>
  </si>
  <si>
    <t xml:space="preserve"> RESIDENTIAL Program Participant Cost Effectiveness</t>
  </si>
  <si>
    <t>MEASURE</t>
  </si>
  <si>
    <t>ZONE</t>
  </si>
  <si>
    <t>EFFICIENCY  RATING</t>
  </si>
  <si>
    <t>PARTICIPANTS</t>
  </si>
  <si>
    <t>MEASURES  INSTALLED</t>
  </si>
  <si>
    <t>ANNUAL  THERM  SAVINGS</t>
  </si>
  <si>
    <t>TOTAL  ANNUAL  THERM  SAVINGS</t>
  </si>
  <si>
    <t>MEASURE  INCREMENTAL  COST</t>
  </si>
  <si>
    <t>SOCIETAL  NEBS</t>
  </si>
  <si>
    <t>PARTICIPANT  NEBS</t>
  </si>
  <si>
    <t>TOTAL  INCREMENTAL  COST</t>
  </si>
  <si>
    <t>TOTAL  NET  INCREMENTAL  COST  WITH  NEBS</t>
  </si>
  <si>
    <t>MEASURE  LIFE</t>
  </si>
  <si>
    <t>TRC  DISCOUNTED  THERM  SAVINGS</t>
  </si>
  <si>
    <t>UCT  DISCOUNTED  THERM  SAVINGS</t>
  </si>
  <si>
    <t>PROGRAM  DELIVERY  &amp;  ADMIN</t>
  </si>
  <si>
    <t>PROGRAM  REBATE</t>
  </si>
  <si>
    <t>TOTAL  REBATES  COST</t>
  </si>
  <si>
    <t>UTILITY  COST</t>
  </si>
  <si>
    <t>UC  W/DELIVERY  &amp;  ADMIN</t>
  </si>
  <si>
    <t>LOADED  UTILITY  BENEFIT  TO  COST  RATIO</t>
  </si>
  <si>
    <t>TOTAL  RESOURCE  COST</t>
  </si>
  <si>
    <t>TRC  W/DELIVERY  &amp;  ADMIN</t>
  </si>
  <si>
    <t>LOADED  SOCIETAL  BENEFIT  TO  COST  RATIO</t>
  </si>
  <si>
    <t>0.87 UEF Tankless Water Heater</t>
  </si>
  <si>
    <t>Zone 1</t>
  </si>
  <si>
    <t>0.87+ UEF</t>
  </si>
  <si>
    <t>Zone 2</t>
  </si>
  <si>
    <t>Zone 3</t>
  </si>
  <si>
    <t>0.93 UEF Tankless Water Heater</t>
  </si>
  <si>
    <t>0.93+ UEF</t>
  </si>
  <si>
    <t>Built Green Certified Home</t>
  </si>
  <si>
    <t>Certified from one to five stars</t>
  </si>
  <si>
    <t>Bundle A</t>
  </si>
  <si>
    <t>Bundle B</t>
  </si>
  <si>
    <t>Ceiling Tier I</t>
  </si>
  <si>
    <t>Tier 1: Post R-38+</t>
  </si>
  <si>
    <t>Ceiling Tier II</t>
  </si>
  <si>
    <t>Tier 2: Post R-49+</t>
  </si>
  <si>
    <t>Condensing Boiler</t>
  </si>
  <si>
    <t>95+% Annual Fuel Utilization Efficiency (AFUE)</t>
  </si>
  <si>
    <t>Condensing High-Efficiency Natural Gas Tankless Water Heater</t>
  </si>
  <si>
    <t>0.91+ Energy Factor (EF) or Greater</t>
  </si>
  <si>
    <t>Conventional High-Efficiency Natural Gas Water Heater</t>
  </si>
  <si>
    <t>0.67+ Energy Factor (EF) or Greater</t>
  </si>
  <si>
    <t>Duct Insulation</t>
  </si>
  <si>
    <t>Duct Sealing</t>
  </si>
  <si>
    <t>30% or more of supply ducts in unconditioned space</t>
  </si>
  <si>
    <t>Energy Savings Kit 1</t>
  </si>
  <si>
    <t>One Low Flow Showerhead plus Aerators</t>
  </si>
  <si>
    <t>Energy Savings Kit 2</t>
  </si>
  <si>
    <t>Two Low Flow Showerheads plus Aerators</t>
  </si>
  <si>
    <t>ENERGY STAR Certified Homes + U.30 Window Glazing</t>
  </si>
  <si>
    <t>Certified HERS 75</t>
  </si>
  <si>
    <t>Floor Insulation</t>
  </si>
  <si>
    <t>Post R 30+, or to fill cavity</t>
  </si>
  <si>
    <t>High-Efficiency Combination Domestic Hot Water and Hydronic Space Heating System using pre-</t>
  </si>
  <si>
    <t>90+% Annual Fuel Utilization Efficiency (AFUE) Hydronic Space Heating &amp; DHW</t>
  </si>
  <si>
    <t>95+% Annual Fuel Utilization Efficiency (AFUE) Hydronic Space Heating &amp; DHW</t>
  </si>
  <si>
    <t>High-Efficiency Exterior Entry (not sliding) Door</t>
  </si>
  <si>
    <t>U-Factor &lt;0.21, Energy Star Door</t>
  </si>
  <si>
    <t>High-Efficiency Natural Gas Furnace</t>
  </si>
  <si>
    <t>High-Efficiency Natural Gas Hearth (Fireplace)</t>
  </si>
  <si>
    <t>High-Efficiency Natural Gas Fireplace</t>
  </si>
  <si>
    <t>High-Efficiency Natural Gas Hearth (Fireplace) - 70% FE Hearth</t>
  </si>
  <si>
    <t>Programmable Thermostat</t>
  </si>
  <si>
    <t>Programmable</t>
  </si>
  <si>
    <t>Wall Insulation</t>
  </si>
  <si>
    <t>Post R-11+, or to fill cavity</t>
  </si>
  <si>
    <t>Whole House Residential Air Sealing</t>
  </si>
  <si>
    <t>Min. 400 CFM50 reduction</t>
  </si>
  <si>
    <t>Windows</t>
  </si>
  <si>
    <t>TOTAL PROGRAM</t>
  </si>
  <si>
    <t xml:space="preserve"> </t>
  </si>
  <si>
    <t>IRP Discount Rate</t>
  </si>
  <si>
    <t>Inflation Rate</t>
  </si>
  <si>
    <t>Long Term Discount Rate</t>
  </si>
  <si>
    <t>Total Res Program Admin</t>
  </si>
  <si>
    <t>CASCADE NATURAL GAS CORPORATION</t>
  </si>
  <si>
    <t>INTEGRATED RESOURCE PLAN</t>
  </si>
  <si>
    <t>BASECASE - MEDIUM FORECAST - AVERAGE WEATHER</t>
  </si>
  <si>
    <t>45 YEAR RESOURCE SUMMARY COSTS - MELDED COST PER THERM</t>
  </si>
  <si>
    <t>YEAR</t>
  </si>
  <si>
    <t>IRP ANNUAL 
 PORTFOLIO 
 COST PER 
 THERM (PV)*</t>
  </si>
  <si>
    <t>NOMINAL 
 COST 
 PER 
 THERM</t>
  </si>
  <si>
    <t>PV OF 
 RESOURCE 
 PORTFOLIO 
 COST/THERM</t>
  </si>
  <si>
    <t>NON 
 ENERGY 
 BENEFIT</t>
  </si>
  <si>
    <t>PORTFOLIO 
 COSTS  WITH 
 CONSERVATION 
 CREDIT</t>
  </si>
  <si>
    <t>COST- 
 EFFECTIVENESS 
 LIMIT</t>
  </si>
  <si>
    <t>5%</t>
  </si>
  <si>
    <t>7.5%</t>
  </si>
  <si>
    <t>10%</t>
  </si>
  <si>
    <t>12.5%</t>
  </si>
  <si>
    <t>15%</t>
  </si>
  <si>
    <t>17.5%</t>
  </si>
  <si>
    <t>20%</t>
  </si>
  <si>
    <t>Cascade's Long Term Real Discount Rate:</t>
  </si>
  <si>
    <t>IRP Discount Rate :</t>
  </si>
  <si>
    <t>Revised Discount Rate:</t>
  </si>
  <si>
    <t>Years 21-45 Escalation:</t>
  </si>
  <si>
    <t>(EIA Inflation Rate)</t>
  </si>
  <si>
    <t>U Factor 0.27</t>
  </si>
  <si>
    <t>POST TARIFF MEASURES</t>
  </si>
  <si>
    <t>PRE TARIFF MEASURES</t>
  </si>
  <si>
    <t>MESURES INSTALLED</t>
  </si>
  <si>
    <t>Post R  8, prior condition must not exceed R-0</t>
  </si>
  <si>
    <t>*High-Efficiency Combination Domestic Hot Water and Hydronic Space Heating System using pre-</t>
  </si>
  <si>
    <t xml:space="preserve"> *this project was a correction from a 2018 project where part of the project was counted as a boiler and has been updated to count for the combi side of the measure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</si>
</sst>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\$#,##0.00;\$\-#,##0.00"/>
    <numFmt numFmtId="165" formatCode="\$#,##0.00"/>
    <numFmt numFmtId="166" formatCode="\$#,##0.00;\$\(#,##0.00\)\ "/>
    <numFmt numFmtId="167" formatCode="\$#,##0.000"/>
    <numFmt numFmtId="168" formatCode="#,##0.000;\(#,##0.000\)\ "/>
    <numFmt numFmtId="169" formatCode="\$#,##0.000;\$\(#,##0.000\)\ "/>
    <numFmt numFmtId="170" formatCode="\$#,##0.000;\$\(#,##0.000\)"/>
    <numFmt numFmtId="171" formatCode="#,##0.000"/>
    <numFmt numFmtId="172" formatCode="\$#,##0.00;\$\(#,##0.00\)"/>
    <numFmt numFmtId="173" formatCode="#,##0.00%"/>
    <numFmt numFmtId="174" formatCode="\$#,##0.0000;\$\-#,##0.0000"/>
    <numFmt numFmtId="175" formatCode="\$#,##0.##;\$\-#,##0.##"/>
    <numFmt numFmtId="176" formatCode="#,##0.0000"/>
  </numFmts>
  <fonts count="20" x14ac:knownFonts="1">
    <font>
      <sz val="11"/>
      <color theme="1"/>
      <name val="Calibri"/>
      <family val="2"/>
      <scheme val="minor"/>
    </font>
    <font>
      <b/>
      <sz val="15"/>
      <color rgb="FF3634E0"/>
      <name val="Arial"/>
      <family val="2"/>
    </font>
    <font>
      <b/>
      <sz val="21"/>
      <color rgb="FF058FFF"/>
      <name val="Arial"/>
      <family val="2"/>
    </font>
    <font>
      <b/>
      <sz val="17"/>
      <color rgb="FF058FFF"/>
      <name val="Arial"/>
      <family val="2"/>
    </font>
    <font>
      <b/>
      <sz val="23"/>
      <color rgb="FF058FFF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1"/>
      <color rgb="FFFFFFFF"/>
      <name val="Arial"/>
      <family val="2"/>
    </font>
    <font>
      <b/>
      <sz val="10"/>
      <color rgb="FF000000"/>
      <name val="Arial"/>
      <family val="2"/>
    </font>
    <font>
      <b/>
      <sz val="11"/>
      <color rgb="FF3634E0"/>
      <name val="Arial"/>
      <family val="2"/>
    </font>
    <font>
      <b/>
      <sz val="11"/>
      <color rgb="FFA61712"/>
      <name val="Arial"/>
      <family val="2"/>
    </font>
    <font>
      <sz val="11"/>
      <color rgb="FF000000"/>
      <name val="Arial"/>
      <family val="2"/>
    </font>
    <font>
      <b/>
      <sz val="8"/>
      <color rgb="FF000000"/>
      <name val="Arial"/>
      <family val="2"/>
    </font>
    <font>
      <sz val="7.5"/>
      <color rgb="FF000000"/>
      <name val="Arial"/>
      <family val="2"/>
    </font>
    <font>
      <sz val="8"/>
      <color rgb="FF000000"/>
      <name val="Arial"/>
      <family val="2"/>
    </font>
    <font>
      <sz val="8"/>
      <name val="Calibri"/>
      <family val="2"/>
      <scheme val="minor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</fonts>
  <fills count="4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5AA6DB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none"/>
    </fill>
    <fill>
      <patternFill patternType="solid">
        <fgColor rgb="FFE8E6E6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rgb="FFD6D2D2"/>
      </left>
      <right style="medium">
        <color rgb="FFD6D2D2"/>
      </right>
      <top style="medium">
        <color rgb="FFD6D2D2"/>
      </top>
      <bottom style="medium">
        <color rgb="FFD6D2D2"/>
      </bottom>
      <diagonal/>
    </border>
    <border>
      <left style="thick">
        <color rgb="FFD6D2D2"/>
      </left>
      <right style="medium">
        <color rgb="FFD6D2D2"/>
      </right>
      <top/>
      <bottom/>
      <diagonal/>
    </border>
    <border>
      <left style="medium">
        <color rgb="FFD6D2D2"/>
      </left>
      <right style="medium">
        <color rgb="FFD6D2D2"/>
      </right>
      <top/>
      <bottom/>
      <diagonal/>
    </border>
    <border>
      <left/>
      <right/>
      <top/>
      <bottom/>
      <diagonal/>
    </border>
    <border>
      <left style="thin">
        <color rgb="FFC2BABA"/>
      </left>
      <right style="thin">
        <color rgb="FFC2BABA"/>
      </right>
      <top style="thin">
        <color rgb="FFC2BABA"/>
      </top>
      <bottom style="thin">
        <color rgb="FFC2BAB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D6D2D2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5" fillId="5" borderId="2" xfId="0" applyNumberFormat="1" applyFont="1" applyFill="1" applyBorder="1" applyAlignment="1" applyProtection="1">
      <alignment horizontal="center" vertical="center" wrapText="1"/>
    </xf>
    <xf numFmtId="0" fontId="6" fillId="6" borderId="1" xfId="0" applyNumberFormat="1" applyFont="1" applyFill="1" applyBorder="1" applyAlignment="1" applyProtection="1">
      <alignment horizontal="center" vertical="center" wrapText="1"/>
    </xf>
    <xf numFmtId="3" fontId="6" fillId="7" borderId="1" xfId="0" applyNumberFormat="1" applyFont="1" applyFill="1" applyBorder="1" applyAlignment="1" applyProtection="1">
      <alignment horizontal="center" vertical="center" wrapText="1"/>
    </xf>
    <xf numFmtId="164" fontId="6" fillId="8" borderId="1" xfId="0" applyNumberFormat="1" applyFont="1" applyFill="1" applyBorder="1" applyAlignment="1" applyProtection="1">
      <alignment horizontal="center" vertical="center" wrapText="1"/>
    </xf>
    <xf numFmtId="165" fontId="6" fillId="9" borderId="1" xfId="0" applyNumberFormat="1" applyFont="1" applyFill="1" applyBorder="1" applyAlignment="1" applyProtection="1">
      <alignment horizontal="center" vertical="center" wrapText="1"/>
    </xf>
    <xf numFmtId="166" fontId="6" fillId="10" borderId="1" xfId="0" applyNumberFormat="1" applyFont="1" applyFill="1" applyBorder="1" applyAlignment="1" applyProtection="1">
      <alignment horizontal="center" vertical="center" wrapText="1"/>
    </xf>
    <xf numFmtId="4" fontId="6" fillId="11" borderId="1" xfId="0" applyNumberFormat="1" applyFont="1" applyFill="1" applyBorder="1" applyAlignment="1" applyProtection="1">
      <alignment horizontal="center" vertical="center" wrapText="1"/>
    </xf>
    <xf numFmtId="167" fontId="6" fillId="12" borderId="1" xfId="0" applyNumberFormat="1" applyFont="1" applyFill="1" applyBorder="1" applyAlignment="1" applyProtection="1">
      <alignment horizontal="center" vertical="center" wrapText="1"/>
    </xf>
    <xf numFmtId="168" fontId="6" fillId="13" borderId="1" xfId="0" applyNumberFormat="1" applyFont="1" applyFill="1" applyBorder="1" applyAlignment="1" applyProtection="1">
      <alignment horizontal="center" vertical="center" wrapText="1"/>
    </xf>
    <xf numFmtId="169" fontId="6" fillId="14" borderId="1" xfId="0" applyNumberFormat="1" applyFont="1" applyFill="1" applyBorder="1" applyAlignment="1" applyProtection="1">
      <alignment horizontal="center" vertical="center" wrapText="1"/>
    </xf>
    <xf numFmtId="170" fontId="6" fillId="15" borderId="1" xfId="0" applyNumberFormat="1" applyFont="1" applyFill="1" applyBorder="1" applyAlignment="1" applyProtection="1">
      <alignment horizontal="center" vertical="center" wrapText="1"/>
    </xf>
    <xf numFmtId="0" fontId="6" fillId="16" borderId="1" xfId="0" applyNumberFormat="1" applyFont="1" applyFill="1" applyBorder="1" applyAlignment="1" applyProtection="1">
      <alignment horizontal="center" vertical="center" wrapText="1"/>
    </xf>
    <xf numFmtId="3" fontId="6" fillId="17" borderId="1" xfId="0" applyNumberFormat="1" applyFont="1" applyFill="1" applyBorder="1" applyAlignment="1" applyProtection="1">
      <alignment horizontal="center" vertical="center" wrapText="1"/>
    </xf>
    <xf numFmtId="164" fontId="6" fillId="18" borderId="1" xfId="0" applyNumberFormat="1" applyFont="1" applyFill="1" applyBorder="1" applyAlignment="1" applyProtection="1">
      <alignment horizontal="center" vertical="center" wrapText="1"/>
    </xf>
    <xf numFmtId="165" fontId="6" fillId="19" borderId="1" xfId="0" applyNumberFormat="1" applyFont="1" applyFill="1" applyBorder="1" applyAlignment="1" applyProtection="1">
      <alignment horizontal="center" vertical="center" wrapText="1"/>
    </xf>
    <xf numFmtId="166" fontId="6" fillId="20" borderId="1" xfId="0" applyNumberFormat="1" applyFont="1" applyFill="1" applyBorder="1" applyAlignment="1" applyProtection="1">
      <alignment horizontal="center" vertical="center" wrapText="1"/>
    </xf>
    <xf numFmtId="4" fontId="6" fillId="21" borderId="1" xfId="0" applyNumberFormat="1" applyFont="1" applyFill="1" applyBorder="1" applyAlignment="1" applyProtection="1">
      <alignment horizontal="center" vertical="center" wrapText="1"/>
    </xf>
    <xf numFmtId="167" fontId="6" fillId="22" borderId="1" xfId="0" applyNumberFormat="1" applyFont="1" applyFill="1" applyBorder="1" applyAlignment="1" applyProtection="1">
      <alignment horizontal="center" vertical="center" wrapText="1"/>
    </xf>
    <xf numFmtId="168" fontId="6" fillId="23" borderId="1" xfId="0" applyNumberFormat="1" applyFont="1" applyFill="1" applyBorder="1" applyAlignment="1" applyProtection="1">
      <alignment horizontal="center" vertical="center" wrapText="1"/>
    </xf>
    <xf numFmtId="169" fontId="6" fillId="24" borderId="1" xfId="0" applyNumberFormat="1" applyFont="1" applyFill="1" applyBorder="1" applyAlignment="1" applyProtection="1">
      <alignment horizontal="center" vertical="center" wrapText="1"/>
    </xf>
    <xf numFmtId="170" fontId="6" fillId="25" borderId="1" xfId="0" applyNumberFormat="1" applyFont="1" applyFill="1" applyBorder="1" applyAlignment="1" applyProtection="1">
      <alignment horizontal="center" vertical="center" wrapText="1"/>
    </xf>
    <xf numFmtId="171" fontId="6" fillId="26" borderId="1" xfId="0" applyNumberFormat="1" applyFont="1" applyFill="1" applyBorder="1" applyAlignment="1" applyProtection="1">
      <alignment horizontal="center" vertical="center" wrapText="1"/>
    </xf>
    <xf numFmtId="171" fontId="6" fillId="27" borderId="1" xfId="0" applyNumberFormat="1" applyFont="1" applyFill="1" applyBorder="1" applyAlignment="1" applyProtection="1">
      <alignment horizontal="center" vertical="center" wrapText="1"/>
    </xf>
    <xf numFmtId="0" fontId="5" fillId="28" borderId="1" xfId="0" applyNumberFormat="1" applyFont="1" applyFill="1" applyBorder="1" applyAlignment="1" applyProtection="1">
      <alignment horizontal="center" vertical="center" wrapText="1"/>
    </xf>
    <xf numFmtId="0" fontId="7" fillId="29" borderId="3" xfId="0" applyNumberFormat="1" applyFont="1" applyFill="1" applyBorder="1" applyAlignment="1" applyProtection="1">
      <alignment horizontal="center" vertical="center" wrapText="1"/>
    </xf>
    <xf numFmtId="3" fontId="7" fillId="30" borderId="1" xfId="0" applyNumberFormat="1" applyFont="1" applyFill="1" applyBorder="1" applyAlignment="1" applyProtection="1">
      <alignment horizontal="center" vertical="center" wrapText="1"/>
    </xf>
    <xf numFmtId="4" fontId="7" fillId="31" borderId="3" xfId="0" applyNumberFormat="1" applyFont="1" applyFill="1" applyBorder="1" applyAlignment="1" applyProtection="1">
      <alignment horizontal="center" vertical="center" wrapText="1"/>
    </xf>
    <xf numFmtId="4" fontId="5" fillId="32" borderId="1" xfId="0" applyNumberFormat="1" applyFont="1" applyFill="1" applyBorder="1" applyAlignment="1" applyProtection="1">
      <alignment horizontal="center" vertical="center" wrapText="1"/>
    </xf>
    <xf numFmtId="172" fontId="7" fillId="33" borderId="3" xfId="0" applyNumberFormat="1" applyFont="1" applyFill="1" applyBorder="1" applyAlignment="1" applyProtection="1">
      <alignment horizontal="center" vertical="center" wrapText="1"/>
    </xf>
    <xf numFmtId="3" fontId="5" fillId="34" borderId="1" xfId="0" applyNumberFormat="1" applyFont="1" applyFill="1" applyBorder="1" applyAlignment="1" applyProtection="1">
      <alignment horizontal="center" vertical="center" wrapText="1"/>
    </xf>
    <xf numFmtId="172" fontId="5" fillId="35" borderId="1" xfId="0" applyNumberFormat="1" applyFont="1" applyFill="1" applyBorder="1" applyAlignment="1" applyProtection="1">
      <alignment horizontal="center" vertical="center" wrapText="1"/>
    </xf>
    <xf numFmtId="168" fontId="7" fillId="36" borderId="3" xfId="0" applyNumberFormat="1" applyFont="1" applyFill="1" applyBorder="1" applyAlignment="1" applyProtection="1">
      <alignment horizontal="center" vertical="center" wrapText="1"/>
    </xf>
    <xf numFmtId="0" fontId="8" fillId="37" borderId="4" xfId="0" applyNumberFormat="1" applyFont="1" applyFill="1" applyBorder="1" applyAlignment="1" applyProtection="1">
      <alignment horizontal="center" vertical="center" wrapText="1"/>
    </xf>
    <xf numFmtId="0" fontId="0" fillId="38" borderId="0" xfId="0" applyNumberFormat="1" applyFont="1" applyFill="1" applyBorder="1" applyAlignment="1" applyProtection="1">
      <alignment wrapText="1"/>
      <protection locked="0"/>
    </xf>
    <xf numFmtId="0" fontId="9" fillId="39" borderId="1" xfId="0" applyNumberFormat="1" applyFont="1" applyFill="1" applyBorder="1" applyAlignment="1" applyProtection="1">
      <alignment horizontal="center" vertical="center" wrapText="1"/>
    </xf>
    <xf numFmtId="173" fontId="10" fillId="40" borderId="1" xfId="0" applyNumberFormat="1" applyFont="1" applyFill="1" applyBorder="1" applyAlignment="1" applyProtection="1">
      <alignment horizontal="left" vertical="center" wrapText="1"/>
    </xf>
    <xf numFmtId="164" fontId="10" fillId="41" borderId="1" xfId="0" applyNumberFormat="1" applyFont="1" applyFill="1" applyBorder="1" applyAlignment="1" applyProtection="1">
      <alignment horizontal="left" vertical="center" wrapText="1"/>
    </xf>
    <xf numFmtId="0" fontId="11" fillId="42" borderId="4" xfId="0" applyNumberFormat="1" applyFont="1" applyFill="1" applyBorder="1" applyAlignment="1" applyProtection="1">
      <alignment horizontal="left" vertical="center" wrapText="1"/>
    </xf>
    <xf numFmtId="0" fontId="6" fillId="45" borderId="4" xfId="0" applyFont="1" applyFill="1" applyBorder="1" applyAlignment="1">
      <alignment horizontal="center" vertical="center" wrapText="1"/>
    </xf>
    <xf numFmtId="0" fontId="13" fillId="45" borderId="6" xfId="0" applyFont="1" applyFill="1" applyBorder="1" applyAlignment="1">
      <alignment horizontal="center" vertical="center" wrapText="1"/>
    </xf>
    <xf numFmtId="0" fontId="14" fillId="45" borderId="6" xfId="0" applyFont="1" applyFill="1" applyBorder="1" applyAlignment="1">
      <alignment horizontal="center" vertical="center" wrapText="1"/>
    </xf>
    <xf numFmtId="164" fontId="14" fillId="45" borderId="6" xfId="0" applyNumberFormat="1" applyFont="1" applyFill="1" applyBorder="1" applyAlignment="1">
      <alignment horizontal="center" vertical="center" wrapText="1"/>
    </xf>
    <xf numFmtId="174" fontId="14" fillId="45" borderId="6" xfId="0" applyNumberFormat="1" applyFont="1" applyFill="1" applyBorder="1" applyAlignment="1">
      <alignment horizontal="center" vertical="center" wrapText="1"/>
    </xf>
    <xf numFmtId="175" fontId="14" fillId="45" borderId="6" xfId="0" applyNumberFormat="1" applyFont="1" applyFill="1" applyBorder="1" applyAlignment="1">
      <alignment horizontal="center" vertical="center" wrapText="1"/>
    </xf>
    <xf numFmtId="0" fontId="14" fillId="45" borderId="5" xfId="0" applyFont="1" applyFill="1" applyBorder="1" applyAlignment="1">
      <alignment horizontal="center" vertical="center" wrapText="1"/>
    </xf>
    <xf numFmtId="173" fontId="14" fillId="45" borderId="5" xfId="0" applyNumberFormat="1" applyFont="1" applyFill="1" applyBorder="1" applyAlignment="1">
      <alignment horizontal="center" vertical="center" wrapText="1"/>
    </xf>
    <xf numFmtId="176" fontId="6" fillId="7" borderId="1" xfId="0" applyNumberFormat="1" applyFont="1" applyFill="1" applyBorder="1" applyAlignment="1" applyProtection="1">
      <alignment horizontal="center" vertical="center" wrapText="1"/>
    </xf>
    <xf numFmtId="0" fontId="17" fillId="6" borderId="1" xfId="0" applyNumberFormat="1" applyFont="1" applyFill="1" applyBorder="1" applyAlignment="1" applyProtection="1">
      <alignment horizontal="center" vertical="center" wrapText="1"/>
    </xf>
    <xf numFmtId="0" fontId="0" fillId="46" borderId="0" xfId="0" applyFill="1"/>
    <xf numFmtId="0" fontId="6" fillId="47" borderId="1" xfId="0" applyNumberFormat="1" applyFont="1" applyFill="1" applyBorder="1" applyAlignment="1" applyProtection="1">
      <alignment horizontal="center" vertical="center" wrapText="1"/>
    </xf>
    <xf numFmtId="3" fontId="6" fillId="47" borderId="1" xfId="0" applyNumberFormat="1" applyFont="1" applyFill="1" applyBorder="1" applyAlignment="1" applyProtection="1">
      <alignment horizontal="center" vertical="center" wrapText="1"/>
    </xf>
    <xf numFmtId="164" fontId="6" fillId="47" borderId="1" xfId="0" applyNumberFormat="1" applyFont="1" applyFill="1" applyBorder="1" applyAlignment="1" applyProtection="1">
      <alignment horizontal="center" vertical="center" wrapText="1"/>
    </xf>
    <xf numFmtId="165" fontId="6" fillId="47" borderId="1" xfId="0" applyNumberFormat="1" applyFont="1" applyFill="1" applyBorder="1" applyAlignment="1" applyProtection="1">
      <alignment horizontal="center" vertical="center" wrapText="1"/>
    </xf>
    <xf numFmtId="166" fontId="6" fillId="47" borderId="1" xfId="0" applyNumberFormat="1" applyFont="1" applyFill="1" applyBorder="1" applyAlignment="1" applyProtection="1">
      <alignment horizontal="center" vertical="center" wrapText="1"/>
    </xf>
    <xf numFmtId="4" fontId="6" fillId="47" borderId="1" xfId="0" applyNumberFormat="1" applyFont="1" applyFill="1" applyBorder="1" applyAlignment="1" applyProtection="1">
      <alignment horizontal="center" vertical="center" wrapText="1"/>
    </xf>
    <xf numFmtId="167" fontId="6" fillId="47" borderId="1" xfId="0" applyNumberFormat="1" applyFont="1" applyFill="1" applyBorder="1" applyAlignment="1" applyProtection="1">
      <alignment horizontal="center" vertical="center" wrapText="1"/>
    </xf>
    <xf numFmtId="168" fontId="6" fillId="47" borderId="1" xfId="0" applyNumberFormat="1" applyFont="1" applyFill="1" applyBorder="1" applyAlignment="1" applyProtection="1">
      <alignment horizontal="center" vertical="center" wrapText="1"/>
    </xf>
    <xf numFmtId="169" fontId="6" fillId="47" borderId="1" xfId="0" applyNumberFormat="1" applyFont="1" applyFill="1" applyBorder="1" applyAlignment="1" applyProtection="1">
      <alignment horizontal="center" vertical="center" wrapText="1"/>
    </xf>
    <xf numFmtId="170" fontId="6" fillId="47" borderId="1" xfId="0" applyNumberFormat="1" applyFont="1" applyFill="1" applyBorder="1" applyAlignment="1" applyProtection="1">
      <alignment horizontal="center" vertical="center" wrapText="1"/>
    </xf>
    <xf numFmtId="0" fontId="0" fillId="47" borderId="0" xfId="0" applyFill="1"/>
    <xf numFmtId="0" fontId="5" fillId="46" borderId="7" xfId="0" applyNumberFormat="1" applyFont="1" applyFill="1" applyBorder="1" applyAlignment="1" applyProtection="1">
      <alignment horizontal="center" vertical="center" wrapText="1"/>
    </xf>
    <xf numFmtId="0" fontId="16" fillId="46" borderId="7" xfId="0" applyNumberFormat="1" applyFont="1" applyFill="1" applyBorder="1" applyAlignment="1" applyProtection="1">
      <alignment horizontal="center" vertical="center" wrapText="1"/>
    </xf>
    <xf numFmtId="171" fontId="6" fillId="47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center" vertical="center" wrapText="1"/>
    </xf>
    <xf numFmtId="166" fontId="6" fillId="0" borderId="1" xfId="0" applyNumberFormat="1" applyFont="1" applyFill="1" applyBorder="1" applyAlignment="1" applyProtection="1">
      <alignment horizontal="center" vertical="center" wrapText="1"/>
    </xf>
    <xf numFmtId="4" fontId="6" fillId="0" borderId="1" xfId="0" applyNumberFormat="1" applyFont="1" applyFill="1" applyBorder="1" applyAlignment="1" applyProtection="1">
      <alignment horizontal="center" vertical="center" wrapText="1"/>
    </xf>
    <xf numFmtId="167" fontId="6" fillId="0" borderId="1" xfId="0" applyNumberFormat="1" applyFont="1" applyFill="1" applyBorder="1" applyAlignment="1" applyProtection="1">
      <alignment horizontal="center" vertical="center" wrapText="1"/>
    </xf>
    <xf numFmtId="168" fontId="6" fillId="0" borderId="1" xfId="0" applyNumberFormat="1" applyFont="1" applyFill="1" applyBorder="1" applyAlignment="1" applyProtection="1">
      <alignment horizontal="center" vertical="center" wrapText="1"/>
    </xf>
    <xf numFmtId="169" fontId="6" fillId="0" borderId="1" xfId="0" applyNumberFormat="1" applyFont="1" applyFill="1" applyBorder="1" applyAlignment="1" applyProtection="1">
      <alignment horizontal="center" vertical="center" wrapText="1"/>
    </xf>
    <xf numFmtId="170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171" fontId="6" fillId="0" borderId="1" xfId="0" applyNumberFormat="1" applyFont="1" applyFill="1" applyBorder="1" applyAlignment="1" applyProtection="1">
      <alignment horizontal="center" vertical="center" wrapText="1"/>
    </xf>
    <xf numFmtId="0" fontId="6" fillId="46" borderId="1" xfId="0" applyNumberFormat="1" applyFont="1" applyFill="1" applyBorder="1" applyAlignment="1" applyProtection="1">
      <alignment horizontal="center" vertical="center" wrapText="1"/>
    </xf>
    <xf numFmtId="3" fontId="6" fillId="46" borderId="1" xfId="0" applyNumberFormat="1" applyFont="1" applyFill="1" applyBorder="1" applyAlignment="1" applyProtection="1">
      <alignment horizontal="center" vertical="center" wrapText="1"/>
    </xf>
    <xf numFmtId="164" fontId="6" fillId="46" borderId="1" xfId="0" applyNumberFormat="1" applyFont="1" applyFill="1" applyBorder="1" applyAlignment="1" applyProtection="1">
      <alignment horizontal="center" vertical="center" wrapText="1"/>
    </xf>
    <xf numFmtId="165" fontId="6" fillId="46" borderId="1" xfId="0" applyNumberFormat="1" applyFont="1" applyFill="1" applyBorder="1" applyAlignment="1" applyProtection="1">
      <alignment horizontal="center" vertical="center" wrapText="1"/>
    </xf>
    <xf numFmtId="166" fontId="6" fillId="46" borderId="1" xfId="0" applyNumberFormat="1" applyFont="1" applyFill="1" applyBorder="1" applyAlignment="1" applyProtection="1">
      <alignment horizontal="center" vertical="center" wrapText="1"/>
    </xf>
    <xf numFmtId="4" fontId="6" fillId="46" borderId="1" xfId="0" applyNumberFormat="1" applyFont="1" applyFill="1" applyBorder="1" applyAlignment="1" applyProtection="1">
      <alignment horizontal="center" vertical="center" wrapText="1"/>
    </xf>
    <xf numFmtId="167" fontId="6" fillId="46" borderId="1" xfId="0" applyNumberFormat="1" applyFont="1" applyFill="1" applyBorder="1" applyAlignment="1" applyProtection="1">
      <alignment horizontal="center" vertical="center" wrapText="1"/>
    </xf>
    <xf numFmtId="168" fontId="6" fillId="46" borderId="1" xfId="0" applyNumberFormat="1" applyFont="1" applyFill="1" applyBorder="1" applyAlignment="1" applyProtection="1">
      <alignment horizontal="center" vertical="center" wrapText="1"/>
    </xf>
    <xf numFmtId="169" fontId="6" fillId="46" borderId="1" xfId="0" applyNumberFormat="1" applyFont="1" applyFill="1" applyBorder="1" applyAlignment="1" applyProtection="1">
      <alignment horizontal="center" vertical="center" wrapText="1"/>
    </xf>
    <xf numFmtId="170" fontId="6" fillId="46" borderId="1" xfId="0" applyNumberFormat="1" applyFont="1" applyFill="1" applyBorder="1" applyAlignment="1" applyProtection="1">
      <alignment horizontal="center" vertical="center" wrapText="1"/>
    </xf>
    <xf numFmtId="171" fontId="6" fillId="46" borderId="1" xfId="0" applyNumberFormat="1" applyFont="1" applyFill="1" applyBorder="1" applyAlignment="1" applyProtection="1">
      <alignment horizontal="center" vertical="center" wrapText="1"/>
    </xf>
    <xf numFmtId="176" fontId="6" fillId="46" borderId="1" xfId="0" applyNumberFormat="1" applyFont="1" applyFill="1" applyBorder="1" applyAlignment="1" applyProtection="1">
      <alignment horizontal="center" vertical="center" wrapText="1"/>
    </xf>
    <xf numFmtId="176" fontId="6" fillId="47" borderId="1" xfId="0" applyNumberFormat="1" applyFont="1" applyFill="1" applyBorder="1" applyAlignment="1" applyProtection="1">
      <alignment horizontal="center" vertical="center" wrapText="1"/>
    </xf>
    <xf numFmtId="0" fontId="0" fillId="38" borderId="4" xfId="0" applyNumberFormat="1" applyFont="1" applyFill="1" applyBorder="1" applyAlignment="1" applyProtection="1">
      <alignment wrapText="1"/>
      <protection locked="0"/>
    </xf>
    <xf numFmtId="39" fontId="0" fillId="38" borderId="0" xfId="0" applyNumberFormat="1" applyFont="1" applyFill="1" applyBorder="1" applyAlignment="1" applyProtection="1">
      <alignment wrapText="1"/>
      <protection locked="0"/>
    </xf>
    <xf numFmtId="170" fontId="7" fillId="33" borderId="3" xfId="0" applyNumberFormat="1" applyFont="1" applyFill="1" applyBorder="1" applyAlignment="1" applyProtection="1">
      <alignment horizontal="center" vertical="center" wrapText="1"/>
    </xf>
    <xf numFmtId="0" fontId="18" fillId="46" borderId="1" xfId="0" applyNumberFormat="1" applyFont="1" applyFill="1" applyBorder="1" applyAlignment="1" applyProtection="1">
      <alignment horizontal="center" vertical="center" wrapText="1"/>
    </xf>
    <xf numFmtId="0" fontId="19" fillId="42" borderId="4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2" fillId="45" borderId="5" xfId="0" applyFont="1" applyFill="1" applyBorder="1" applyAlignment="1">
      <alignment horizontal="left" vertical="center" wrapText="1"/>
    </xf>
    <xf numFmtId="0" fontId="14" fillId="45" borderId="5" xfId="0" applyFont="1" applyFill="1" applyBorder="1" applyAlignment="1">
      <alignment horizontal="center" vertical="center" wrapText="1"/>
    </xf>
    <xf numFmtId="0" fontId="14" fillId="45" borderId="5" xfId="0" applyFont="1" applyFill="1" applyBorder="1" applyAlignment="1">
      <alignment horizontal="left" vertical="center" wrapText="1"/>
    </xf>
    <xf numFmtId="0" fontId="14" fillId="45" borderId="4" xfId="0" applyFont="1" applyFill="1" applyBorder="1" applyAlignment="1">
      <alignment horizontal="center" vertical="center" wrapText="1"/>
    </xf>
    <xf numFmtId="0" fontId="12" fillId="43" borderId="5" xfId="0" applyNumberFormat="1" applyFont="1" applyFill="1" applyBorder="1" applyAlignment="1" applyProtection="1">
      <alignment horizontal="center" vertical="center" wrapText="1"/>
    </xf>
    <xf numFmtId="0" fontId="6" fillId="44" borderId="5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BP113"/>
  <sheetViews>
    <sheetView tabSelected="1" zoomScaleNormal="100" workbookViewId="0">
      <pane ySplit="4" topLeftCell="A84" activePane="bottomLeft" state="frozen"/>
      <selection pane="bottomLeft" activeCell="E105" sqref="E105"/>
    </sheetView>
  </sheetViews>
  <sheetFormatPr defaultRowHeight="15" x14ac:dyDescent="0.25"/>
  <cols>
    <col min="1" max="1" width="86.7109375" customWidth="1"/>
    <col min="2" max="2" width="20" customWidth="1"/>
    <col min="3" max="3" width="68.28515625" bestFit="1" customWidth="1"/>
    <col min="4" max="4" width="26.7109375" customWidth="1"/>
    <col min="5" max="5" width="35" hidden="1" customWidth="1"/>
    <col min="6" max="6" width="35" customWidth="1"/>
    <col min="7" max="7" width="38.28515625" customWidth="1"/>
    <col min="8" max="9" width="45" customWidth="1"/>
    <col min="10" max="10" width="31.7109375" customWidth="1"/>
    <col min="11" max="11" width="38.28515625" customWidth="1"/>
    <col min="12" max="12" width="40" customWidth="1"/>
    <col min="13" max="13" width="58.28515625" customWidth="1"/>
    <col min="14" max="14" width="28.28515625" customWidth="1"/>
    <col min="15" max="15" width="46.7109375" customWidth="1"/>
    <col min="16" max="16" width="48.28515625" customWidth="1"/>
    <col min="17" max="17" width="43.28515625" customWidth="1"/>
    <col min="18" max="18" width="33.28515625" customWidth="1"/>
    <col min="19" max="19" width="36.7109375" customWidth="1"/>
    <col min="20" max="20" width="26.7109375" customWidth="1"/>
    <col min="21" max="21" width="38.28515625" customWidth="1"/>
    <col min="22" max="22" width="55" customWidth="1"/>
    <col min="23" max="23" width="38.28515625" customWidth="1"/>
    <col min="24" max="24" width="41.7109375" customWidth="1"/>
    <col min="25" max="25" width="61.7109375" customWidth="1"/>
  </cols>
  <sheetData>
    <row r="1" spans="1:25" ht="30" customHeight="1" x14ac:dyDescent="0.25">
      <c r="A1" s="1" t="s">
        <v>0</v>
      </c>
      <c r="B1" s="95" t="s">
        <v>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</row>
    <row r="2" spans="1:25" ht="30" customHeight="1" x14ac:dyDescent="0.25">
      <c r="A2" s="1">
        <v>2019</v>
      </c>
      <c r="B2" s="96" t="s">
        <v>2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</row>
    <row r="3" spans="1:25" ht="25.15" customHeight="1" x14ac:dyDescent="0.2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</row>
    <row r="4" spans="1:25" ht="25.15" customHeight="1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107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15</v>
      </c>
      <c r="O4" s="2" t="s">
        <v>16</v>
      </c>
      <c r="P4" s="2" t="s">
        <v>17</v>
      </c>
      <c r="Q4" s="2" t="s">
        <v>18</v>
      </c>
      <c r="R4" s="2" t="s">
        <v>19</v>
      </c>
      <c r="S4" s="2" t="s">
        <v>20</v>
      </c>
      <c r="T4" s="2" t="s">
        <v>21</v>
      </c>
      <c r="U4" s="2" t="s">
        <v>22</v>
      </c>
      <c r="V4" s="2" t="s">
        <v>23</v>
      </c>
      <c r="W4" s="2" t="s">
        <v>24</v>
      </c>
      <c r="X4" s="2" t="s">
        <v>25</v>
      </c>
      <c r="Y4" s="2" t="s">
        <v>26</v>
      </c>
    </row>
    <row r="5" spans="1:25" s="50" customFormat="1" ht="25.15" customHeight="1" thickBot="1" x14ac:dyDescent="0.3">
      <c r="A5" s="63" t="s">
        <v>106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1:25" s="61" customFormat="1" ht="19.899999999999999" customHeight="1" thickBot="1" x14ac:dyDescent="0.3">
      <c r="A6" s="51" t="s">
        <v>27</v>
      </c>
      <c r="B6" s="51" t="s">
        <v>28</v>
      </c>
      <c r="C6" s="51" t="s">
        <v>29</v>
      </c>
      <c r="D6" s="52">
        <v>18</v>
      </c>
      <c r="E6" s="52">
        <v>18</v>
      </c>
      <c r="F6" s="52">
        <f>E6</f>
        <v>18</v>
      </c>
      <c r="G6" s="52">
        <v>60</v>
      </c>
      <c r="H6" s="52">
        <f t="shared" ref="H6:H20" si="0">IF(ISNUMBER(E6),E6*G6,"")</f>
        <v>1080</v>
      </c>
      <c r="I6" s="53">
        <v>1171</v>
      </c>
      <c r="J6" s="54">
        <f t="shared" ref="J6:J49" si="1">0.5*0.95*$G6+PV($B$111,$N6,-(0.116*$G6))</f>
        <v>113.60762313242893</v>
      </c>
      <c r="K6" s="54">
        <f>0.1*$I6+PV($B$111,$N6,(-0.05*0.95*$G6))+PV($B$111,$N6,-15)</f>
        <v>335.37170587842763</v>
      </c>
      <c r="L6" s="54">
        <f t="shared" ref="L6:L20" si="2">IF(ISNUMBER(I6),I6*E6,"")</f>
        <v>21078</v>
      </c>
      <c r="M6" s="55">
        <f t="shared" ref="M6:M20" si="3">L6-D6*(J6+K6)</f>
        <v>12996.372077804583</v>
      </c>
      <c r="N6" s="52">
        <v>18</v>
      </c>
      <c r="O6" s="52">
        <f t="shared" ref="O6:P25" si="4">PV($B$111,$N6,-$H6)</f>
        <v>13206.355313652764</v>
      </c>
      <c r="P6" s="52">
        <f t="shared" si="4"/>
        <v>13206.355313652764</v>
      </c>
      <c r="Q6" s="56">
        <f t="shared" ref="Q6:Q49" si="5">(H6/$H$107)*$Q$107</f>
        <v>2215.4491161011233</v>
      </c>
      <c r="R6" s="53">
        <v>250</v>
      </c>
      <c r="S6" s="54">
        <f t="shared" ref="S6:S20" si="6">IF(ISNUMBER(R6),R6*E6,"")</f>
        <v>4500</v>
      </c>
      <c r="T6" s="57">
        <f t="shared" ref="T6:T20" si="7">IF(ISERROR(S6/P6),0,S6/P6)</f>
        <v>0.3407450347294449</v>
      </c>
      <c r="U6" s="57">
        <f t="shared" ref="U6:U20" si="8">IF(ISERROR((Q6+S6)/P6),0,(Q6+S6)/P6)</f>
        <v>0.50850132050882157</v>
      </c>
      <c r="V6" s="58">
        <f>IF($S6=0,"-",(VLOOKUP(N6,'APP 2885'!$B$10:$G$54,6)*$H6)/($S6+$Q6))</f>
        <v>1.8531536439107468</v>
      </c>
      <c r="W6" s="59">
        <f t="shared" ref="W6:W20" si="9">IF(ISERROR(RM6/O6),0,M6/O6)</f>
        <v>0.98409983444629112</v>
      </c>
      <c r="X6" s="60">
        <f t="shared" ref="X6:X20" si="10">IF(ISERROR(M6/O6),0,(M6+Q6)/O6)</f>
        <v>1.1518561202256679</v>
      </c>
      <c r="Y6" s="58">
        <f>IF($S6=0,"-",(VLOOKUP(N6,'APP 2885'!$B$10:$G$54,4)*$H6)/($M6+$Q6))</f>
        <v>0.87401985911406033</v>
      </c>
    </row>
    <row r="7" spans="1:25" ht="19.899999999999999" customHeight="1" x14ac:dyDescent="0.25">
      <c r="A7" s="13" t="s">
        <v>27</v>
      </c>
      <c r="B7" s="13" t="s">
        <v>30</v>
      </c>
      <c r="C7" s="13" t="s">
        <v>29</v>
      </c>
      <c r="D7" s="14">
        <v>26</v>
      </c>
      <c r="E7" s="14">
        <v>26</v>
      </c>
      <c r="F7" s="78">
        <f t="shared" ref="F7:F70" si="11">E7</f>
        <v>26</v>
      </c>
      <c r="G7" s="14">
        <v>60</v>
      </c>
      <c r="H7" s="14">
        <f t="shared" si="0"/>
        <v>1560</v>
      </c>
      <c r="I7" s="15">
        <v>1171</v>
      </c>
      <c r="J7" s="16">
        <f t="shared" si="1"/>
        <v>113.60762313242893</v>
      </c>
      <c r="K7" s="16">
        <f>0.1*$I7+PV($B$111,$N7,(-0.05*0.95*$G7))+PV($B$111,$N7,-15)</f>
        <v>335.37170587842763</v>
      </c>
      <c r="L7" s="16">
        <f t="shared" si="2"/>
        <v>30446</v>
      </c>
      <c r="M7" s="17">
        <f t="shared" si="3"/>
        <v>18772.537445717731</v>
      </c>
      <c r="N7" s="14">
        <v>18</v>
      </c>
      <c r="O7" s="14">
        <f t="shared" si="4"/>
        <v>19075.846564165106</v>
      </c>
      <c r="P7" s="14">
        <f t="shared" si="4"/>
        <v>19075.846564165106</v>
      </c>
      <c r="Q7" s="18">
        <f t="shared" si="5"/>
        <v>3200.0931677016224</v>
      </c>
      <c r="R7" s="15">
        <v>250</v>
      </c>
      <c r="S7" s="16">
        <f t="shared" si="6"/>
        <v>6500</v>
      </c>
      <c r="T7" s="19">
        <f t="shared" si="7"/>
        <v>0.34074503472944484</v>
      </c>
      <c r="U7" s="19">
        <f t="shared" si="8"/>
        <v>0.50850132050882157</v>
      </c>
      <c r="V7" s="20">
        <f>IF($S7=0,"-",(VLOOKUP(N7,'APP 2885'!$B$10:$G$54,6)*$H7)/($S7+$Q7))</f>
        <v>1.8531536439107468</v>
      </c>
      <c r="W7" s="21">
        <f t="shared" si="9"/>
        <v>0.98409983444629112</v>
      </c>
      <c r="X7" s="22">
        <f t="shared" si="10"/>
        <v>1.1518561202256679</v>
      </c>
      <c r="Y7" s="20">
        <f>IF($S7=0,"-",(VLOOKUP(N7,'APP 2885'!$B$10:$G$54,4)*$H7)/($M7+$Q7))</f>
        <v>0.87401985911406022</v>
      </c>
    </row>
    <row r="8" spans="1:25" ht="19.899999999999999" customHeight="1" thickBot="1" x14ac:dyDescent="0.3">
      <c r="A8" s="3" t="s">
        <v>27</v>
      </c>
      <c r="B8" s="3" t="s">
        <v>31</v>
      </c>
      <c r="C8" s="3" t="s">
        <v>29</v>
      </c>
      <c r="D8" s="4">
        <v>1</v>
      </c>
      <c r="E8" s="4">
        <v>1</v>
      </c>
      <c r="F8" s="52">
        <f t="shared" si="11"/>
        <v>1</v>
      </c>
      <c r="G8" s="4">
        <v>59</v>
      </c>
      <c r="H8" s="4">
        <f t="shared" si="0"/>
        <v>59</v>
      </c>
      <c r="I8" s="5">
        <v>1171</v>
      </c>
      <c r="J8" s="6">
        <f t="shared" si="1"/>
        <v>111.71416274688846</v>
      </c>
      <c r="K8" s="6">
        <f>0.1*$I8+PV($B$111,$N8,(-0.05*0.95*$G8))+PV($B$111,$N8,-15)</f>
        <v>334.79087080676237</v>
      </c>
      <c r="L8" s="6">
        <f t="shared" si="2"/>
        <v>1171</v>
      </c>
      <c r="M8" s="7">
        <f t="shared" si="3"/>
        <v>724.49496644634917</v>
      </c>
      <c r="N8" s="4">
        <v>18</v>
      </c>
      <c r="O8" s="4">
        <f t="shared" si="4"/>
        <v>721.45829954214184</v>
      </c>
      <c r="P8" s="4">
        <f t="shared" si="4"/>
        <v>721.45829954214184</v>
      </c>
      <c r="Q8" s="8">
        <f t="shared" si="5"/>
        <v>121.02916467589471</v>
      </c>
      <c r="R8" s="5">
        <v>250</v>
      </c>
      <c r="S8" s="6">
        <f t="shared" si="6"/>
        <v>250</v>
      </c>
      <c r="T8" s="9">
        <f t="shared" si="7"/>
        <v>0.34652037430113031</v>
      </c>
      <c r="U8" s="9">
        <f t="shared" si="8"/>
        <v>0.5142766600805071</v>
      </c>
      <c r="V8" s="10">
        <f>IF($S8=0,"-",(VLOOKUP(N8,'APP 2885'!$B$10:$G$54,6)*$H8)/($S8+$Q8))</f>
        <v>1.8323426828019622</v>
      </c>
      <c r="W8" s="11">
        <f t="shared" si="9"/>
        <v>1.0042090678090951</v>
      </c>
      <c r="X8" s="12">
        <f t="shared" si="10"/>
        <v>1.1719653535884718</v>
      </c>
      <c r="Y8" s="10">
        <f>IF($S8=0,"-",(VLOOKUP(N8,'APP 2885'!$B$10:$G$54,4)*$H8)/($M8+$Q8))</f>
        <v>0.85902294025734338</v>
      </c>
    </row>
    <row r="9" spans="1:25" s="50" customFormat="1" ht="19.899999999999999" customHeight="1" thickBot="1" x14ac:dyDescent="0.3">
      <c r="A9" s="77" t="s">
        <v>34</v>
      </c>
      <c r="B9" s="77" t="s">
        <v>31</v>
      </c>
      <c r="C9" s="77" t="s">
        <v>35</v>
      </c>
      <c r="D9" s="78">
        <v>93</v>
      </c>
      <c r="E9" s="78">
        <v>93</v>
      </c>
      <c r="F9" s="78">
        <f t="shared" si="11"/>
        <v>93</v>
      </c>
      <c r="G9" s="78">
        <v>210</v>
      </c>
      <c r="H9" s="78">
        <f t="shared" si="0"/>
        <v>19530</v>
      </c>
      <c r="I9" s="79">
        <v>1142</v>
      </c>
      <c r="J9" s="80">
        <f t="shared" si="1"/>
        <v>499.83595895766246</v>
      </c>
      <c r="K9" s="80">
        <f>0.1*$I9+PV($B$111,$N9,(-0.05*0.95*$G9))+PV($B$111,$N9,-15)</f>
        <v>524.38665127124875</v>
      </c>
      <c r="L9" s="80">
        <f t="shared" si="2"/>
        <v>106206</v>
      </c>
      <c r="M9" s="81">
        <f t="shared" si="3"/>
        <v>10953.297248711257</v>
      </c>
      <c r="N9" s="78">
        <v>30</v>
      </c>
      <c r="O9" s="78">
        <f t="shared" si="4"/>
        <v>320758.57054364315</v>
      </c>
      <c r="P9" s="78">
        <f t="shared" si="4"/>
        <v>320758.57054364315</v>
      </c>
      <c r="Q9" s="82">
        <f t="shared" si="5"/>
        <v>40062.704849495312</v>
      </c>
      <c r="R9" s="79">
        <v>2000</v>
      </c>
      <c r="S9" s="80">
        <f t="shared" si="6"/>
        <v>186000</v>
      </c>
      <c r="T9" s="83">
        <f t="shared" si="7"/>
        <v>0.57987538629055091</v>
      </c>
      <c r="U9" s="83">
        <f t="shared" si="8"/>
        <v>0.70477525968004251</v>
      </c>
      <c r="V9" s="84">
        <f>IF($S9=0,"-",(VLOOKUP(N9,'APP 2885'!$B$10:$G$54,6)*$H9)/($S9+$Q9))</f>
        <v>1.9057612223280758</v>
      </c>
      <c r="W9" s="85">
        <f t="shared" si="9"/>
        <v>3.4148104694901447E-2</v>
      </c>
      <c r="X9" s="86">
        <f t="shared" si="10"/>
        <v>0.15904797808439297</v>
      </c>
      <c r="Y9" s="84">
        <f>IF($S9=0,"-",(VLOOKUP(N9,'APP 2885'!$B$10:$G$54,4)*$H9)/($M9+$Q9))</f>
        <v>8.8476078462760146</v>
      </c>
    </row>
    <row r="10" spans="1:25" s="61" customFormat="1" ht="19.899999999999999" customHeight="1" thickBot="1" x14ac:dyDescent="0.3">
      <c r="A10" s="51" t="s">
        <v>38</v>
      </c>
      <c r="B10" s="51" t="s">
        <v>28</v>
      </c>
      <c r="C10" s="51" t="s">
        <v>39</v>
      </c>
      <c r="D10" s="52">
        <v>9</v>
      </c>
      <c r="E10" s="52">
        <v>8918</v>
      </c>
      <c r="F10" s="52">
        <f>D10</f>
        <v>9</v>
      </c>
      <c r="G10" s="64">
        <v>6.2E-2</v>
      </c>
      <c r="H10" s="56">
        <f t="shared" si="0"/>
        <v>552.91599999999994</v>
      </c>
      <c r="I10" s="53">
        <v>0.67</v>
      </c>
      <c r="J10" s="54">
        <f t="shared" si="1"/>
        <v>0.16871376923300799</v>
      </c>
      <c r="K10" s="54">
        <f t="shared" ref="K10:K15" si="12">0.1*$I10+PV($B$111,$N10,(-0.05*0.95*$G10))</f>
        <v>0.12402611240144723</v>
      </c>
      <c r="L10" s="54">
        <f t="shared" si="2"/>
        <v>5975.06</v>
      </c>
      <c r="M10" s="55">
        <f t="shared" si="3"/>
        <v>5972.42534106529</v>
      </c>
      <c r="N10" s="52">
        <v>45</v>
      </c>
      <c r="O10" s="52">
        <f t="shared" si="4"/>
        <v>10706.502534654868</v>
      </c>
      <c r="P10" s="52">
        <f t="shared" si="4"/>
        <v>10706.502534654868</v>
      </c>
      <c r="Q10" s="56">
        <f t="shared" si="5"/>
        <v>1134.2196884057116</v>
      </c>
      <c r="R10" s="53">
        <v>0.75</v>
      </c>
      <c r="S10" s="54">
        <f t="shared" si="6"/>
        <v>6688.5</v>
      </c>
      <c r="T10" s="57">
        <f t="shared" si="7"/>
        <v>0.62471381091543432</v>
      </c>
      <c r="U10" s="57">
        <f t="shared" si="8"/>
        <v>0.73065127132647556</v>
      </c>
      <c r="V10" s="58">
        <f>IF($S10=0,"-",(VLOOKUP(N10,'APP 2885'!$B$10:$G$54,6)*$H10)/($S10+$Q10))</f>
        <v>2.6275288584747813</v>
      </c>
      <c r="W10" s="59">
        <f t="shared" si="9"/>
        <v>0.55783159082377365</v>
      </c>
      <c r="X10" s="60">
        <f t="shared" si="10"/>
        <v>0.66376905123481478</v>
      </c>
      <c r="Y10" s="58">
        <f>IF($S10=0,"-",(VLOOKUP(N10,'APP 2885'!$B$10:$G$54,4)*$H10)/($M10+$Q10))</f>
        <v>3.1720035558091317</v>
      </c>
    </row>
    <row r="11" spans="1:25" s="50" customFormat="1" ht="19.899999999999999" customHeight="1" thickBot="1" x14ac:dyDescent="0.3">
      <c r="A11" s="77" t="s">
        <v>38</v>
      </c>
      <c r="B11" s="77" t="s">
        <v>30</v>
      </c>
      <c r="C11" s="77" t="s">
        <v>39</v>
      </c>
      <c r="D11" s="78">
        <v>1</v>
      </c>
      <c r="E11" s="78">
        <v>1100</v>
      </c>
      <c r="F11" s="78">
        <f t="shared" ref="F11:F15" si="13">D11</f>
        <v>1</v>
      </c>
      <c r="G11" s="87">
        <v>5.7000000000000002E-2</v>
      </c>
      <c r="H11" s="82">
        <f t="shared" si="0"/>
        <v>62.7</v>
      </c>
      <c r="I11" s="79">
        <v>0.67</v>
      </c>
      <c r="J11" s="80">
        <f t="shared" si="1"/>
        <v>0.15510782010131377</v>
      </c>
      <c r="K11" s="80">
        <f t="shared" si="12"/>
        <v>0.11942723236907246</v>
      </c>
      <c r="L11" s="80">
        <f t="shared" si="2"/>
        <v>737</v>
      </c>
      <c r="M11" s="81">
        <f t="shared" si="3"/>
        <v>736.72546494752964</v>
      </c>
      <c r="N11" s="78">
        <v>45</v>
      </c>
      <c r="O11" s="78">
        <f t="shared" si="4"/>
        <v>1214.1043285469409</v>
      </c>
      <c r="P11" s="78">
        <f t="shared" si="4"/>
        <v>1214.1043285469409</v>
      </c>
      <c r="Q11" s="82">
        <f t="shared" si="5"/>
        <v>128.61912924031523</v>
      </c>
      <c r="R11" s="79">
        <v>0.75</v>
      </c>
      <c r="S11" s="80">
        <f t="shared" si="6"/>
        <v>825</v>
      </c>
      <c r="T11" s="83">
        <f t="shared" si="7"/>
        <v>0.67951326801327938</v>
      </c>
      <c r="U11" s="83">
        <f t="shared" si="8"/>
        <v>0.78545072842432051</v>
      </c>
      <c r="V11" s="84">
        <f>IF($S11=0,"-",(VLOOKUP(N11,'APP 2885'!$B$10:$G$54,6)*$H11)/($S11+$Q11))</f>
        <v>2.4442109879290519</v>
      </c>
      <c r="W11" s="85">
        <f t="shared" si="9"/>
        <v>0.60680573129102855</v>
      </c>
      <c r="X11" s="86">
        <f t="shared" si="10"/>
        <v>0.71274319170206968</v>
      </c>
      <c r="Y11" s="84">
        <f>IF($S11=0,"-",(VLOOKUP(N11,'APP 2885'!$B$10:$G$54,4)*$H11)/($M11+$Q11))</f>
        <v>2.9540482676865558</v>
      </c>
    </row>
    <row r="12" spans="1:25" s="61" customFormat="1" ht="19.899999999999999" customHeight="1" thickBot="1" x14ac:dyDescent="0.3">
      <c r="A12" s="51" t="s">
        <v>38</v>
      </c>
      <c r="B12" s="51" t="s">
        <v>31</v>
      </c>
      <c r="C12" s="51" t="s">
        <v>39</v>
      </c>
      <c r="D12" s="52">
        <v>5</v>
      </c>
      <c r="E12" s="52">
        <v>5269</v>
      </c>
      <c r="F12" s="52">
        <f t="shared" si="13"/>
        <v>5</v>
      </c>
      <c r="G12" s="64">
        <v>6.7000000000000004E-2</v>
      </c>
      <c r="H12" s="56">
        <f t="shared" si="0"/>
        <v>353.02300000000002</v>
      </c>
      <c r="I12" s="53">
        <v>0.67</v>
      </c>
      <c r="J12" s="54">
        <f t="shared" si="1"/>
        <v>0.18231971836470218</v>
      </c>
      <c r="K12" s="54">
        <f t="shared" si="12"/>
        <v>0.128624992433822</v>
      </c>
      <c r="L12" s="54">
        <f t="shared" si="2"/>
        <v>3530.23</v>
      </c>
      <c r="M12" s="55">
        <f t="shared" si="3"/>
        <v>3528.6752764460075</v>
      </c>
      <c r="N12" s="52">
        <v>45</v>
      </c>
      <c r="O12" s="52">
        <f t="shared" si="4"/>
        <v>6835.8333712380663</v>
      </c>
      <c r="P12" s="52">
        <f t="shared" si="4"/>
        <v>6835.8333712380663</v>
      </c>
      <c r="Q12" s="56">
        <f t="shared" si="5"/>
        <v>724.17082714200637</v>
      </c>
      <c r="R12" s="53">
        <v>0.75</v>
      </c>
      <c r="S12" s="54">
        <f t="shared" si="6"/>
        <v>3951.75</v>
      </c>
      <c r="T12" s="57">
        <f t="shared" si="7"/>
        <v>0.57809337726502863</v>
      </c>
      <c r="U12" s="57">
        <f t="shared" si="8"/>
        <v>0.68403083767606976</v>
      </c>
      <c r="V12" s="58">
        <f>IF($S12=0,"-",(VLOOKUP(N12,'APP 2885'!$B$10:$G$54,6)*$H12)/($S12+$Q12))</f>
        <v>2.8066092859409175</v>
      </c>
      <c r="W12" s="59">
        <f t="shared" si="9"/>
        <v>0.51620264638002933</v>
      </c>
      <c r="X12" s="60">
        <f t="shared" si="10"/>
        <v>0.62214010679107046</v>
      </c>
      <c r="Y12" s="58">
        <f>IF($S12=0,"-",(VLOOKUP(N12,'APP 2885'!$B$10:$G$54,4)*$H12)/($M12+$Q12))</f>
        <v>3.3842502159404355</v>
      </c>
    </row>
    <row r="13" spans="1:25" s="50" customFormat="1" ht="19.899999999999999" customHeight="1" thickBot="1" x14ac:dyDescent="0.3">
      <c r="A13" s="77" t="s">
        <v>40</v>
      </c>
      <c r="B13" s="77" t="s">
        <v>28</v>
      </c>
      <c r="C13" s="77" t="s">
        <v>41</v>
      </c>
      <c r="D13" s="78">
        <v>89</v>
      </c>
      <c r="E13" s="78">
        <v>100284</v>
      </c>
      <c r="F13" s="78">
        <f t="shared" si="13"/>
        <v>89</v>
      </c>
      <c r="G13" s="87">
        <v>7.3999999999999996E-2</v>
      </c>
      <c r="H13" s="82">
        <f t="shared" si="0"/>
        <v>7421.0159999999996</v>
      </c>
      <c r="I13" s="79">
        <v>0.67</v>
      </c>
      <c r="J13" s="80">
        <f t="shared" si="1"/>
        <v>0.201368047149074</v>
      </c>
      <c r="K13" s="80">
        <f t="shared" si="12"/>
        <v>0.13506342447914671</v>
      </c>
      <c r="L13" s="80">
        <f t="shared" si="2"/>
        <v>67190.28</v>
      </c>
      <c r="M13" s="81">
        <f t="shared" si="3"/>
        <v>67160.337599025093</v>
      </c>
      <c r="N13" s="78">
        <v>45</v>
      </c>
      <c r="O13" s="78">
        <f t="shared" si="4"/>
        <v>143698.3675887736</v>
      </c>
      <c r="P13" s="78">
        <f t="shared" si="4"/>
        <v>143698.3675887736</v>
      </c>
      <c r="Q13" s="82">
        <f t="shared" si="5"/>
        <v>15223.040127566939</v>
      </c>
      <c r="R13" s="79">
        <v>1</v>
      </c>
      <c r="S13" s="80">
        <f t="shared" si="6"/>
        <v>100284</v>
      </c>
      <c r="T13" s="83">
        <f t="shared" si="7"/>
        <v>0.69787849147309766</v>
      </c>
      <c r="U13" s="83">
        <f t="shared" si="8"/>
        <v>0.8038159518841389</v>
      </c>
      <c r="V13" s="84">
        <f>IF($S13=0,"-",(VLOOKUP(N13,'APP 2885'!$B$10:$G$54,6)*$H13)/($S13+$Q13))</f>
        <v>2.3883667603157002</v>
      </c>
      <c r="W13" s="85">
        <f t="shared" si="9"/>
        <v>0.46737021948098995</v>
      </c>
      <c r="X13" s="86">
        <f t="shared" si="10"/>
        <v>0.57330767989203113</v>
      </c>
      <c r="Y13" s="84">
        <f>IF($S13=0,"-",(VLOOKUP(N13,'APP 2885'!$B$10:$G$54,4)*$H13)/($M13+$Q13))</f>
        <v>3.6725093080026467</v>
      </c>
    </row>
    <row r="14" spans="1:25" s="61" customFormat="1" ht="19.899999999999999" customHeight="1" thickBot="1" x14ac:dyDescent="0.3">
      <c r="A14" s="51" t="s">
        <v>40</v>
      </c>
      <c r="B14" s="51" t="s">
        <v>30</v>
      </c>
      <c r="C14" s="51" t="s">
        <v>41</v>
      </c>
      <c r="D14" s="52">
        <v>14</v>
      </c>
      <c r="E14" s="52">
        <v>18093</v>
      </c>
      <c r="F14" s="52">
        <f t="shared" si="13"/>
        <v>14</v>
      </c>
      <c r="G14" s="64">
        <v>6.8000000000000005E-2</v>
      </c>
      <c r="H14" s="56">
        <f t="shared" si="0"/>
        <v>1230.3240000000001</v>
      </c>
      <c r="I14" s="53">
        <v>0.67</v>
      </c>
      <c r="J14" s="54">
        <f t="shared" si="1"/>
        <v>0.18504090819104099</v>
      </c>
      <c r="K14" s="54">
        <f t="shared" si="12"/>
        <v>0.12954476844029697</v>
      </c>
      <c r="L14" s="54">
        <f t="shared" si="2"/>
        <v>12122.310000000001</v>
      </c>
      <c r="M14" s="55">
        <f t="shared" si="3"/>
        <v>12117.905800527162</v>
      </c>
      <c r="N14" s="52">
        <v>45</v>
      </c>
      <c r="O14" s="52">
        <f t="shared" si="4"/>
        <v>23823.631481900902</v>
      </c>
      <c r="P14" s="52">
        <f t="shared" si="4"/>
        <v>23823.631481900902</v>
      </c>
      <c r="Q14" s="56">
        <f t="shared" si="5"/>
        <v>2523.8150169611099</v>
      </c>
      <c r="R14" s="53">
        <v>1</v>
      </c>
      <c r="S14" s="54">
        <f t="shared" si="6"/>
        <v>18093</v>
      </c>
      <c r="T14" s="57">
        <f t="shared" si="7"/>
        <v>0.7594560054266063</v>
      </c>
      <c r="U14" s="57">
        <f t="shared" si="8"/>
        <v>0.86539346583764742</v>
      </c>
      <c r="V14" s="58">
        <f>IF($S14=0,"-",(VLOOKUP(N14,'APP 2885'!$B$10:$G$54,6)*$H14)/($S14+$Q14))</f>
        <v>2.218421303924853</v>
      </c>
      <c r="W14" s="59">
        <f t="shared" si="9"/>
        <v>0.50865065679568122</v>
      </c>
      <c r="X14" s="60">
        <f t="shared" si="10"/>
        <v>0.61458811720672235</v>
      </c>
      <c r="Y14" s="58">
        <f>IF($S14=0,"-",(VLOOKUP(N14,'APP 2885'!$B$10:$G$54,4)*$H14)/($M14+$Q14))</f>
        <v>3.4258355015423918</v>
      </c>
    </row>
    <row r="15" spans="1:25" s="50" customFormat="1" ht="19.899999999999999" customHeight="1" thickBot="1" x14ac:dyDescent="0.3">
      <c r="A15" s="77" t="s">
        <v>40</v>
      </c>
      <c r="B15" s="77" t="s">
        <v>31</v>
      </c>
      <c r="C15" s="77" t="s">
        <v>41</v>
      </c>
      <c r="D15" s="78">
        <v>49</v>
      </c>
      <c r="E15" s="78">
        <v>70172</v>
      </c>
      <c r="F15" s="78">
        <f t="shared" si="13"/>
        <v>49</v>
      </c>
      <c r="G15" s="87">
        <v>0.08</v>
      </c>
      <c r="H15" s="82">
        <f t="shared" si="0"/>
        <v>5613.76</v>
      </c>
      <c r="I15" s="79">
        <v>0.67</v>
      </c>
      <c r="J15" s="80">
        <f t="shared" si="1"/>
        <v>0.21769518610710706</v>
      </c>
      <c r="K15" s="80">
        <f t="shared" si="12"/>
        <v>0.14058208051799642</v>
      </c>
      <c r="L15" s="80">
        <f t="shared" si="2"/>
        <v>47015.240000000005</v>
      </c>
      <c r="M15" s="81">
        <f t="shared" si="3"/>
        <v>46997.684413935378</v>
      </c>
      <c r="N15" s="78">
        <v>45</v>
      </c>
      <c r="O15" s="78">
        <f t="shared" si="4"/>
        <v>108703.19482334409</v>
      </c>
      <c r="P15" s="78">
        <f t="shared" si="4"/>
        <v>108703.19482334409</v>
      </c>
      <c r="Q15" s="82">
        <f t="shared" si="5"/>
        <v>11515.740398151707</v>
      </c>
      <c r="R15" s="79">
        <v>1</v>
      </c>
      <c r="S15" s="80">
        <f t="shared" si="6"/>
        <v>70172</v>
      </c>
      <c r="T15" s="83">
        <f t="shared" si="7"/>
        <v>0.64553760461261545</v>
      </c>
      <c r="U15" s="83">
        <f t="shared" si="8"/>
        <v>0.75147506502365657</v>
      </c>
      <c r="V15" s="84">
        <f>IF($S15=0,"-",(VLOOKUP(N15,'APP 2885'!$B$10:$G$54,6)*$H15)/($S15+$Q15))</f>
        <v>2.5547185665184595</v>
      </c>
      <c r="W15" s="85">
        <f t="shared" si="9"/>
        <v>0.43234869490553918</v>
      </c>
      <c r="X15" s="86">
        <f t="shared" si="10"/>
        <v>0.53828615531658031</v>
      </c>
      <c r="Y15" s="84">
        <f>IF($S15=0,"-",(VLOOKUP(N15,'APP 2885'!$B$10:$G$54,4)*$H15)/($M15+$Q15))</f>
        <v>3.9114470434681698</v>
      </c>
    </row>
    <row r="16" spans="1:25" s="61" customFormat="1" ht="19.899999999999999" customHeight="1" thickBot="1" x14ac:dyDescent="0.3">
      <c r="A16" s="51" t="s">
        <v>42</v>
      </c>
      <c r="B16" s="51" t="s">
        <v>28</v>
      </c>
      <c r="C16" s="51" t="s">
        <v>43</v>
      </c>
      <c r="D16" s="52">
        <v>1</v>
      </c>
      <c r="E16" s="52">
        <v>1</v>
      </c>
      <c r="F16" s="52">
        <f t="shared" si="11"/>
        <v>1</v>
      </c>
      <c r="G16" s="52">
        <v>106</v>
      </c>
      <c r="H16" s="52">
        <f t="shared" si="0"/>
        <v>106</v>
      </c>
      <c r="I16" s="53">
        <v>1747</v>
      </c>
      <c r="J16" s="54">
        <f t="shared" si="1"/>
        <v>288.44612159191684</v>
      </c>
      <c r="K16" s="54">
        <f t="shared" ref="K16:K35" si="14">0.1*$I16+PV($B$111,$N16,(-0.05*0.95*$G16))+PV($B$111,$N16,-15)</f>
        <v>562.65183767843644</v>
      </c>
      <c r="L16" s="54">
        <f t="shared" si="2"/>
        <v>1747</v>
      </c>
      <c r="M16" s="55">
        <f t="shared" si="3"/>
        <v>895.90204072964673</v>
      </c>
      <c r="N16" s="52">
        <v>45</v>
      </c>
      <c r="O16" s="52">
        <f t="shared" si="4"/>
        <v>2052.5527723441105</v>
      </c>
      <c r="P16" s="52">
        <f t="shared" si="4"/>
        <v>2052.5527723441105</v>
      </c>
      <c r="Q16" s="56">
        <f t="shared" si="5"/>
        <v>217.44222806177694</v>
      </c>
      <c r="R16" s="53">
        <v>500</v>
      </c>
      <c r="S16" s="54">
        <f t="shared" si="6"/>
        <v>500</v>
      </c>
      <c r="T16" s="57">
        <f t="shared" si="7"/>
        <v>0.24359909608023222</v>
      </c>
      <c r="U16" s="57">
        <f t="shared" si="8"/>
        <v>0.34953655649127335</v>
      </c>
      <c r="V16" s="58">
        <f>IF($S16=0,"-",(VLOOKUP(N16,'APP 2885'!$B$10:$G$54,6)*$H16)/($S16+$Q16))</f>
        <v>5.4924363853757088</v>
      </c>
      <c r="W16" s="59">
        <f t="shared" si="9"/>
        <v>0.43648185459635469</v>
      </c>
      <c r="X16" s="60">
        <f t="shared" si="10"/>
        <v>0.54241931500739582</v>
      </c>
      <c r="Y16" s="58">
        <f>IF($S16=0,"-",(VLOOKUP(N16,'APP 2885'!$B$10:$G$54,4)*$H16)/($M16+$Q16))</f>
        <v>3.8816423613605613</v>
      </c>
    </row>
    <row r="17" spans="1:25" s="50" customFormat="1" ht="19.899999999999999" customHeight="1" thickBot="1" x14ac:dyDescent="0.3">
      <c r="A17" s="77" t="s">
        <v>42</v>
      </c>
      <c r="B17" s="77" t="s">
        <v>30</v>
      </c>
      <c r="C17" s="77" t="s">
        <v>43</v>
      </c>
      <c r="D17" s="78">
        <v>1</v>
      </c>
      <c r="E17" s="78">
        <v>1</v>
      </c>
      <c r="F17" s="78">
        <f t="shared" si="11"/>
        <v>1</v>
      </c>
      <c r="G17" s="78">
        <v>102</v>
      </c>
      <c r="H17" s="78">
        <f t="shared" si="0"/>
        <v>102</v>
      </c>
      <c r="I17" s="79">
        <v>1747</v>
      </c>
      <c r="J17" s="80">
        <f t="shared" si="1"/>
        <v>277.56136228656152</v>
      </c>
      <c r="K17" s="80">
        <f t="shared" si="14"/>
        <v>558.97273365253659</v>
      </c>
      <c r="L17" s="80">
        <f t="shared" si="2"/>
        <v>1747</v>
      </c>
      <c r="M17" s="81">
        <f t="shared" si="3"/>
        <v>910.46590406090195</v>
      </c>
      <c r="N17" s="78">
        <v>45</v>
      </c>
      <c r="O17" s="78">
        <f t="shared" si="4"/>
        <v>1975.0979507462198</v>
      </c>
      <c r="P17" s="78">
        <f t="shared" si="4"/>
        <v>1975.0979507462198</v>
      </c>
      <c r="Q17" s="82">
        <f t="shared" si="5"/>
        <v>209.2368609651061</v>
      </c>
      <c r="R17" s="79">
        <v>500</v>
      </c>
      <c r="S17" s="80">
        <f t="shared" si="6"/>
        <v>500</v>
      </c>
      <c r="T17" s="83">
        <f t="shared" si="7"/>
        <v>0.25315200180886877</v>
      </c>
      <c r="U17" s="83">
        <f t="shared" si="8"/>
        <v>0.35908946221990984</v>
      </c>
      <c r="V17" s="84">
        <f>IF($S17=0,"-",(VLOOKUP(N17,'APP 2885'!$B$10:$G$54,6)*$H17)/($S17+$Q17))</f>
        <v>5.3463203543296771</v>
      </c>
      <c r="W17" s="85">
        <f t="shared" si="9"/>
        <v>0.46097253238347757</v>
      </c>
      <c r="X17" s="86">
        <f t="shared" si="10"/>
        <v>0.5669099927945187</v>
      </c>
      <c r="Y17" s="84">
        <f>IF($S17=0,"-",(VLOOKUP(N17,'APP 2885'!$B$10:$G$54,4)*$H17)/($M17+$Q17))</f>
        <v>3.713954274071217</v>
      </c>
    </row>
    <row r="18" spans="1:25" s="61" customFormat="1" ht="19.899999999999999" customHeight="1" thickBot="1" x14ac:dyDescent="0.3">
      <c r="A18" s="51" t="s">
        <v>42</v>
      </c>
      <c r="B18" s="51" t="s">
        <v>31</v>
      </c>
      <c r="C18" s="51" t="s">
        <v>43</v>
      </c>
      <c r="D18" s="52">
        <v>1</v>
      </c>
      <c r="E18" s="52">
        <v>1</v>
      </c>
      <c r="F18" s="52">
        <f t="shared" si="11"/>
        <v>1</v>
      </c>
      <c r="G18" s="52">
        <v>106</v>
      </c>
      <c r="H18" s="52">
        <f t="shared" si="0"/>
        <v>106</v>
      </c>
      <c r="I18" s="53">
        <v>1747</v>
      </c>
      <c r="J18" s="54">
        <f t="shared" si="1"/>
        <v>288.44612159191684</v>
      </c>
      <c r="K18" s="54">
        <f t="shared" si="14"/>
        <v>562.65183767843644</v>
      </c>
      <c r="L18" s="54">
        <f t="shared" si="2"/>
        <v>1747</v>
      </c>
      <c r="M18" s="55">
        <f t="shared" si="3"/>
        <v>895.90204072964673</v>
      </c>
      <c r="N18" s="52">
        <v>45</v>
      </c>
      <c r="O18" s="52">
        <f t="shared" si="4"/>
        <v>2052.5527723441105</v>
      </c>
      <c r="P18" s="52">
        <f t="shared" si="4"/>
        <v>2052.5527723441105</v>
      </c>
      <c r="Q18" s="56">
        <f t="shared" si="5"/>
        <v>217.44222806177694</v>
      </c>
      <c r="R18" s="53">
        <v>500</v>
      </c>
      <c r="S18" s="54">
        <f t="shared" si="6"/>
        <v>500</v>
      </c>
      <c r="T18" s="57">
        <f t="shared" si="7"/>
        <v>0.24359909608023222</v>
      </c>
      <c r="U18" s="57">
        <f t="shared" si="8"/>
        <v>0.34953655649127335</v>
      </c>
      <c r="V18" s="58">
        <f>IF($S18=0,"-",(VLOOKUP(N18,'APP 2885'!$B$10:$G$54,6)*$H18)/($S18+$Q18))</f>
        <v>5.4924363853757088</v>
      </c>
      <c r="W18" s="59">
        <f t="shared" si="9"/>
        <v>0.43648185459635469</v>
      </c>
      <c r="X18" s="60">
        <f t="shared" si="10"/>
        <v>0.54241931500739582</v>
      </c>
      <c r="Y18" s="58">
        <f>IF($S18=0,"-",(VLOOKUP(N18,'APP 2885'!$B$10:$G$54,4)*$H18)/($M18+$Q18))</f>
        <v>3.8816423613605613</v>
      </c>
    </row>
    <row r="19" spans="1:25" s="50" customFormat="1" ht="19.899999999999999" customHeight="1" x14ac:dyDescent="0.25">
      <c r="A19" s="77" t="s">
        <v>44</v>
      </c>
      <c r="B19" s="77" t="s">
        <v>28</v>
      </c>
      <c r="C19" s="77" t="s">
        <v>45</v>
      </c>
      <c r="D19" s="78">
        <v>79</v>
      </c>
      <c r="E19" s="78">
        <v>79</v>
      </c>
      <c r="F19" s="78">
        <f t="shared" si="11"/>
        <v>79</v>
      </c>
      <c r="G19" s="78">
        <v>54</v>
      </c>
      <c r="H19" s="78">
        <f t="shared" si="0"/>
        <v>4266</v>
      </c>
      <c r="I19" s="79">
        <v>1171</v>
      </c>
      <c r="J19" s="80">
        <f t="shared" si="1"/>
        <v>102.24686081918603</v>
      </c>
      <c r="K19" s="80">
        <f t="shared" si="14"/>
        <v>331.88669544843594</v>
      </c>
      <c r="L19" s="80">
        <f t="shared" si="2"/>
        <v>92509</v>
      </c>
      <c r="M19" s="81">
        <f t="shared" si="3"/>
        <v>58212.449054857861</v>
      </c>
      <c r="N19" s="78">
        <v>18</v>
      </c>
      <c r="O19" s="78">
        <f t="shared" si="4"/>
        <v>52165.10348892842</v>
      </c>
      <c r="P19" s="78">
        <f t="shared" si="4"/>
        <v>52165.10348892842</v>
      </c>
      <c r="Q19" s="82">
        <f t="shared" si="5"/>
        <v>8751.0240085994374</v>
      </c>
      <c r="R19" s="79">
        <v>250</v>
      </c>
      <c r="S19" s="80">
        <f t="shared" si="6"/>
        <v>19750</v>
      </c>
      <c r="T19" s="83">
        <f t="shared" si="7"/>
        <v>0.37860559414382761</v>
      </c>
      <c r="U19" s="83">
        <f t="shared" si="8"/>
        <v>0.5463618799232044</v>
      </c>
      <c r="V19" s="84">
        <f>IF($S19=0,"-",(VLOOKUP(N19,'APP 2885'!$B$10:$G$54,6)*$H19)/($S19+$Q19))</f>
        <v>1.7247379615261622</v>
      </c>
      <c r="W19" s="85">
        <f t="shared" si="9"/>
        <v>1.1159270309357852</v>
      </c>
      <c r="X19" s="86">
        <f t="shared" si="10"/>
        <v>1.2836833167151618</v>
      </c>
      <c r="Y19" s="84">
        <f>IF($S19=0,"-",(VLOOKUP(N19,'APP 2885'!$B$10:$G$54,4)*$H19)/($M19+$Q19))</f>
        <v>0.78426284022720094</v>
      </c>
    </row>
    <row r="20" spans="1:25" s="61" customFormat="1" ht="19.899999999999999" customHeight="1" x14ac:dyDescent="0.25">
      <c r="A20" s="51" t="s">
        <v>44</v>
      </c>
      <c r="B20" s="51" t="s">
        <v>30</v>
      </c>
      <c r="C20" s="51" t="s">
        <v>45</v>
      </c>
      <c r="D20" s="52">
        <v>68</v>
      </c>
      <c r="E20" s="52">
        <v>68</v>
      </c>
      <c r="F20" s="52">
        <f t="shared" si="11"/>
        <v>68</v>
      </c>
      <c r="G20" s="52">
        <v>54</v>
      </c>
      <c r="H20" s="52">
        <f t="shared" si="0"/>
        <v>3672</v>
      </c>
      <c r="I20" s="53">
        <v>1171</v>
      </c>
      <c r="J20" s="54">
        <f t="shared" si="1"/>
        <v>102.24686081918603</v>
      </c>
      <c r="K20" s="54">
        <f t="shared" si="14"/>
        <v>331.88669544843594</v>
      </c>
      <c r="L20" s="54">
        <f t="shared" si="2"/>
        <v>79628</v>
      </c>
      <c r="M20" s="55">
        <f t="shared" si="3"/>
        <v>50106.918173801707</v>
      </c>
      <c r="N20" s="52">
        <v>18</v>
      </c>
      <c r="O20" s="52">
        <f t="shared" si="4"/>
        <v>44901.608066419401</v>
      </c>
      <c r="P20" s="52">
        <f t="shared" si="4"/>
        <v>44901.608066419401</v>
      </c>
      <c r="Q20" s="56">
        <f t="shared" si="5"/>
        <v>7532.5269947438192</v>
      </c>
      <c r="R20" s="53">
        <v>250</v>
      </c>
      <c r="S20" s="54">
        <f t="shared" si="6"/>
        <v>17000</v>
      </c>
      <c r="T20" s="57">
        <f t="shared" si="7"/>
        <v>0.37860559414382761</v>
      </c>
      <c r="U20" s="57">
        <f t="shared" si="8"/>
        <v>0.5463618799232044</v>
      </c>
      <c r="V20" s="58">
        <f>IF($S20=0,"-",(VLOOKUP(N20,'APP 2885'!$B$10:$G$54,6)*$H20)/($S20+$Q20))</f>
        <v>1.724737961526162</v>
      </c>
      <c r="W20" s="59">
        <f t="shared" si="9"/>
        <v>1.1159270309357852</v>
      </c>
      <c r="X20" s="60">
        <f t="shared" si="10"/>
        <v>1.283683316715162</v>
      </c>
      <c r="Y20" s="58">
        <f>IF($S20=0,"-",(VLOOKUP(N20,'APP 2885'!$B$10:$G$54,4)*$H20)/($M20+$Q20))</f>
        <v>0.78426284022720072</v>
      </c>
    </row>
    <row r="21" spans="1:25" s="50" customFormat="1" ht="19.899999999999999" customHeight="1" x14ac:dyDescent="0.25">
      <c r="A21" s="77" t="s">
        <v>44</v>
      </c>
      <c r="B21" s="77" t="s">
        <v>31</v>
      </c>
      <c r="C21" s="77" t="s">
        <v>45</v>
      </c>
      <c r="D21" s="78">
        <v>141</v>
      </c>
      <c r="E21" s="78">
        <v>142</v>
      </c>
      <c r="F21" s="78">
        <f t="shared" si="11"/>
        <v>142</v>
      </c>
      <c r="G21" s="78">
        <v>54</v>
      </c>
      <c r="H21" s="78">
        <f t="shared" ref="H21:H32" si="15">IF(ISNUMBER(E21),E21*G21,"")</f>
        <v>7668</v>
      </c>
      <c r="I21" s="79">
        <v>1171</v>
      </c>
      <c r="J21" s="80">
        <f t="shared" si="1"/>
        <v>102.24686081918603</v>
      </c>
      <c r="K21" s="80">
        <f t="shared" si="14"/>
        <v>331.88669544843594</v>
      </c>
      <c r="L21" s="80">
        <f t="shared" ref="L21:L32" si="16">IF(ISNUMBER(I21),I21*E21,"")</f>
        <v>166282</v>
      </c>
      <c r="M21" s="81">
        <f t="shared" ref="M21:M32" si="17">L21-D21*(J21+K21)</f>
        <v>105069.16856626529</v>
      </c>
      <c r="N21" s="78">
        <v>18</v>
      </c>
      <c r="O21" s="78">
        <f t="shared" si="4"/>
        <v>93765.122726934642</v>
      </c>
      <c r="P21" s="78">
        <f t="shared" si="4"/>
        <v>93765.122726934642</v>
      </c>
      <c r="Q21" s="82">
        <f t="shared" si="5"/>
        <v>15729.688724317977</v>
      </c>
      <c r="R21" s="79">
        <v>250</v>
      </c>
      <c r="S21" s="80">
        <f t="shared" ref="S21:S32" si="18">IF(ISNUMBER(R21),R21*E21,"")</f>
        <v>35500</v>
      </c>
      <c r="T21" s="83">
        <f t="shared" ref="T21:T32" si="19">IF(ISERROR(S21/P21),0,S21/P21)</f>
        <v>0.37860559414382755</v>
      </c>
      <c r="U21" s="83">
        <f t="shared" ref="U21:U32" si="20">IF(ISERROR((Q21+S21)/P21),0,(Q21+S21)/P21)</f>
        <v>0.54636187992320429</v>
      </c>
      <c r="V21" s="84">
        <f>IF($S21=0,"-",(VLOOKUP(N21,'APP 2885'!$B$10:$G$54,6)*$H21)/($S21+$Q21))</f>
        <v>1.724737961526162</v>
      </c>
      <c r="W21" s="85">
        <f t="shared" ref="W21:W32" si="21">IF(ISERROR(RM21/O21),0,M21/O21)</f>
        <v>1.1205570420064463</v>
      </c>
      <c r="X21" s="86">
        <f t="shared" ref="X21:X32" si="22">IF(ISERROR(M21/O21),0,(M21+Q21)/O21)</f>
        <v>1.288313327785823</v>
      </c>
      <c r="Y21" s="84">
        <f>IF($S21=0,"-",(VLOOKUP(N21,'APP 2885'!$B$10:$G$54,4)*$H21)/($M21+$Q21))</f>
        <v>0.78144431343387732</v>
      </c>
    </row>
    <row r="22" spans="1:25" s="61" customFormat="1" ht="19.899999999999999" customHeight="1" x14ac:dyDescent="0.25">
      <c r="A22" s="51" t="s">
        <v>46</v>
      </c>
      <c r="B22" s="51" t="s">
        <v>28</v>
      </c>
      <c r="C22" s="51" t="s">
        <v>47</v>
      </c>
      <c r="D22" s="52">
        <v>3</v>
      </c>
      <c r="E22" s="52">
        <v>3</v>
      </c>
      <c r="F22" s="52">
        <f t="shared" si="11"/>
        <v>3</v>
      </c>
      <c r="G22" s="52">
        <v>33</v>
      </c>
      <c r="H22" s="52">
        <f t="shared" si="15"/>
        <v>99</v>
      </c>
      <c r="I22" s="53">
        <v>139</v>
      </c>
      <c r="J22" s="54">
        <f t="shared" si="1"/>
        <v>58.897769370705824</v>
      </c>
      <c r="K22" s="54">
        <f t="shared" si="14"/>
        <v>200.96719737439102</v>
      </c>
      <c r="L22" s="54">
        <f t="shared" si="16"/>
        <v>417</v>
      </c>
      <c r="M22" s="55">
        <f t="shared" si="17"/>
        <v>-362.59490023529065</v>
      </c>
      <c r="N22" s="52">
        <v>16</v>
      </c>
      <c r="O22" s="52">
        <f t="shared" si="4"/>
        <v>1117.8302423458401</v>
      </c>
      <c r="P22" s="52">
        <f t="shared" si="4"/>
        <v>1117.8302423458401</v>
      </c>
      <c r="Q22" s="56">
        <f t="shared" si="5"/>
        <v>203.08283564260299</v>
      </c>
      <c r="R22" s="53">
        <v>45</v>
      </c>
      <c r="S22" s="54">
        <f t="shared" si="18"/>
        <v>135</v>
      </c>
      <c r="T22" s="57">
        <f t="shared" si="19"/>
        <v>0.120769679407397</v>
      </c>
      <c r="U22" s="57">
        <f t="shared" si="20"/>
        <v>0.30244559758296924</v>
      </c>
      <c r="V22" s="58">
        <f>IF($S22=0,"-",(VLOOKUP(N22,'APP 2885'!$B$10:$G$54,6)*$H22)/($S22+$Q22))</f>
        <v>2.9386242298034193</v>
      </c>
      <c r="W22" s="59">
        <f t="shared" si="21"/>
        <v>-0.32437385078646774</v>
      </c>
      <c r="X22" s="60">
        <f t="shared" si="22"/>
        <v>-0.14269793261089547</v>
      </c>
      <c r="Y22" s="58">
        <f>IF($S22=0,"-",(VLOOKUP(N22,'APP 2885'!$B$10:$G$54,4)*$H22)/($M22+$Q22))</f>
        <v>-6.6570459655388126</v>
      </c>
    </row>
    <row r="23" spans="1:25" s="50" customFormat="1" ht="19.899999999999999" customHeight="1" thickBot="1" x14ac:dyDescent="0.3">
      <c r="A23" s="77" t="s">
        <v>46</v>
      </c>
      <c r="B23" s="77" t="s">
        <v>31</v>
      </c>
      <c r="C23" s="77" t="s">
        <v>47</v>
      </c>
      <c r="D23" s="78">
        <v>3</v>
      </c>
      <c r="E23" s="78">
        <v>3</v>
      </c>
      <c r="F23" s="78">
        <f t="shared" si="11"/>
        <v>3</v>
      </c>
      <c r="G23" s="78">
        <v>33</v>
      </c>
      <c r="H23" s="78">
        <f t="shared" si="15"/>
        <v>99</v>
      </c>
      <c r="I23" s="79">
        <v>139</v>
      </c>
      <c r="J23" s="80">
        <f t="shared" si="1"/>
        <v>58.897769370705824</v>
      </c>
      <c r="K23" s="80">
        <f t="shared" si="14"/>
        <v>200.96719737439102</v>
      </c>
      <c r="L23" s="80">
        <f t="shared" si="16"/>
        <v>417</v>
      </c>
      <c r="M23" s="81">
        <f t="shared" si="17"/>
        <v>-362.59490023529065</v>
      </c>
      <c r="N23" s="78">
        <v>16</v>
      </c>
      <c r="O23" s="78">
        <f t="shared" si="4"/>
        <v>1117.8302423458401</v>
      </c>
      <c r="P23" s="78">
        <f t="shared" si="4"/>
        <v>1117.8302423458401</v>
      </c>
      <c r="Q23" s="82">
        <f t="shared" si="5"/>
        <v>203.08283564260299</v>
      </c>
      <c r="R23" s="79">
        <v>45</v>
      </c>
      <c r="S23" s="80">
        <f t="shared" si="18"/>
        <v>135</v>
      </c>
      <c r="T23" s="83">
        <f t="shared" si="19"/>
        <v>0.120769679407397</v>
      </c>
      <c r="U23" s="83">
        <f t="shared" si="20"/>
        <v>0.30244559758296924</v>
      </c>
      <c r="V23" s="84">
        <f>IF($S23=0,"-",(VLOOKUP(N23,'APP 2885'!$B$10:$G$54,6)*$H23)/($S23+$Q23))</f>
        <v>2.9386242298034193</v>
      </c>
      <c r="W23" s="85">
        <f t="shared" si="21"/>
        <v>-0.32437385078646774</v>
      </c>
      <c r="X23" s="86">
        <f t="shared" si="22"/>
        <v>-0.14269793261089547</v>
      </c>
      <c r="Y23" s="84">
        <f>IF($S23=0,"-",(VLOOKUP(N23,'APP 2885'!$B$10:$G$54,4)*$H23)/($M23+$Q23))</f>
        <v>-6.6570459655388126</v>
      </c>
    </row>
    <row r="24" spans="1:25" s="75" customFormat="1" ht="19.899999999999999" customHeight="1" thickBot="1" x14ac:dyDescent="0.3">
      <c r="A24" s="65" t="s">
        <v>55</v>
      </c>
      <c r="B24" s="65" t="s">
        <v>30</v>
      </c>
      <c r="C24" s="65" t="s">
        <v>56</v>
      </c>
      <c r="D24" s="66">
        <v>1</v>
      </c>
      <c r="E24" s="66">
        <v>1</v>
      </c>
      <c r="F24" s="52">
        <f t="shared" si="11"/>
        <v>1</v>
      </c>
      <c r="G24" s="66">
        <v>200</v>
      </c>
      <c r="H24" s="66">
        <f t="shared" si="15"/>
        <v>200</v>
      </c>
      <c r="I24" s="67">
        <v>1142</v>
      </c>
      <c r="J24" s="68">
        <f t="shared" si="1"/>
        <v>476.03424662634518</v>
      </c>
      <c r="K24" s="68">
        <f t="shared" si="14"/>
        <v>516.58530354937318</v>
      </c>
      <c r="L24" s="68">
        <f t="shared" si="16"/>
        <v>1142</v>
      </c>
      <c r="M24" s="69">
        <f t="shared" si="17"/>
        <v>149.38044982428164</v>
      </c>
      <c r="N24" s="66">
        <v>30</v>
      </c>
      <c r="O24" s="66">
        <f t="shared" si="4"/>
        <v>3284.7779881581482</v>
      </c>
      <c r="P24" s="66">
        <f t="shared" si="4"/>
        <v>3284.7779881581482</v>
      </c>
      <c r="Q24" s="70">
        <f t="shared" si="5"/>
        <v>410.26835483354137</v>
      </c>
      <c r="R24" s="67">
        <v>2000</v>
      </c>
      <c r="S24" s="68">
        <f t="shared" si="18"/>
        <v>2000</v>
      </c>
      <c r="T24" s="71">
        <f t="shared" si="19"/>
        <v>0.60886915560507837</v>
      </c>
      <c r="U24" s="71">
        <f t="shared" si="20"/>
        <v>0.73376902899456986</v>
      </c>
      <c r="V24" s="72">
        <f>IF($S24=0,"-",(VLOOKUP(N24,'APP 2885'!$B$10:$G$54,6)*$H24)/($S24+$Q24))</f>
        <v>1.8304579605858018</v>
      </c>
      <c r="W24" s="73">
        <f t="shared" si="21"/>
        <v>4.5476574174208577E-2</v>
      </c>
      <c r="X24" s="74">
        <f t="shared" si="22"/>
        <v>0.1703764475637001</v>
      </c>
      <c r="Y24" s="72">
        <f>IF($S24=0,"-",(VLOOKUP(N24,'APP 2885'!$B$10:$G$54,4)*$H24)/($M24+$Q24))</f>
        <v>8.2593231573729753</v>
      </c>
    </row>
    <row r="25" spans="1:25" s="50" customFormat="1" ht="19.899999999999999" customHeight="1" thickBot="1" x14ac:dyDescent="0.3">
      <c r="A25" s="77" t="s">
        <v>55</v>
      </c>
      <c r="B25" s="77" t="s">
        <v>31</v>
      </c>
      <c r="C25" s="77" t="s">
        <v>56</v>
      </c>
      <c r="D25" s="78">
        <v>8</v>
      </c>
      <c r="E25" s="78">
        <v>8</v>
      </c>
      <c r="F25" s="78">
        <f t="shared" si="11"/>
        <v>8</v>
      </c>
      <c r="G25" s="78">
        <v>207</v>
      </c>
      <c r="H25" s="78">
        <f t="shared" si="15"/>
        <v>1656</v>
      </c>
      <c r="I25" s="79">
        <v>1142</v>
      </c>
      <c r="J25" s="80">
        <f t="shared" si="1"/>
        <v>492.69544525826723</v>
      </c>
      <c r="K25" s="80">
        <f t="shared" si="14"/>
        <v>522.04624695468601</v>
      </c>
      <c r="L25" s="80">
        <f t="shared" si="16"/>
        <v>9136</v>
      </c>
      <c r="M25" s="81">
        <f t="shared" si="17"/>
        <v>1018.0664622963741</v>
      </c>
      <c r="N25" s="78">
        <v>30</v>
      </c>
      <c r="O25" s="78">
        <f t="shared" si="4"/>
        <v>27197.961741949464</v>
      </c>
      <c r="P25" s="78">
        <f t="shared" si="4"/>
        <v>27197.961741949464</v>
      </c>
      <c r="Q25" s="82">
        <f t="shared" si="5"/>
        <v>3397.0219780217226</v>
      </c>
      <c r="R25" s="79">
        <v>2000</v>
      </c>
      <c r="S25" s="80">
        <f t="shared" si="18"/>
        <v>16000</v>
      </c>
      <c r="T25" s="83">
        <f t="shared" si="19"/>
        <v>0.58827937739621106</v>
      </c>
      <c r="U25" s="83">
        <f t="shared" si="20"/>
        <v>0.71317925078570266</v>
      </c>
      <c r="V25" s="84">
        <f>IF($S25=0,"-",(VLOOKUP(N25,'APP 2885'!$B$10:$G$54,6)*$H25)/($S25+$Q25))</f>
        <v>1.8833040345392942</v>
      </c>
      <c r="W25" s="85">
        <f t="shared" si="21"/>
        <v>3.7431719036729635E-2</v>
      </c>
      <c r="X25" s="86">
        <f t="shared" si="22"/>
        <v>0.16233159242622119</v>
      </c>
      <c r="Y25" s="84">
        <f>IF($S25=0,"-",(VLOOKUP(N25,'APP 2885'!$B$10:$G$54,4)*$H25)/($M25+$Q25))</f>
        <v>8.6686400213401029</v>
      </c>
    </row>
    <row r="26" spans="1:25" s="75" customFormat="1" ht="19.899999999999999" customHeight="1" thickBot="1" x14ac:dyDescent="0.3">
      <c r="A26" s="65" t="s">
        <v>57</v>
      </c>
      <c r="B26" s="65" t="s">
        <v>28</v>
      </c>
      <c r="C26" s="65" t="s">
        <v>58</v>
      </c>
      <c r="D26" s="66">
        <v>99</v>
      </c>
      <c r="E26" s="66">
        <v>120595</v>
      </c>
      <c r="F26" s="52">
        <f>D26</f>
        <v>99</v>
      </c>
      <c r="G26" s="76">
        <v>5.6000000000000001E-2</v>
      </c>
      <c r="H26" s="70">
        <f t="shared" si="15"/>
        <v>6753.32</v>
      </c>
      <c r="I26" s="67">
        <v>1.08</v>
      </c>
      <c r="J26" s="68">
        <f t="shared" si="1"/>
        <v>0.15238663027497495</v>
      </c>
      <c r="K26" s="68">
        <f t="shared" si="14"/>
        <v>290.61508844845372</v>
      </c>
      <c r="L26" s="68">
        <f t="shared" si="16"/>
        <v>130242.6</v>
      </c>
      <c r="M26" s="69">
        <f t="shared" si="17"/>
        <v>101456.61996720586</v>
      </c>
      <c r="N26" s="66">
        <v>45</v>
      </c>
      <c r="O26" s="66">
        <f t="shared" ref="O26:P49" si="23">PV($B$111,$N26,-$H26)</f>
        <v>130769.29894836726</v>
      </c>
      <c r="P26" s="66">
        <f t="shared" si="23"/>
        <v>130769.29894836726</v>
      </c>
      <c r="Q26" s="70">
        <f t="shared" si="5"/>
        <v>13853.367430322258</v>
      </c>
      <c r="R26" s="67">
        <v>0.75</v>
      </c>
      <c r="S26" s="68">
        <f t="shared" si="18"/>
        <v>90446.25</v>
      </c>
      <c r="T26" s="71">
        <f t="shared" si="19"/>
        <v>0.69164743351351643</v>
      </c>
      <c r="U26" s="71">
        <f t="shared" si="20"/>
        <v>0.79758489392455756</v>
      </c>
      <c r="V26" s="72">
        <f>IF($S26=0,"-",(VLOOKUP(N26,'APP 2885'!$B$10:$G$54,6)*$H26)/($S26+$Q26))</f>
        <v>2.4070256539652992</v>
      </c>
      <c r="W26" s="73">
        <f t="shared" si="21"/>
        <v>0.7758443364238331</v>
      </c>
      <c r="X26" s="74">
        <f t="shared" si="22"/>
        <v>0.88178179683487423</v>
      </c>
      <c r="Y26" s="72">
        <f>IF($S26=0,"-",(VLOOKUP(N26,'APP 2885'!$B$10:$G$54,4)*$H26)/($M26+$Q26))</f>
        <v>2.3877537485015305</v>
      </c>
    </row>
    <row r="27" spans="1:25" s="50" customFormat="1" ht="19.899999999999999" customHeight="1" thickBot="1" x14ac:dyDescent="0.3">
      <c r="A27" s="77" t="s">
        <v>57</v>
      </c>
      <c r="B27" s="77" t="s">
        <v>30</v>
      </c>
      <c r="C27" s="77" t="s">
        <v>58</v>
      </c>
      <c r="D27" s="78">
        <v>14</v>
      </c>
      <c r="E27" s="78">
        <v>15075</v>
      </c>
      <c r="F27" s="78">
        <f t="shared" ref="F27:F28" si="24">D27</f>
        <v>14</v>
      </c>
      <c r="G27" s="87">
        <v>5.3999999999999999E-2</v>
      </c>
      <c r="H27" s="82">
        <f t="shared" si="15"/>
        <v>814.05</v>
      </c>
      <c r="I27" s="79">
        <v>1.08</v>
      </c>
      <c r="J27" s="80">
        <f t="shared" si="1"/>
        <v>0.14694425062229727</v>
      </c>
      <c r="K27" s="80">
        <f t="shared" si="14"/>
        <v>290.61324889644078</v>
      </c>
      <c r="L27" s="80">
        <f t="shared" si="16"/>
        <v>16281.000000000002</v>
      </c>
      <c r="M27" s="81">
        <f t="shared" si="17"/>
        <v>12210.357295941118</v>
      </c>
      <c r="N27" s="78">
        <v>45</v>
      </c>
      <c r="O27" s="78">
        <f t="shared" si="23"/>
        <v>15763.024380440786</v>
      </c>
      <c r="P27" s="78">
        <f t="shared" si="23"/>
        <v>15763.024380440786</v>
      </c>
      <c r="Q27" s="82">
        <f t="shared" si="5"/>
        <v>1669.8947712612216</v>
      </c>
      <c r="R27" s="79">
        <v>0.75</v>
      </c>
      <c r="S27" s="80">
        <f t="shared" si="18"/>
        <v>11306.25</v>
      </c>
      <c r="T27" s="83">
        <f t="shared" si="19"/>
        <v>0.71726400512512822</v>
      </c>
      <c r="U27" s="83">
        <f t="shared" si="20"/>
        <v>0.82320146553616924</v>
      </c>
      <c r="V27" s="84">
        <f>IF($S27=0,"-",(VLOOKUP(N27,'APP 2885'!$B$10:$G$54,6)*$H27)/($S27+$Q27))</f>
        <v>2.3321232787665034</v>
      </c>
      <c r="W27" s="85">
        <f t="shared" si="21"/>
        <v>0.77462021254576507</v>
      </c>
      <c r="X27" s="86">
        <f t="shared" si="22"/>
        <v>0.88055767295680609</v>
      </c>
      <c r="Y27" s="84">
        <f>IF($S27=0,"-",(VLOOKUP(N27,'APP 2885'!$B$10:$G$54,4)*$H27)/($M27+$Q27))</f>
        <v>2.3910731294668595</v>
      </c>
    </row>
    <row r="28" spans="1:25" s="75" customFormat="1" ht="19.899999999999999" customHeight="1" thickBot="1" x14ac:dyDescent="0.3">
      <c r="A28" s="65" t="s">
        <v>57</v>
      </c>
      <c r="B28" s="65" t="s">
        <v>31</v>
      </c>
      <c r="C28" s="65" t="s">
        <v>58</v>
      </c>
      <c r="D28" s="66">
        <v>20</v>
      </c>
      <c r="E28" s="66">
        <v>19186</v>
      </c>
      <c r="F28" s="52">
        <f t="shared" si="24"/>
        <v>20</v>
      </c>
      <c r="G28" s="76">
        <v>5.8999999999999997E-2</v>
      </c>
      <c r="H28" s="70">
        <f t="shared" si="15"/>
        <v>1131.9739999999999</v>
      </c>
      <c r="I28" s="67">
        <v>1.08</v>
      </c>
      <c r="J28" s="68">
        <f t="shared" si="1"/>
        <v>0.16055019975399143</v>
      </c>
      <c r="K28" s="68">
        <f t="shared" si="14"/>
        <v>290.61784777647318</v>
      </c>
      <c r="L28" s="68">
        <f t="shared" si="16"/>
        <v>20720.88</v>
      </c>
      <c r="M28" s="69">
        <f t="shared" si="17"/>
        <v>14905.312040475459</v>
      </c>
      <c r="N28" s="66">
        <v>45</v>
      </c>
      <c r="O28" s="66">
        <f t="shared" si="23"/>
        <v>21919.211055862754</v>
      </c>
      <c r="P28" s="66">
        <f t="shared" si="23"/>
        <v>21919.211055862754</v>
      </c>
      <c r="Q28" s="70">
        <f t="shared" si="5"/>
        <v>2322.0655534717157</v>
      </c>
      <c r="R28" s="67">
        <v>0.75</v>
      </c>
      <c r="S28" s="68">
        <f t="shared" si="18"/>
        <v>14389.5</v>
      </c>
      <c r="T28" s="71">
        <f t="shared" si="19"/>
        <v>0.65647891994503271</v>
      </c>
      <c r="U28" s="71">
        <f t="shared" si="20"/>
        <v>0.76241638035607384</v>
      </c>
      <c r="V28" s="72">
        <f>IF($S28=0,"-",(VLOOKUP(N28,'APP 2885'!$B$10:$G$54,6)*$H28)/($S28+$Q28))</f>
        <v>2.5180562096462147</v>
      </c>
      <c r="W28" s="73">
        <f t="shared" si="21"/>
        <v>0.68001133811286152</v>
      </c>
      <c r="X28" s="74">
        <f t="shared" si="22"/>
        <v>0.78594879852390265</v>
      </c>
      <c r="Y28" s="72">
        <f>IF($S28=0,"-",(VLOOKUP(N28,'APP 2885'!$B$10:$G$54,4)*$H28)/($M28+$Q28))</f>
        <v>2.6788994330256659</v>
      </c>
    </row>
    <row r="29" spans="1:25" s="50" customFormat="1" ht="19.899999999999999" customHeight="1" thickBot="1" x14ac:dyDescent="0.3">
      <c r="A29" s="93" t="s">
        <v>109</v>
      </c>
      <c r="B29" s="77" t="s">
        <v>28</v>
      </c>
      <c r="C29" s="77" t="s">
        <v>60</v>
      </c>
      <c r="D29" s="78">
        <v>1</v>
      </c>
      <c r="E29" s="78">
        <v>1</v>
      </c>
      <c r="F29" s="78">
        <f t="shared" si="11"/>
        <v>1</v>
      </c>
      <c r="G29" s="78">
        <f>475-106</f>
        <v>369</v>
      </c>
      <c r="H29" s="78">
        <f t="shared" ref="H29" si="25">IF(ISNUMBER(E29),E29*G29,"")</f>
        <v>369</v>
      </c>
      <c r="I29" s="79">
        <v>2500</v>
      </c>
      <c r="J29" s="80">
        <f t="shared" si="1"/>
        <v>752.68417829908185</v>
      </c>
      <c r="K29" s="80">
        <f t="shared" si="14"/>
        <v>688.78322229519176</v>
      </c>
      <c r="L29" s="80">
        <f t="shared" ref="L29" si="26">IF(ISNUMBER(I29),I29*E29,"")</f>
        <v>2500</v>
      </c>
      <c r="M29" s="81">
        <f t="shared" ref="M29" si="27">L29-D29*(J29+K29)</f>
        <v>1058.5325994057264</v>
      </c>
      <c r="N29" s="78">
        <v>21</v>
      </c>
      <c r="O29" s="78">
        <f t="shared" si="23"/>
        <v>4977.6653301644992</v>
      </c>
      <c r="P29" s="78">
        <f t="shared" si="23"/>
        <v>4977.6653301644992</v>
      </c>
      <c r="Q29" s="82">
        <f t="shared" si="5"/>
        <v>756.94511466788379</v>
      </c>
      <c r="R29" s="79">
        <v>2000</v>
      </c>
      <c r="S29" s="80">
        <f t="shared" ref="S29" si="28">IF(ISNUMBER(R29),R29*E29,"")</f>
        <v>2000</v>
      </c>
      <c r="T29" s="83">
        <f t="shared" ref="T29" si="29">IF(ISERROR(S29/P29),0,S29/P29)</f>
        <v>0.40179479079882319</v>
      </c>
      <c r="U29" s="83">
        <f t="shared" ref="U29" si="30">IF(ISERROR((Q29+S29)/P29),0,(Q29+S29)/P29)</f>
        <v>0.55386309279590995</v>
      </c>
      <c r="V29" s="84">
        <f>IF($S29=0,"-",(VLOOKUP(N29,'APP 2885'!$B$10:$G$54,6)*$H29)/($S29+$Q29))</f>
        <v>1.8900183376438764</v>
      </c>
      <c r="W29" s="85">
        <f t="shared" ref="W29" si="31">IF(ISERROR(RM29/O29),0,M29/O29)</f>
        <v>0.21265644216597915</v>
      </c>
      <c r="X29" s="86">
        <f t="shared" ref="X29" si="32">IF(ISERROR(M29/O29),0,(M29+Q29)/O29)</f>
        <v>0.36472474416306594</v>
      </c>
      <c r="Y29" s="84">
        <f>IF($S29=0,"-",(VLOOKUP(N29,'APP 2885'!$B$10:$G$54,4)*$H29)/($M29+$Q29))</f>
        <v>3.0034934444405108</v>
      </c>
    </row>
    <row r="30" spans="1:25" s="75" customFormat="1" ht="19.899999999999999" customHeight="1" thickBot="1" x14ac:dyDescent="0.3">
      <c r="A30" s="65" t="s">
        <v>59</v>
      </c>
      <c r="B30" s="65" t="s">
        <v>28</v>
      </c>
      <c r="C30" s="65" t="s">
        <v>60</v>
      </c>
      <c r="D30" s="66">
        <v>27</v>
      </c>
      <c r="E30" s="66">
        <v>27</v>
      </c>
      <c r="F30" s="52">
        <f t="shared" si="11"/>
        <v>27</v>
      </c>
      <c r="G30" s="66">
        <v>475</v>
      </c>
      <c r="H30" s="66">
        <f t="shared" si="15"/>
        <v>12825</v>
      </c>
      <c r="I30" s="67">
        <v>2500</v>
      </c>
      <c r="J30" s="68">
        <f t="shared" si="1"/>
        <v>968.90239753946867</v>
      </c>
      <c r="K30" s="68">
        <f t="shared" si="14"/>
        <v>756.70339827724661</v>
      </c>
      <c r="L30" s="68">
        <f t="shared" si="16"/>
        <v>67500</v>
      </c>
      <c r="M30" s="69">
        <f t="shared" si="17"/>
        <v>20908.643512948685</v>
      </c>
      <c r="N30" s="66">
        <v>21</v>
      </c>
      <c r="O30" s="66">
        <f t="shared" si="23"/>
        <v>173004.2218410832</v>
      </c>
      <c r="P30" s="66">
        <f t="shared" si="23"/>
        <v>173004.2218410832</v>
      </c>
      <c r="Q30" s="70">
        <f t="shared" si="5"/>
        <v>26308.458253700843</v>
      </c>
      <c r="R30" s="67">
        <v>2500</v>
      </c>
      <c r="S30" s="68">
        <f t="shared" si="18"/>
        <v>67500</v>
      </c>
      <c r="T30" s="71">
        <f t="shared" si="19"/>
        <v>0.39016388895990989</v>
      </c>
      <c r="U30" s="71">
        <f t="shared" si="20"/>
        <v>0.54223219095699671</v>
      </c>
      <c r="V30" s="72">
        <f>IF($S30=0,"-",(VLOOKUP(N30,'APP 2885'!$B$10:$G$54,6)*$H30)/($S30+$Q30))</f>
        <v>1.9305593053796437</v>
      </c>
      <c r="W30" s="73">
        <f t="shared" si="21"/>
        <v>0.12085626171686593</v>
      </c>
      <c r="X30" s="74">
        <f t="shared" si="22"/>
        <v>0.27292456371395279</v>
      </c>
      <c r="Y30" s="72">
        <f>IF($S30=0,"-",(VLOOKUP(N30,'APP 2885'!$B$10:$G$54,4)*$H30)/($M30+$Q30))</f>
        <v>4.0137405120747225</v>
      </c>
    </row>
    <row r="31" spans="1:25" s="50" customFormat="1" ht="19.899999999999999" customHeight="1" thickBot="1" x14ac:dyDescent="0.3">
      <c r="A31" s="77" t="s">
        <v>59</v>
      </c>
      <c r="B31" s="77" t="s">
        <v>30</v>
      </c>
      <c r="C31" s="77" t="s">
        <v>60</v>
      </c>
      <c r="D31" s="78">
        <v>5</v>
      </c>
      <c r="E31" s="78">
        <v>5</v>
      </c>
      <c r="F31" s="78">
        <f t="shared" si="11"/>
        <v>5</v>
      </c>
      <c r="G31" s="78">
        <v>468</v>
      </c>
      <c r="H31" s="78">
        <f t="shared" si="15"/>
        <v>2340</v>
      </c>
      <c r="I31" s="79">
        <v>2500</v>
      </c>
      <c r="J31" s="80">
        <f t="shared" si="1"/>
        <v>954.62383589151852</v>
      </c>
      <c r="K31" s="80">
        <f t="shared" si="14"/>
        <v>752.21810363692225</v>
      </c>
      <c r="L31" s="80">
        <f t="shared" si="16"/>
        <v>12500</v>
      </c>
      <c r="M31" s="81">
        <f t="shared" si="17"/>
        <v>3965.7903023577965</v>
      </c>
      <c r="N31" s="78">
        <v>21</v>
      </c>
      <c r="O31" s="78">
        <f t="shared" si="23"/>
        <v>31565.682581530971</v>
      </c>
      <c r="P31" s="78">
        <f t="shared" si="23"/>
        <v>31565.682581530971</v>
      </c>
      <c r="Q31" s="82">
        <f t="shared" si="5"/>
        <v>4800.1397515524341</v>
      </c>
      <c r="R31" s="79">
        <v>2500</v>
      </c>
      <c r="S31" s="80">
        <f t="shared" si="18"/>
        <v>12500</v>
      </c>
      <c r="T31" s="83">
        <f t="shared" si="19"/>
        <v>0.39599967362384014</v>
      </c>
      <c r="U31" s="83">
        <f t="shared" si="20"/>
        <v>0.54806797562092691</v>
      </c>
      <c r="V31" s="84">
        <f>IF($S31=0,"-",(VLOOKUP(N31,'APP 2885'!$B$10:$G$54,6)*$H31)/($S31+$Q31))</f>
        <v>1.9100028618575089</v>
      </c>
      <c r="W31" s="85">
        <f t="shared" si="21"/>
        <v>0.12563613323154221</v>
      </c>
      <c r="X31" s="86">
        <f t="shared" si="22"/>
        <v>0.27770443522862898</v>
      </c>
      <c r="Y31" s="84">
        <f>IF($S31=0,"-",(VLOOKUP(N31,'APP 2885'!$B$10:$G$54,4)*$H31)/($M31+$Q31))</f>
        <v>3.9446556811998645</v>
      </c>
    </row>
    <row r="32" spans="1:25" s="75" customFormat="1" ht="19.899999999999999" customHeight="1" thickBot="1" x14ac:dyDescent="0.3">
      <c r="A32" s="65" t="s">
        <v>59</v>
      </c>
      <c r="B32" s="65" t="s">
        <v>31</v>
      </c>
      <c r="C32" s="65" t="s">
        <v>60</v>
      </c>
      <c r="D32" s="66">
        <v>1</v>
      </c>
      <c r="E32" s="66">
        <v>1</v>
      </c>
      <c r="F32" s="52">
        <f t="shared" si="11"/>
        <v>1</v>
      </c>
      <c r="G32" s="66">
        <v>476</v>
      </c>
      <c r="H32" s="66">
        <f t="shared" si="15"/>
        <v>476</v>
      </c>
      <c r="I32" s="67">
        <v>2500</v>
      </c>
      <c r="J32" s="68">
        <f t="shared" si="1"/>
        <v>970.94219206060427</v>
      </c>
      <c r="K32" s="68">
        <f t="shared" si="14"/>
        <v>757.34415465443567</v>
      </c>
      <c r="L32" s="68">
        <f t="shared" si="16"/>
        <v>2500</v>
      </c>
      <c r="M32" s="69">
        <f t="shared" si="17"/>
        <v>771.71365328495995</v>
      </c>
      <c r="N32" s="66">
        <v>21</v>
      </c>
      <c r="O32" s="66">
        <f t="shared" si="23"/>
        <v>6421.0533798327951</v>
      </c>
      <c r="P32" s="66">
        <f t="shared" si="23"/>
        <v>6421.0533798327951</v>
      </c>
      <c r="Q32" s="70">
        <f t="shared" si="5"/>
        <v>976.43868450382854</v>
      </c>
      <c r="R32" s="67">
        <v>2500</v>
      </c>
      <c r="S32" s="68">
        <f t="shared" si="18"/>
        <v>2500</v>
      </c>
      <c r="T32" s="71">
        <f t="shared" si="19"/>
        <v>0.38934421692427984</v>
      </c>
      <c r="U32" s="71">
        <f t="shared" si="20"/>
        <v>0.54141251892136666</v>
      </c>
      <c r="V32" s="72">
        <f>IF($S32=0,"-",(VLOOKUP(N32,'APP 2885'!$B$10:$G$54,6)*$H32)/($S32+$Q32))</f>
        <v>1.9334820776105071</v>
      </c>
      <c r="W32" s="73">
        <f t="shared" si="21"/>
        <v>0.12018489921120316</v>
      </c>
      <c r="X32" s="74">
        <f t="shared" si="22"/>
        <v>0.27225320120829</v>
      </c>
      <c r="Y32" s="72">
        <f>IF($S32=0,"-",(VLOOKUP(N32,'APP 2885'!$B$10:$G$54,4)*$H32)/($M32+$Q32))</f>
        <v>4.0236381914236059</v>
      </c>
    </row>
    <row r="33" spans="1:25" s="50" customFormat="1" ht="19.899999999999999" customHeight="1" thickBot="1" x14ac:dyDescent="0.3">
      <c r="A33" s="77" t="s">
        <v>62</v>
      </c>
      <c r="B33" s="77" t="s">
        <v>28</v>
      </c>
      <c r="C33" s="77" t="s">
        <v>63</v>
      </c>
      <c r="D33" s="78">
        <v>49</v>
      </c>
      <c r="E33" s="78">
        <v>58</v>
      </c>
      <c r="F33" s="78">
        <f t="shared" si="11"/>
        <v>58</v>
      </c>
      <c r="G33" s="78">
        <v>13</v>
      </c>
      <c r="H33" s="78">
        <f t="shared" ref="H33:H49" si="33">IF(ISNUMBER(E33),E33*G33,"")</f>
        <v>754</v>
      </c>
      <c r="I33" s="79">
        <v>200</v>
      </c>
      <c r="J33" s="80">
        <f t="shared" si="1"/>
        <v>28.697934629810305</v>
      </c>
      <c r="K33" s="80">
        <f t="shared" si="14"/>
        <v>253.25724905905994</v>
      </c>
      <c r="L33" s="80">
        <f t="shared" ref="L33:L49" si="34">IF(ISNUMBER(I33),I33*E33,"")</f>
        <v>11600</v>
      </c>
      <c r="M33" s="81">
        <f t="shared" ref="M33:M49" si="35">L33-D33*(J33+K33)</f>
        <v>-2215.8040007546424</v>
      </c>
      <c r="N33" s="78">
        <v>25</v>
      </c>
      <c r="O33" s="78">
        <f t="shared" si="23"/>
        <v>11261.46731490515</v>
      </c>
      <c r="P33" s="78">
        <f t="shared" si="23"/>
        <v>11261.46731490515</v>
      </c>
      <c r="Q33" s="82">
        <f t="shared" si="5"/>
        <v>1546.7116977224509</v>
      </c>
      <c r="R33" s="79">
        <v>100</v>
      </c>
      <c r="S33" s="80">
        <f t="shared" ref="S33:S49" si="36">IF(ISNUMBER(R33),R33*E33,"")</f>
        <v>5800</v>
      </c>
      <c r="T33" s="83">
        <f t="shared" ref="T33:T49" si="37">IF(ISERROR(S33/P33),0,S33/P33)</f>
        <v>0.5150305761952878</v>
      </c>
      <c r="U33" s="83">
        <f t="shared" ref="U33:U107" si="38">IF(ISERROR((Q33+S33)/P33),0,(Q33+S33)/P33)</f>
        <v>0.65237606186528529</v>
      </c>
      <c r="V33" s="84">
        <f>IF($S33=0,"-",(VLOOKUP(N33,'APP 2885'!$B$10:$G$54,6)*$H33)/($S33+$Q33))</f>
        <v>1.7814912071492703</v>
      </c>
      <c r="W33" s="85">
        <f t="shared" ref="W33:W107" si="39">IF(ISERROR(RM33/O33),0,M33/O33)</f>
        <v>-0.19675979504215299</v>
      </c>
      <c r="X33" s="86">
        <f t="shared" ref="X33:X107" si="40">IF(ISERROR(M33/O33),0,(M33+Q33)/O33)</f>
        <v>-5.9414309372155458E-2</v>
      </c>
      <c r="Y33" s="84">
        <f>IF($S33=0,"-",(VLOOKUP(N33,'APP 2885'!$B$10:$G$54,4)*$H33)/($M33+$Q33))</f>
        <v>-20.620806321626166</v>
      </c>
    </row>
    <row r="34" spans="1:25" s="75" customFormat="1" ht="19.899999999999999" customHeight="1" thickBot="1" x14ac:dyDescent="0.3">
      <c r="A34" s="65" t="s">
        <v>62</v>
      </c>
      <c r="B34" s="65" t="s">
        <v>30</v>
      </c>
      <c r="C34" s="65" t="s">
        <v>63</v>
      </c>
      <c r="D34" s="66">
        <v>2</v>
      </c>
      <c r="E34" s="66">
        <v>2</v>
      </c>
      <c r="F34" s="52">
        <f t="shared" si="11"/>
        <v>2</v>
      </c>
      <c r="G34" s="66">
        <v>13</v>
      </c>
      <c r="H34" s="66">
        <f t="shared" si="33"/>
        <v>26</v>
      </c>
      <c r="I34" s="67">
        <v>200</v>
      </c>
      <c r="J34" s="68">
        <f t="shared" si="1"/>
        <v>28.697934629810305</v>
      </c>
      <c r="K34" s="68">
        <f t="shared" si="14"/>
        <v>253.25724905905994</v>
      </c>
      <c r="L34" s="68">
        <f t="shared" si="34"/>
        <v>400</v>
      </c>
      <c r="M34" s="69">
        <f t="shared" si="35"/>
        <v>-163.9103673777405</v>
      </c>
      <c r="N34" s="66">
        <v>25</v>
      </c>
      <c r="O34" s="66">
        <f t="shared" si="23"/>
        <v>388.32645913466035</v>
      </c>
      <c r="P34" s="66">
        <f t="shared" si="23"/>
        <v>388.32645913466035</v>
      </c>
      <c r="Q34" s="70">
        <f t="shared" si="5"/>
        <v>53.334886128360374</v>
      </c>
      <c r="R34" s="67">
        <v>100</v>
      </c>
      <c r="S34" s="68">
        <f t="shared" si="36"/>
        <v>200</v>
      </c>
      <c r="T34" s="71">
        <f t="shared" si="37"/>
        <v>0.5150305761952878</v>
      </c>
      <c r="U34" s="71">
        <f t="shared" si="38"/>
        <v>0.65237606186528529</v>
      </c>
      <c r="V34" s="72">
        <f>IF($S34=0,"-",(VLOOKUP(N34,'APP 2885'!$B$10:$G$54,6)*$H34)/($S34+$Q34))</f>
        <v>1.7814912071492701</v>
      </c>
      <c r="W34" s="73">
        <f t="shared" si="39"/>
        <v>-0.42209425477469498</v>
      </c>
      <c r="X34" s="74">
        <f t="shared" si="40"/>
        <v>-0.28474876910469743</v>
      </c>
      <c r="Y34" s="72">
        <f>IF($S34=0,"-",(VLOOKUP(N34,'APP 2885'!$B$10:$G$54,4)*$H34)/($M34+$Q34))</f>
        <v>-4.3026383227171063</v>
      </c>
    </row>
    <row r="35" spans="1:25" s="50" customFormat="1" ht="19.899999999999999" customHeight="1" thickBot="1" x14ac:dyDescent="0.3">
      <c r="A35" s="77" t="s">
        <v>62</v>
      </c>
      <c r="B35" s="77" t="s">
        <v>31</v>
      </c>
      <c r="C35" s="77" t="s">
        <v>63</v>
      </c>
      <c r="D35" s="78">
        <v>8</v>
      </c>
      <c r="E35" s="78">
        <v>10</v>
      </c>
      <c r="F35" s="78">
        <f t="shared" si="11"/>
        <v>10</v>
      </c>
      <c r="G35" s="78">
        <v>13</v>
      </c>
      <c r="H35" s="78">
        <f t="shared" si="33"/>
        <v>130</v>
      </c>
      <c r="I35" s="79">
        <v>200</v>
      </c>
      <c r="J35" s="80">
        <f t="shared" si="1"/>
        <v>28.697934629810305</v>
      </c>
      <c r="K35" s="80">
        <f t="shared" si="14"/>
        <v>253.25724905905994</v>
      </c>
      <c r="L35" s="80">
        <f t="shared" si="34"/>
        <v>2000</v>
      </c>
      <c r="M35" s="81">
        <f t="shared" si="35"/>
        <v>-255.641469510962</v>
      </c>
      <c r="N35" s="78">
        <v>25</v>
      </c>
      <c r="O35" s="78">
        <f t="shared" si="23"/>
        <v>1941.632295673302</v>
      </c>
      <c r="P35" s="78">
        <f t="shared" si="23"/>
        <v>1941.632295673302</v>
      </c>
      <c r="Q35" s="82">
        <f t="shared" si="5"/>
        <v>266.67443064180191</v>
      </c>
      <c r="R35" s="79">
        <v>100</v>
      </c>
      <c r="S35" s="80">
        <f t="shared" si="36"/>
        <v>1000</v>
      </c>
      <c r="T35" s="83">
        <f t="shared" si="37"/>
        <v>0.51503057619528769</v>
      </c>
      <c r="U35" s="83">
        <f t="shared" si="38"/>
        <v>0.65237606186528518</v>
      </c>
      <c r="V35" s="84">
        <f>IF($S35=0,"-",(VLOOKUP(N35,'APP 2885'!$B$10:$G$54,6)*$H35)/($S35+$Q35))</f>
        <v>1.7814912071492701</v>
      </c>
      <c r="W35" s="85">
        <f t="shared" si="39"/>
        <v>-0.13166317334164085</v>
      </c>
      <c r="X35" s="86">
        <f t="shared" si="40"/>
        <v>5.6823123283566909E-3</v>
      </c>
      <c r="Y35" s="84">
        <f>IF($S35=0,"-",(VLOOKUP(N35,'APP 2885'!$B$10:$G$54,4)*$H35)/($M35+$Q35))</f>
        <v>215.61133839517615</v>
      </c>
    </row>
    <row r="36" spans="1:25" s="75" customFormat="1" ht="19.899999999999999" customHeight="1" thickBot="1" x14ac:dyDescent="0.3">
      <c r="A36" s="65" t="s">
        <v>64</v>
      </c>
      <c r="B36" s="65" t="s">
        <v>28</v>
      </c>
      <c r="C36" s="65" t="s">
        <v>43</v>
      </c>
      <c r="D36" s="66">
        <v>366</v>
      </c>
      <c r="E36" s="66">
        <v>366</v>
      </c>
      <c r="F36" s="52">
        <f t="shared" si="11"/>
        <v>366</v>
      </c>
      <c r="G36" s="66">
        <v>111</v>
      </c>
      <c r="H36" s="66">
        <f t="shared" si="33"/>
        <v>40626</v>
      </c>
      <c r="I36" s="67">
        <v>1024</v>
      </c>
      <c r="J36" s="68">
        <f t="shared" si="1"/>
        <v>210.17410279499353</v>
      </c>
      <c r="K36" s="68">
        <f>0.1*$I36+PV($B$111,$N36,(-0.05*0.95*$G36))</f>
        <v>166.87269295484651</v>
      </c>
      <c r="L36" s="68">
        <f t="shared" si="34"/>
        <v>374784</v>
      </c>
      <c r="M36" s="69">
        <f t="shared" si="35"/>
        <v>236784.87275555855</v>
      </c>
      <c r="N36" s="66">
        <v>18</v>
      </c>
      <c r="O36" s="66">
        <f t="shared" si="23"/>
        <v>496779.0657152381</v>
      </c>
      <c r="P36" s="66">
        <f t="shared" si="23"/>
        <v>496779.0657152381</v>
      </c>
      <c r="Q36" s="70">
        <f t="shared" si="5"/>
        <v>83337.810917337265</v>
      </c>
      <c r="R36" s="67">
        <v>400</v>
      </c>
      <c r="S36" s="68">
        <f t="shared" si="36"/>
        <v>146400</v>
      </c>
      <c r="T36" s="71">
        <f t="shared" si="37"/>
        <v>0.29469840841465506</v>
      </c>
      <c r="U36" s="71">
        <f t="shared" si="38"/>
        <v>0.46245469419403179</v>
      </c>
      <c r="V36" s="72">
        <f>IF($S36=0,"-",(VLOOKUP(N36,'APP 2885'!$B$10:$G$54,6)*$H36)/($S36+$Q36))</f>
        <v>2.03767220198002</v>
      </c>
      <c r="W36" s="73">
        <f t="shared" si="39"/>
        <v>0.47664019902820848</v>
      </c>
      <c r="X36" s="74">
        <f t="shared" si="40"/>
        <v>0.64439648480758527</v>
      </c>
      <c r="Y36" s="72">
        <f>IF($S36=0,"-",(VLOOKUP(N36,'APP 2885'!$B$10:$G$54,4)*$H36)/($M36+$Q36))</f>
        <v>1.5623069766122595</v>
      </c>
    </row>
    <row r="37" spans="1:25" s="50" customFormat="1" ht="19.899999999999999" customHeight="1" thickBot="1" x14ac:dyDescent="0.3">
      <c r="A37" s="77" t="s">
        <v>64</v>
      </c>
      <c r="B37" s="77" t="s">
        <v>30</v>
      </c>
      <c r="C37" s="77" t="s">
        <v>43</v>
      </c>
      <c r="D37" s="78">
        <v>159</v>
      </c>
      <c r="E37" s="78">
        <v>159</v>
      </c>
      <c r="F37" s="78">
        <f t="shared" si="11"/>
        <v>159</v>
      </c>
      <c r="G37" s="78">
        <v>110</v>
      </c>
      <c r="H37" s="78">
        <f t="shared" si="33"/>
        <v>17490</v>
      </c>
      <c r="I37" s="79">
        <v>1024</v>
      </c>
      <c r="J37" s="80">
        <f t="shared" si="1"/>
        <v>208.28064240945304</v>
      </c>
      <c r="K37" s="80">
        <f>0.1*$I37+PV($B$111,$N37,(-0.05*0.95*$G37))</f>
        <v>166.29185788318119</v>
      </c>
      <c r="L37" s="80">
        <f t="shared" si="34"/>
        <v>162816</v>
      </c>
      <c r="M37" s="81">
        <f t="shared" si="35"/>
        <v>103258.97245347116</v>
      </c>
      <c r="N37" s="78">
        <v>18</v>
      </c>
      <c r="O37" s="78">
        <f t="shared" si="23"/>
        <v>213869.5874405434</v>
      </c>
      <c r="P37" s="78">
        <f t="shared" si="23"/>
        <v>213869.5874405434</v>
      </c>
      <c r="Q37" s="82">
        <f t="shared" si="5"/>
        <v>35877.967630193198</v>
      </c>
      <c r="R37" s="79">
        <v>400</v>
      </c>
      <c r="S37" s="80">
        <f t="shared" si="36"/>
        <v>63600</v>
      </c>
      <c r="T37" s="83">
        <f t="shared" si="37"/>
        <v>0.29737748485478821</v>
      </c>
      <c r="U37" s="83">
        <f t="shared" si="38"/>
        <v>0.46513377063416489</v>
      </c>
      <c r="V37" s="84">
        <f>IF($S37=0,"-",(VLOOKUP(N37,'APP 2885'!$B$10:$G$54,6)*$H37)/($S37+$Q37))</f>
        <v>2.0259356222395377</v>
      </c>
      <c r="W37" s="85">
        <f t="shared" si="39"/>
        <v>0.48281279114627534</v>
      </c>
      <c r="X37" s="86">
        <f t="shared" si="40"/>
        <v>0.65056907692565202</v>
      </c>
      <c r="Y37" s="84">
        <f>IF($S37=0,"-",(VLOOKUP(N37,'APP 2885'!$B$10:$G$54,4)*$H37)/($M37+$Q37))</f>
        <v>1.5474838255098289</v>
      </c>
    </row>
    <row r="38" spans="1:25" s="75" customFormat="1" ht="19.899999999999999" customHeight="1" thickBot="1" x14ac:dyDescent="0.3">
      <c r="A38" s="65" t="s">
        <v>64</v>
      </c>
      <c r="B38" s="65" t="s">
        <v>31</v>
      </c>
      <c r="C38" s="65" t="s">
        <v>43</v>
      </c>
      <c r="D38" s="66">
        <v>366</v>
      </c>
      <c r="E38" s="66">
        <v>370</v>
      </c>
      <c r="F38" s="52">
        <f t="shared" si="11"/>
        <v>370</v>
      </c>
      <c r="G38" s="66">
        <v>111</v>
      </c>
      <c r="H38" s="66">
        <f t="shared" si="33"/>
        <v>41070</v>
      </c>
      <c r="I38" s="67">
        <v>1024</v>
      </c>
      <c r="J38" s="68">
        <f t="shared" si="1"/>
        <v>210.17410279499353</v>
      </c>
      <c r="K38" s="68">
        <f>0.1*$I38+PV($B$111,$N38,(-0.05*0.95*$G38))</f>
        <v>166.87269295484651</v>
      </c>
      <c r="L38" s="68">
        <f t="shared" si="34"/>
        <v>378880</v>
      </c>
      <c r="M38" s="69">
        <f t="shared" si="35"/>
        <v>240880.87275555855</v>
      </c>
      <c r="N38" s="66">
        <v>18</v>
      </c>
      <c r="O38" s="66">
        <f t="shared" si="23"/>
        <v>502208.34512196208</v>
      </c>
      <c r="P38" s="66">
        <f t="shared" si="23"/>
        <v>502208.34512196208</v>
      </c>
      <c r="Q38" s="70">
        <f t="shared" si="5"/>
        <v>84248.606665067724</v>
      </c>
      <c r="R38" s="67">
        <v>400</v>
      </c>
      <c r="S38" s="68">
        <f t="shared" si="36"/>
        <v>148000</v>
      </c>
      <c r="T38" s="71">
        <f t="shared" si="37"/>
        <v>0.294698408414655</v>
      </c>
      <c r="U38" s="71">
        <f t="shared" si="38"/>
        <v>0.46245469419403173</v>
      </c>
      <c r="V38" s="72">
        <f>IF($S38=0,"-",(VLOOKUP(N38,'APP 2885'!$B$10:$G$54,6)*$H38)/($S38+$Q38))</f>
        <v>2.03767220198002</v>
      </c>
      <c r="W38" s="73">
        <f t="shared" si="39"/>
        <v>0.47964330958510903</v>
      </c>
      <c r="X38" s="74">
        <f t="shared" si="40"/>
        <v>0.64739959536448588</v>
      </c>
      <c r="Y38" s="72">
        <f>IF($S38=0,"-",(VLOOKUP(N38,'APP 2885'!$B$10:$G$54,4)*$H38)/($M38+$Q38))</f>
        <v>1.5550598596721537</v>
      </c>
    </row>
    <row r="39" spans="1:25" s="50" customFormat="1" ht="19.899999999999999" customHeight="1" thickBot="1" x14ac:dyDescent="0.3">
      <c r="A39" s="77" t="s">
        <v>65</v>
      </c>
      <c r="B39" s="77" t="s">
        <v>28</v>
      </c>
      <c r="C39" s="77" t="s">
        <v>67</v>
      </c>
      <c r="D39" s="78">
        <v>43</v>
      </c>
      <c r="E39" s="78">
        <v>44</v>
      </c>
      <c r="F39" s="78">
        <f t="shared" si="11"/>
        <v>44</v>
      </c>
      <c r="G39" s="78">
        <v>56</v>
      </c>
      <c r="H39" s="78">
        <f t="shared" si="33"/>
        <v>2464</v>
      </c>
      <c r="I39" s="79">
        <v>425</v>
      </c>
      <c r="J39" s="80">
        <f t="shared" si="1"/>
        <v>111.61443543163399</v>
      </c>
      <c r="K39" s="80">
        <f t="shared" ref="K39:K44" si="41">0.1*$I39+PV($B$111,$N39,(-0.05*0.95*$G39))+PV($B$111,$N39,-15)</f>
        <v>273.61990913218233</v>
      </c>
      <c r="L39" s="80">
        <f t="shared" si="34"/>
        <v>18700</v>
      </c>
      <c r="M39" s="81">
        <f t="shared" si="35"/>
        <v>2134.9231837558982</v>
      </c>
      <c r="N39" s="78">
        <v>20</v>
      </c>
      <c r="O39" s="78">
        <f t="shared" si="23"/>
        <v>32246.854818895652</v>
      </c>
      <c r="P39" s="78">
        <f t="shared" si="23"/>
        <v>32246.854818895652</v>
      </c>
      <c r="Q39" s="82">
        <f t="shared" si="5"/>
        <v>5054.5061315492294</v>
      </c>
      <c r="R39" s="79">
        <v>250</v>
      </c>
      <c r="S39" s="80">
        <f t="shared" si="36"/>
        <v>11000</v>
      </c>
      <c r="T39" s="83">
        <f t="shared" si="37"/>
        <v>0.34111853890179522</v>
      </c>
      <c r="U39" s="83">
        <f t="shared" si="38"/>
        <v>0.49786269767127145</v>
      </c>
      <c r="V39" s="84">
        <f>IF($S39=0,"-",(VLOOKUP(N39,'APP 2885'!$B$10:$G$54,6)*$H39)/($S39+$Q39))</f>
        <v>2.0016337679083134</v>
      </c>
      <c r="W39" s="85">
        <f t="shared" si="39"/>
        <v>6.6205625191852815E-2</v>
      </c>
      <c r="X39" s="86">
        <f t="shared" si="40"/>
        <v>0.22294978396132903</v>
      </c>
      <c r="Y39" s="84">
        <f>IF($S39=0,"-",(VLOOKUP(N39,'APP 2885'!$B$10:$G$54,4)*$H39)/($M39+$Q39))</f>
        <v>4.7774255213421455</v>
      </c>
    </row>
    <row r="40" spans="1:25" s="75" customFormat="1" ht="19.899999999999999" customHeight="1" thickBot="1" x14ac:dyDescent="0.3">
      <c r="A40" s="65" t="s">
        <v>65</v>
      </c>
      <c r="B40" s="65" t="s">
        <v>30</v>
      </c>
      <c r="C40" s="65" t="s">
        <v>67</v>
      </c>
      <c r="D40" s="66">
        <v>15</v>
      </c>
      <c r="E40" s="66">
        <v>15</v>
      </c>
      <c r="F40" s="52">
        <f t="shared" si="11"/>
        <v>15</v>
      </c>
      <c r="G40" s="66">
        <v>56</v>
      </c>
      <c r="H40" s="66">
        <f t="shared" si="33"/>
        <v>840</v>
      </c>
      <c r="I40" s="67">
        <v>425</v>
      </c>
      <c r="J40" s="68">
        <f t="shared" si="1"/>
        <v>111.61443543163399</v>
      </c>
      <c r="K40" s="68">
        <f t="shared" si="41"/>
        <v>273.61990913218233</v>
      </c>
      <c r="L40" s="68">
        <f t="shared" si="34"/>
        <v>6375</v>
      </c>
      <c r="M40" s="69">
        <f t="shared" si="35"/>
        <v>596.48483154275527</v>
      </c>
      <c r="N40" s="66">
        <v>20</v>
      </c>
      <c r="O40" s="66">
        <f t="shared" si="23"/>
        <v>10993.245960987155</v>
      </c>
      <c r="P40" s="66">
        <f t="shared" si="23"/>
        <v>10993.245960987155</v>
      </c>
      <c r="Q40" s="70">
        <f t="shared" si="5"/>
        <v>1723.1270903008738</v>
      </c>
      <c r="R40" s="67">
        <v>250</v>
      </c>
      <c r="S40" s="68">
        <f t="shared" si="36"/>
        <v>3750</v>
      </c>
      <c r="T40" s="71">
        <f t="shared" si="37"/>
        <v>0.34111853890179522</v>
      </c>
      <c r="U40" s="71">
        <f t="shared" si="38"/>
        <v>0.49786269767127145</v>
      </c>
      <c r="V40" s="72">
        <f>IF($S40=0,"-",(VLOOKUP(N40,'APP 2885'!$B$10:$G$54,6)*$H40)/($S40+$Q40))</f>
        <v>2.0016337679083129</v>
      </c>
      <c r="W40" s="73">
        <f t="shared" si="39"/>
        <v>5.4259209123452834E-2</v>
      </c>
      <c r="X40" s="74">
        <f t="shared" si="40"/>
        <v>0.21100336789292903</v>
      </c>
      <c r="Y40" s="72">
        <f>IF($S40=0,"-",(VLOOKUP(N40,'APP 2885'!$B$10:$G$54,4)*$H40)/($M40+$Q40))</f>
        <v>5.0479098912537523</v>
      </c>
    </row>
    <row r="41" spans="1:25" s="50" customFormat="1" ht="19.899999999999999" customHeight="1" thickBot="1" x14ac:dyDescent="0.3">
      <c r="A41" s="77" t="s">
        <v>65</v>
      </c>
      <c r="B41" s="77" t="s">
        <v>31</v>
      </c>
      <c r="C41" s="77" t="s">
        <v>67</v>
      </c>
      <c r="D41" s="78">
        <v>45</v>
      </c>
      <c r="E41" s="78">
        <v>47</v>
      </c>
      <c r="F41" s="78">
        <f t="shared" si="11"/>
        <v>47</v>
      </c>
      <c r="G41" s="78">
        <v>56</v>
      </c>
      <c r="H41" s="78">
        <f t="shared" si="33"/>
        <v>2632</v>
      </c>
      <c r="I41" s="79">
        <v>425</v>
      </c>
      <c r="J41" s="80">
        <f t="shared" si="1"/>
        <v>111.61443543163399</v>
      </c>
      <c r="K41" s="80">
        <f t="shared" si="41"/>
        <v>273.61990913218233</v>
      </c>
      <c r="L41" s="80">
        <f t="shared" si="34"/>
        <v>19975</v>
      </c>
      <c r="M41" s="81">
        <f t="shared" si="35"/>
        <v>2639.4544946282658</v>
      </c>
      <c r="N41" s="78">
        <v>20</v>
      </c>
      <c r="O41" s="78">
        <f t="shared" si="23"/>
        <v>34445.504011093086</v>
      </c>
      <c r="P41" s="78">
        <f t="shared" si="23"/>
        <v>34445.504011093086</v>
      </c>
      <c r="Q41" s="82">
        <f t="shared" si="5"/>
        <v>5399.1315496094048</v>
      </c>
      <c r="R41" s="79">
        <v>250</v>
      </c>
      <c r="S41" s="80">
        <f t="shared" si="36"/>
        <v>11750</v>
      </c>
      <c r="T41" s="83">
        <f t="shared" si="37"/>
        <v>0.34111853890179522</v>
      </c>
      <c r="U41" s="83">
        <f t="shared" si="38"/>
        <v>0.49786269767127139</v>
      </c>
      <c r="V41" s="84">
        <f>IF($S41=0,"-",(VLOOKUP(N41,'APP 2885'!$B$10:$G$54,6)*$H41)/($S41+$Q41))</f>
        <v>2.0016337679083134</v>
      </c>
      <c r="W41" s="85">
        <f t="shared" si="39"/>
        <v>7.662696686854216E-2</v>
      </c>
      <c r="X41" s="86">
        <f t="shared" si="40"/>
        <v>0.23337112563801837</v>
      </c>
      <c r="Y41" s="84">
        <f>IF($S41=0,"-",(VLOOKUP(N41,'APP 2885'!$B$10:$G$54,4)*$H41)/($M41+$Q41))</f>
        <v>4.5640864308410043</v>
      </c>
    </row>
    <row r="42" spans="1:25" s="75" customFormat="1" ht="19.899999999999999" customHeight="1" thickBot="1" x14ac:dyDescent="0.3">
      <c r="A42" s="65" t="s">
        <v>68</v>
      </c>
      <c r="B42" s="65" t="s">
        <v>28</v>
      </c>
      <c r="C42" s="65" t="s">
        <v>69</v>
      </c>
      <c r="D42" s="66">
        <v>223</v>
      </c>
      <c r="E42" s="66">
        <v>226</v>
      </c>
      <c r="F42" s="52">
        <f t="shared" si="11"/>
        <v>226</v>
      </c>
      <c r="G42" s="66">
        <v>18</v>
      </c>
      <c r="H42" s="66">
        <f t="shared" si="33"/>
        <v>4068</v>
      </c>
      <c r="I42" s="67">
        <v>16</v>
      </c>
      <c r="J42" s="68">
        <f t="shared" si="1"/>
        <v>25.128766788379849</v>
      </c>
      <c r="K42" s="68">
        <f t="shared" si="41"/>
        <v>127.48905528245331</v>
      </c>
      <c r="L42" s="68">
        <f t="shared" si="34"/>
        <v>3616</v>
      </c>
      <c r="M42" s="69">
        <f t="shared" si="35"/>
        <v>-30417.77432179579</v>
      </c>
      <c r="N42" s="66">
        <v>10</v>
      </c>
      <c r="O42" s="66">
        <f t="shared" si="23"/>
        <v>32300.011156671088</v>
      </c>
      <c r="P42" s="66">
        <f t="shared" si="23"/>
        <v>32300.011156671088</v>
      </c>
      <c r="Q42" s="70">
        <f t="shared" si="5"/>
        <v>8344.8583373142319</v>
      </c>
      <c r="R42" s="67">
        <v>10</v>
      </c>
      <c r="S42" s="68">
        <f t="shared" si="36"/>
        <v>2260</v>
      </c>
      <c r="T42" s="71">
        <f t="shared" si="37"/>
        <v>6.9969016079835952E-2</v>
      </c>
      <c r="U42" s="71">
        <f t="shared" si="38"/>
        <v>0.32832367412739905</v>
      </c>
      <c r="V42" s="72">
        <f>IF($S42=0,"-",(VLOOKUP(N42,'APP 2885'!$B$10:$G$54,6)*$H42)/($S42+$Q42))</f>
        <v>2.2362906024453468</v>
      </c>
      <c r="W42" s="73">
        <f t="shared" si="39"/>
        <v>-0.94172643390909327</v>
      </c>
      <c r="X42" s="74">
        <f t="shared" si="40"/>
        <v>-0.6833717758615302</v>
      </c>
      <c r="Y42" s="72">
        <f>IF($S42=0,"-",(VLOOKUP(N42,'APP 2885'!$B$10:$G$54,4)*$H42)/($M42+$Q42))</f>
        <v>-1.1590372539542992</v>
      </c>
    </row>
    <row r="43" spans="1:25" s="50" customFormat="1" ht="19.899999999999999" customHeight="1" thickBot="1" x14ac:dyDescent="0.3">
      <c r="A43" s="77" t="s">
        <v>68</v>
      </c>
      <c r="B43" s="77" t="s">
        <v>30</v>
      </c>
      <c r="C43" s="77" t="s">
        <v>69</v>
      </c>
      <c r="D43" s="78">
        <v>107</v>
      </c>
      <c r="E43" s="78">
        <v>107</v>
      </c>
      <c r="F43" s="78">
        <f t="shared" si="11"/>
        <v>107</v>
      </c>
      <c r="G43" s="78">
        <v>17</v>
      </c>
      <c r="H43" s="78">
        <f t="shared" si="33"/>
        <v>1819</v>
      </c>
      <c r="I43" s="79">
        <v>16</v>
      </c>
      <c r="J43" s="80">
        <f t="shared" si="1"/>
        <v>23.732724189025415</v>
      </c>
      <c r="K43" s="80">
        <f t="shared" si="41"/>
        <v>127.11190421806248</v>
      </c>
      <c r="L43" s="80">
        <f t="shared" si="34"/>
        <v>1712</v>
      </c>
      <c r="M43" s="81">
        <f t="shared" si="35"/>
        <v>-14428.375239558405</v>
      </c>
      <c r="N43" s="78">
        <v>10</v>
      </c>
      <c r="O43" s="78">
        <f t="shared" si="23"/>
        <v>14442.900760566545</v>
      </c>
      <c r="P43" s="78">
        <f t="shared" si="23"/>
        <v>14442.900760566545</v>
      </c>
      <c r="Q43" s="82">
        <f t="shared" si="5"/>
        <v>3731.3906872110588</v>
      </c>
      <c r="R43" s="79">
        <v>10</v>
      </c>
      <c r="S43" s="80">
        <f t="shared" si="36"/>
        <v>1070</v>
      </c>
      <c r="T43" s="83">
        <f t="shared" si="37"/>
        <v>7.4084840555120421E-2</v>
      </c>
      <c r="U43" s="83">
        <f t="shared" si="38"/>
        <v>0.33243949860268351</v>
      </c>
      <c r="V43" s="84">
        <f>IF($S43=0,"-",(VLOOKUP(N43,'APP 2885'!$B$10:$G$54,6)*$H43)/($S43+$Q43))</f>
        <v>2.2086038214398394</v>
      </c>
      <c r="W43" s="85">
        <f t="shared" si="39"/>
        <v>-0.99899427952535691</v>
      </c>
      <c r="X43" s="86">
        <f t="shared" si="40"/>
        <v>-0.74063962147779383</v>
      </c>
      <c r="Y43" s="84">
        <f>IF($S43=0,"-",(VLOOKUP(N43,'APP 2885'!$B$10:$G$54,4)*$H43)/($M43+$Q43))</f>
        <v>-1.0694180051345912</v>
      </c>
    </row>
    <row r="44" spans="1:25" s="75" customFormat="1" ht="19.899999999999999" customHeight="1" thickBot="1" x14ac:dyDescent="0.3">
      <c r="A44" s="65" t="s">
        <v>68</v>
      </c>
      <c r="B44" s="65" t="s">
        <v>31</v>
      </c>
      <c r="C44" s="65" t="s">
        <v>69</v>
      </c>
      <c r="D44" s="66">
        <v>308</v>
      </c>
      <c r="E44" s="66">
        <v>317</v>
      </c>
      <c r="F44" s="52">
        <f t="shared" si="11"/>
        <v>317</v>
      </c>
      <c r="G44" s="66">
        <v>20</v>
      </c>
      <c r="H44" s="66">
        <f t="shared" si="33"/>
        <v>6340</v>
      </c>
      <c r="I44" s="67">
        <v>16</v>
      </c>
      <c r="J44" s="68">
        <f t="shared" si="1"/>
        <v>27.920851987088724</v>
      </c>
      <c r="K44" s="68">
        <f t="shared" si="41"/>
        <v>128.24335741123497</v>
      </c>
      <c r="L44" s="68">
        <f t="shared" si="34"/>
        <v>5072</v>
      </c>
      <c r="M44" s="69">
        <f t="shared" si="35"/>
        <v>-43026.576494683701</v>
      </c>
      <c r="N44" s="66">
        <v>10</v>
      </c>
      <c r="O44" s="66">
        <f t="shared" si="23"/>
        <v>50339.742068164873</v>
      </c>
      <c r="P44" s="66">
        <f t="shared" si="23"/>
        <v>50339.742068164873</v>
      </c>
      <c r="Q44" s="70">
        <f t="shared" si="5"/>
        <v>13005.506848223262</v>
      </c>
      <c r="R44" s="67">
        <v>10</v>
      </c>
      <c r="S44" s="68">
        <f t="shared" si="36"/>
        <v>3170</v>
      </c>
      <c r="T44" s="71">
        <f t="shared" si="37"/>
        <v>6.2972114471852358E-2</v>
      </c>
      <c r="U44" s="71">
        <f t="shared" si="38"/>
        <v>0.32132677251941544</v>
      </c>
      <c r="V44" s="72">
        <f>IF($S44=0,"-",(VLOOKUP(N44,'APP 2885'!$B$10:$G$54,6)*$H44)/($S44+$Q44))</f>
        <v>2.284985907817771</v>
      </c>
      <c r="W44" s="73">
        <f t="shared" si="39"/>
        <v>-0.85472381714672996</v>
      </c>
      <c r="X44" s="74">
        <f t="shared" si="40"/>
        <v>-0.59636915909916688</v>
      </c>
      <c r="Y44" s="72">
        <f>IF($S44=0,"-",(VLOOKUP(N44,'APP 2885'!$B$10:$G$54,4)*$H44)/($M44+$Q44))</f>
        <v>-1.3281259341459588</v>
      </c>
    </row>
    <row r="45" spans="1:25" s="50" customFormat="1" ht="19.899999999999999" customHeight="1" thickBot="1" x14ac:dyDescent="0.3">
      <c r="A45" s="77" t="s">
        <v>70</v>
      </c>
      <c r="B45" s="77" t="s">
        <v>28</v>
      </c>
      <c r="C45" s="77" t="s">
        <v>71</v>
      </c>
      <c r="D45" s="78">
        <v>31</v>
      </c>
      <c r="E45" s="78">
        <v>26518</v>
      </c>
      <c r="F45" s="78">
        <f>D45</f>
        <v>31</v>
      </c>
      <c r="G45" s="87">
        <v>7.0999999999999994E-2</v>
      </c>
      <c r="H45" s="82">
        <f t="shared" si="33"/>
        <v>1882.7779999999998</v>
      </c>
      <c r="I45" s="79">
        <v>1.18</v>
      </c>
      <c r="J45" s="80">
        <f t="shared" si="1"/>
        <v>0.19320447767005752</v>
      </c>
      <c r="K45" s="80">
        <f>0.1*$I45+PV($B$111,$N45,(-0.05*0.95*$G45))</f>
        <v>0.18330409645972179</v>
      </c>
      <c r="L45" s="80">
        <f t="shared" si="34"/>
        <v>31291.239999999998</v>
      </c>
      <c r="M45" s="81">
        <f t="shared" si="35"/>
        <v>31279.568234201975</v>
      </c>
      <c r="N45" s="78">
        <v>45</v>
      </c>
      <c r="O45" s="78">
        <f t="shared" si="23"/>
        <v>36457.558524608488</v>
      </c>
      <c r="P45" s="78">
        <f t="shared" si="23"/>
        <v>36457.558524608488</v>
      </c>
      <c r="Q45" s="82">
        <f t="shared" si="5"/>
        <v>3862.2211628839264</v>
      </c>
      <c r="R45" s="79">
        <v>0.75</v>
      </c>
      <c r="S45" s="80">
        <f t="shared" si="36"/>
        <v>19888.5</v>
      </c>
      <c r="T45" s="83">
        <f t="shared" si="37"/>
        <v>0.54552473629235099</v>
      </c>
      <c r="U45" s="83">
        <f t="shared" si="38"/>
        <v>0.65146219670339212</v>
      </c>
      <c r="V45" s="84">
        <f>IF($S45=0,"-",(VLOOKUP(N45,'APP 2885'!$B$10:$G$54,6)*$H45)/($S45+$Q45))</f>
        <v>2.9469204976227985</v>
      </c>
      <c r="W45" s="85">
        <f t="shared" si="39"/>
        <v>0.85797210510101984</v>
      </c>
      <c r="X45" s="86">
        <f t="shared" si="40"/>
        <v>0.96390956551206086</v>
      </c>
      <c r="Y45" s="84">
        <f>IF($S45=0,"-",(VLOOKUP(N45,'APP 2885'!$B$10:$G$54,4)*$H45)/($M45+$Q45))</f>
        <v>2.1843105059699099</v>
      </c>
    </row>
    <row r="46" spans="1:25" s="75" customFormat="1" ht="19.899999999999999" customHeight="1" thickBot="1" x14ac:dyDescent="0.3">
      <c r="A46" s="65" t="s">
        <v>70</v>
      </c>
      <c r="B46" s="65" t="s">
        <v>30</v>
      </c>
      <c r="C46" s="65" t="s">
        <v>71</v>
      </c>
      <c r="D46" s="66">
        <v>3</v>
      </c>
      <c r="E46" s="66">
        <v>3512</v>
      </c>
      <c r="F46" s="52">
        <f t="shared" ref="F46:F47" si="42">D46</f>
        <v>3</v>
      </c>
      <c r="G46" s="76">
        <v>6.5000000000000002E-2</v>
      </c>
      <c r="H46" s="70">
        <f t="shared" si="33"/>
        <v>228.28</v>
      </c>
      <c r="I46" s="67">
        <v>1.18</v>
      </c>
      <c r="J46" s="68">
        <f t="shared" si="1"/>
        <v>0.17687733871202449</v>
      </c>
      <c r="K46" s="68">
        <f>0.1*$I46+PV($B$111,$N46,(-0.05*0.95*$G46))</f>
        <v>0.17778544042087208</v>
      </c>
      <c r="L46" s="68">
        <f t="shared" si="34"/>
        <v>4144.16</v>
      </c>
      <c r="M46" s="69">
        <f t="shared" si="35"/>
        <v>4143.0960116626011</v>
      </c>
      <c r="N46" s="66">
        <v>45</v>
      </c>
      <c r="O46" s="66">
        <f t="shared" si="23"/>
        <v>4420.3466685916374</v>
      </c>
      <c r="P46" s="66">
        <f t="shared" si="23"/>
        <v>4420.3466685916374</v>
      </c>
      <c r="Q46" s="70">
        <f t="shared" si="5"/>
        <v>468.28030020700407</v>
      </c>
      <c r="R46" s="67">
        <v>0.75</v>
      </c>
      <c r="S46" s="68">
        <f t="shared" si="36"/>
        <v>2634</v>
      </c>
      <c r="T46" s="71">
        <f t="shared" si="37"/>
        <v>0.59588086579626032</v>
      </c>
      <c r="U46" s="71">
        <f t="shared" si="38"/>
        <v>0.70181832620730145</v>
      </c>
      <c r="V46" s="72">
        <f>IF($S46=0,"-",(VLOOKUP(N46,'APP 2885'!$B$10:$G$54,6)*$H46)/($S46+$Q46))</f>
        <v>2.7354761612829894</v>
      </c>
      <c r="W46" s="73">
        <f t="shared" si="39"/>
        <v>0.93727852638820952</v>
      </c>
      <c r="X46" s="74">
        <f t="shared" si="40"/>
        <v>1.0432159867992508</v>
      </c>
      <c r="Y46" s="72">
        <f>IF($S46=0,"-",(VLOOKUP(N46,'APP 2885'!$B$10:$G$54,4)*$H46)/($M46+$Q46))</f>
        <v>2.0182568302205759</v>
      </c>
    </row>
    <row r="47" spans="1:25" s="50" customFormat="1" ht="19.899999999999999" customHeight="1" thickBot="1" x14ac:dyDescent="0.3">
      <c r="A47" s="77" t="s">
        <v>70</v>
      </c>
      <c r="B47" s="77" t="s">
        <v>31</v>
      </c>
      <c r="C47" s="77" t="s">
        <v>71</v>
      </c>
      <c r="D47" s="78">
        <v>11</v>
      </c>
      <c r="E47" s="78">
        <v>18382</v>
      </c>
      <c r="F47" s="78">
        <f t="shared" si="42"/>
        <v>11</v>
      </c>
      <c r="G47" s="87">
        <v>7.5999999999999998E-2</v>
      </c>
      <c r="H47" s="82">
        <f t="shared" si="33"/>
        <v>1397.0319999999999</v>
      </c>
      <c r="I47" s="79">
        <v>1.18</v>
      </c>
      <c r="J47" s="80">
        <f t="shared" si="1"/>
        <v>0.20681042680175171</v>
      </c>
      <c r="K47" s="80">
        <f>0.1*$I47+PV($B$111,$N47,(-0.05*0.95*$G47))</f>
        <v>0.18790297649209659</v>
      </c>
      <c r="L47" s="80">
        <f t="shared" si="34"/>
        <v>21690.76</v>
      </c>
      <c r="M47" s="81">
        <f t="shared" si="35"/>
        <v>21686.418152563765</v>
      </c>
      <c r="N47" s="78">
        <v>45</v>
      </c>
      <c r="O47" s="78">
        <f t="shared" si="23"/>
        <v>27051.716081636201</v>
      </c>
      <c r="P47" s="78">
        <f t="shared" si="23"/>
        <v>27051.716081636201</v>
      </c>
      <c r="Q47" s="82">
        <f t="shared" si="5"/>
        <v>2865.7901014490599</v>
      </c>
      <c r="R47" s="79">
        <v>0.75</v>
      </c>
      <c r="S47" s="80">
        <f t="shared" si="36"/>
        <v>13786.5</v>
      </c>
      <c r="T47" s="83">
        <f t="shared" si="37"/>
        <v>0.50963495100995959</v>
      </c>
      <c r="U47" s="83">
        <f t="shared" si="38"/>
        <v>0.61557241142100072</v>
      </c>
      <c r="V47" s="84">
        <f>IF($S47=0,"-",(VLOOKUP(N47,'APP 2885'!$B$10:$G$54,6)*$H47)/($S47+$Q47))</f>
        <v>3.1187351240447523</v>
      </c>
      <c r="W47" s="85">
        <f t="shared" si="39"/>
        <v>0.80166515451806708</v>
      </c>
      <c r="X47" s="86">
        <f t="shared" si="40"/>
        <v>0.90760261492910821</v>
      </c>
      <c r="Y47" s="84">
        <f>IF($S47=0,"-",(VLOOKUP(N47,'APP 2885'!$B$10:$G$54,4)*$H47)/($M47+$Q47))</f>
        <v>2.3198234074252224</v>
      </c>
    </row>
    <row r="48" spans="1:25" ht="19.899999999999999" customHeight="1" thickBot="1" x14ac:dyDescent="0.3">
      <c r="A48" s="65" t="s">
        <v>72</v>
      </c>
      <c r="B48" s="3" t="s">
        <v>28</v>
      </c>
      <c r="C48" s="3" t="s">
        <v>73</v>
      </c>
      <c r="D48" s="4">
        <v>22</v>
      </c>
      <c r="E48" s="4">
        <v>22</v>
      </c>
      <c r="F48" s="52">
        <f t="shared" si="11"/>
        <v>22</v>
      </c>
      <c r="G48" s="4">
        <v>75</v>
      </c>
      <c r="H48" s="4">
        <f t="shared" si="33"/>
        <v>1650</v>
      </c>
      <c r="I48" s="5">
        <v>750</v>
      </c>
      <c r="J48" s="6">
        <f t="shared" si="1"/>
        <v>120.22739154711937</v>
      </c>
      <c r="K48" s="6">
        <f>0.1*$I48+PV($B$111,$N48,(-0.05*0.95*$G48))+PV($B$111,$N48,-15)</f>
        <v>255.5094129992417</v>
      </c>
      <c r="L48" s="6">
        <f t="shared" si="34"/>
        <v>16500</v>
      </c>
      <c r="M48" s="7">
        <f t="shared" si="35"/>
        <v>8233.7902999800554</v>
      </c>
      <c r="N48" s="4">
        <v>13</v>
      </c>
      <c r="O48" s="4">
        <f t="shared" si="23"/>
        <v>16045.281155488154</v>
      </c>
      <c r="P48" s="4">
        <f t="shared" si="23"/>
        <v>16045.281155488154</v>
      </c>
      <c r="Q48" s="8">
        <f t="shared" si="5"/>
        <v>3384.7139273767166</v>
      </c>
      <c r="R48" s="5">
        <v>100</v>
      </c>
      <c r="S48" s="6">
        <f t="shared" si="36"/>
        <v>2200</v>
      </c>
      <c r="T48" s="9">
        <f t="shared" si="37"/>
        <v>0.13711196324207187</v>
      </c>
      <c r="U48" s="9">
        <f t="shared" si="38"/>
        <v>0.34805958669452874</v>
      </c>
      <c r="V48" s="10">
        <f>IF($S48=0,"-",(VLOOKUP(N48,'APP 2885'!$B$10:$G$54,6)*$H48)/($S48+$Q48))</f>
        <v>2.2887071148519733</v>
      </c>
      <c r="W48" s="11">
        <f t="shared" si="39"/>
        <v>0.51315961497899687</v>
      </c>
      <c r="X48" s="12">
        <f t="shared" si="40"/>
        <v>0.72410723843145375</v>
      </c>
      <c r="Y48" s="10">
        <f>IF($S48=0,"-",(VLOOKUP(N48,'APP 2885'!$B$10:$G$54,4)*$H48)/($M48+$Q48))</f>
        <v>1.199460003867487</v>
      </c>
    </row>
    <row r="49" spans="1:25" ht="19.899999999999999" customHeight="1" thickBot="1" x14ac:dyDescent="0.3">
      <c r="A49" s="13" t="s">
        <v>72</v>
      </c>
      <c r="B49" s="13" t="s">
        <v>31</v>
      </c>
      <c r="C49" s="13" t="s">
        <v>73</v>
      </c>
      <c r="D49" s="14">
        <v>1</v>
      </c>
      <c r="E49" s="14">
        <v>1</v>
      </c>
      <c r="F49" s="78">
        <f t="shared" si="11"/>
        <v>1</v>
      </c>
      <c r="G49" s="14">
        <v>84</v>
      </c>
      <c r="H49" s="14">
        <f t="shared" si="33"/>
        <v>84</v>
      </c>
      <c r="I49" s="15">
        <v>750</v>
      </c>
      <c r="J49" s="16">
        <f t="shared" si="1"/>
        <v>134.65467853277366</v>
      </c>
      <c r="K49" s="16">
        <f>0.1*$I49+PV($B$111,$N49,(-0.05*0.95*$G49))+PV($B$111,$N49,-15)</f>
        <v>259.66659948043639</v>
      </c>
      <c r="L49" s="16">
        <f t="shared" si="34"/>
        <v>750</v>
      </c>
      <c r="M49" s="17">
        <f t="shared" si="35"/>
        <v>355.67872198678992</v>
      </c>
      <c r="N49" s="14">
        <v>13</v>
      </c>
      <c r="O49" s="14">
        <f t="shared" si="23"/>
        <v>816.85067700666957</v>
      </c>
      <c r="P49" s="14">
        <f t="shared" si="23"/>
        <v>816.85067700666957</v>
      </c>
      <c r="Q49" s="18">
        <f t="shared" si="5"/>
        <v>172.31270903008738</v>
      </c>
      <c r="R49" s="15">
        <v>100</v>
      </c>
      <c r="S49" s="16">
        <f t="shared" si="36"/>
        <v>100</v>
      </c>
      <c r="T49" s="19">
        <f t="shared" si="37"/>
        <v>0.12242139575184989</v>
      </c>
      <c r="U49" s="19">
        <f t="shared" si="38"/>
        <v>0.33336901920430673</v>
      </c>
      <c r="V49" s="20">
        <f>IF($S49=0,"-",(VLOOKUP(N49,'APP 2885'!$B$10:$G$54,6)*$H49)/($S49+$Q49))</f>
        <v>2.3895635364124863</v>
      </c>
      <c r="W49" s="21">
        <f t="shared" si="39"/>
        <v>0.43542685584856999</v>
      </c>
      <c r="X49" s="22">
        <f t="shared" si="40"/>
        <v>0.64637447930102687</v>
      </c>
      <c r="Y49" s="20">
        <f>IF($S49=0,"-",(VLOOKUP(N49,'APP 2885'!$B$10:$G$54,4)*$H49)/($M49+$Q49))</f>
        <v>1.3437066264569755</v>
      </c>
    </row>
    <row r="50" spans="1:25" ht="19.899999999999999" customHeight="1" thickBot="1" x14ac:dyDescent="0.3">
      <c r="A50" s="49" t="s">
        <v>105</v>
      </c>
      <c r="B50" s="3"/>
      <c r="C50" s="3"/>
      <c r="D50" s="4"/>
      <c r="E50" s="4"/>
      <c r="F50" s="52"/>
      <c r="G50" s="48"/>
      <c r="H50" s="4"/>
      <c r="I50" s="5"/>
      <c r="J50" s="6"/>
      <c r="K50" s="6"/>
      <c r="L50" s="6"/>
      <c r="M50" s="7"/>
      <c r="N50" s="4"/>
      <c r="O50" s="4"/>
      <c r="P50" s="4"/>
      <c r="Q50" s="8"/>
      <c r="R50" s="5"/>
      <c r="S50" s="6"/>
      <c r="T50" s="9"/>
      <c r="U50" s="9"/>
      <c r="V50" s="10"/>
      <c r="W50" s="11"/>
      <c r="X50" s="12"/>
      <c r="Y50" s="10"/>
    </row>
    <row r="51" spans="1:25" ht="19.899999999999999" customHeight="1" thickBot="1" x14ac:dyDescent="0.3">
      <c r="A51" s="13" t="s">
        <v>32</v>
      </c>
      <c r="B51" s="13" t="s">
        <v>28</v>
      </c>
      <c r="C51" s="13" t="s">
        <v>33</v>
      </c>
      <c r="D51" s="14">
        <v>135</v>
      </c>
      <c r="E51" s="14">
        <v>137</v>
      </c>
      <c r="F51" s="78">
        <f t="shared" si="11"/>
        <v>137</v>
      </c>
      <c r="G51" s="14">
        <v>68</v>
      </c>
      <c r="H51" s="14">
        <f t="shared" ref="H51:H99" si="43">IF(ISNUMBER(E51),E51*G51,"")</f>
        <v>9316</v>
      </c>
      <c r="I51" s="15">
        <v>1171</v>
      </c>
      <c r="J51" s="16">
        <f t="shared" ref="J51:J69" si="44">0.5*0.95*$G51+PV($B$111,$N51,-(0.116*$G51))</f>
        <v>128.75530621675279</v>
      </c>
      <c r="K51" s="16">
        <f>0.1*$I51+PV($B$111,$N51,(-0.05*0.95*$G51))+PV($B$111,$N51,-15)</f>
        <v>340.01838645174996</v>
      </c>
      <c r="L51" s="16">
        <f t="shared" ref="L51:L83" si="45">IF(ISNUMBER(I51),I51*E51,"")</f>
        <v>160427</v>
      </c>
      <c r="M51" s="17">
        <f t="shared" ref="M51:M99" si="46">L51-D51*(J51+K51)</f>
        <v>97142.551489752135</v>
      </c>
      <c r="N51" s="14">
        <v>18</v>
      </c>
      <c r="O51" s="14">
        <f t="shared" ref="O51:P70" si="47">PV($B$111,$N51,-$H51)</f>
        <v>113917.042687027</v>
      </c>
      <c r="P51" s="14">
        <f t="shared" si="47"/>
        <v>113917.042687027</v>
      </c>
      <c r="Q51" s="18">
        <f t="shared" ref="Q51:Q83" si="48">(H51/$H$107)*$Q$107</f>
        <v>19110.299968146355</v>
      </c>
      <c r="R51" s="15">
        <v>350</v>
      </c>
      <c r="S51" s="16">
        <f t="shared" ref="S51:S99" si="49">IF(ISNUMBER(R51),R51*E51,"")</f>
        <v>47950</v>
      </c>
      <c r="T51" s="19">
        <f t="shared" ref="T51:T83" si="50">IF(ISERROR(S51/P51),0,S51/P51)</f>
        <v>0.420920337018726</v>
      </c>
      <c r="U51" s="19">
        <f t="shared" ref="U51:U83" si="51">IF(ISERROR((Q51+S51)/P51),0,(Q51+S51)/P51)</f>
        <v>0.58867662279810262</v>
      </c>
      <c r="V51" s="20">
        <f>IF($S51=0,"-",(VLOOKUP(N51,'APP 2885'!$B$10:$G$54,6)*$H51)/($S51+$Q51))</f>
        <v>1.600761841968946</v>
      </c>
      <c r="W51" s="21">
        <f t="shared" ref="W51:W83" si="52">IF(ISERROR(RM51/O51),0,M51/O51)</f>
        <v>0.85274818585871559</v>
      </c>
      <c r="X51" s="22">
        <f t="shared" ref="X51:X83" si="53">IF(ISERROR(M51/O51),0,(M51+Q51)/O51)</f>
        <v>1.0205044716380922</v>
      </c>
      <c r="Y51" s="20">
        <f>IF($S51=0,"-",(VLOOKUP(N51,'APP 2885'!$B$10:$G$54,4)*$H51)/($M51+$Q51))</f>
        <v>0.98651711178031409</v>
      </c>
    </row>
    <row r="52" spans="1:25" ht="19.899999999999999" customHeight="1" x14ac:dyDescent="0.25">
      <c r="A52" s="3" t="s">
        <v>32</v>
      </c>
      <c r="B52" s="3" t="s">
        <v>30</v>
      </c>
      <c r="C52" s="3" t="s">
        <v>33</v>
      </c>
      <c r="D52" s="4">
        <v>24</v>
      </c>
      <c r="E52" s="4">
        <v>24</v>
      </c>
      <c r="F52" s="52">
        <f t="shared" si="11"/>
        <v>24</v>
      </c>
      <c r="G52" s="4">
        <v>68</v>
      </c>
      <c r="H52" s="4">
        <f t="shared" si="43"/>
        <v>1632</v>
      </c>
      <c r="I52" s="5">
        <v>1171</v>
      </c>
      <c r="J52" s="6">
        <f t="shared" si="44"/>
        <v>128.75530621675279</v>
      </c>
      <c r="K52" s="6">
        <f>0.1*$I52+PV($B$111,$N52,(-0.05*0.95*$G52))+PV($B$111,$N52,-15)</f>
        <v>340.01838645174996</v>
      </c>
      <c r="L52" s="6">
        <f t="shared" si="45"/>
        <v>28104</v>
      </c>
      <c r="M52" s="7">
        <f t="shared" si="46"/>
        <v>16853.431375955934</v>
      </c>
      <c r="N52" s="4">
        <v>18</v>
      </c>
      <c r="O52" s="4">
        <f t="shared" si="47"/>
        <v>19956.270251741957</v>
      </c>
      <c r="P52" s="4">
        <f t="shared" si="47"/>
        <v>19956.270251741957</v>
      </c>
      <c r="Q52" s="8">
        <f t="shared" si="48"/>
        <v>3347.7897754416977</v>
      </c>
      <c r="R52" s="5">
        <v>350</v>
      </c>
      <c r="S52" s="6">
        <f t="shared" si="49"/>
        <v>8400</v>
      </c>
      <c r="T52" s="9">
        <f t="shared" si="50"/>
        <v>0.420920337018726</v>
      </c>
      <c r="U52" s="9">
        <f t="shared" si="51"/>
        <v>0.58867662279810262</v>
      </c>
      <c r="V52" s="10">
        <f>IF($S52=0,"-",(VLOOKUP(N52,'APP 2885'!$B$10:$G$54,6)*$H52)/($S52+$Q52))</f>
        <v>1.6007618419689458</v>
      </c>
      <c r="W52" s="11">
        <f t="shared" si="52"/>
        <v>0.84451809698682645</v>
      </c>
      <c r="X52" s="12">
        <f t="shared" si="53"/>
        <v>1.0122743827662033</v>
      </c>
      <c r="Y52" s="10">
        <f>IF($S52=0,"-",(VLOOKUP(N52,'APP 2885'!$B$10:$G$54,4)*$H52)/($M52+$Q52))</f>
        <v>0.99453778645293056</v>
      </c>
    </row>
    <row r="53" spans="1:25" ht="19.899999999999999" customHeight="1" thickBot="1" x14ac:dyDescent="0.3">
      <c r="A53" s="13" t="s">
        <v>32</v>
      </c>
      <c r="B53" s="13" t="s">
        <v>31</v>
      </c>
      <c r="C53" s="13" t="s">
        <v>33</v>
      </c>
      <c r="D53" s="14">
        <v>113</v>
      </c>
      <c r="E53" s="14">
        <v>113</v>
      </c>
      <c r="F53" s="78">
        <f t="shared" si="11"/>
        <v>113</v>
      </c>
      <c r="G53" s="14">
        <v>67</v>
      </c>
      <c r="H53" s="14">
        <f t="shared" si="43"/>
        <v>7571</v>
      </c>
      <c r="I53" s="15">
        <v>1171</v>
      </c>
      <c r="J53" s="16">
        <f t="shared" si="44"/>
        <v>126.86184583121232</v>
      </c>
      <c r="K53" s="16">
        <f>0.1*$I53+PV($B$111,$N53,(-0.05*0.95*$G53))+PV($B$111,$N53,-15)</f>
        <v>339.43755138008464</v>
      </c>
      <c r="L53" s="16">
        <f t="shared" si="45"/>
        <v>132323</v>
      </c>
      <c r="M53" s="17">
        <f t="shared" si="46"/>
        <v>79631.168115123437</v>
      </c>
      <c r="N53" s="14">
        <v>18</v>
      </c>
      <c r="O53" s="14">
        <f t="shared" si="47"/>
        <v>92578.996370060268</v>
      </c>
      <c r="P53" s="14">
        <f t="shared" si="47"/>
        <v>92578.996370060268</v>
      </c>
      <c r="Q53" s="18">
        <f t="shared" si="48"/>
        <v>15530.708572223708</v>
      </c>
      <c r="R53" s="15">
        <v>350</v>
      </c>
      <c r="S53" s="16">
        <f t="shared" si="49"/>
        <v>39550</v>
      </c>
      <c r="T53" s="19">
        <f t="shared" si="50"/>
        <v>0.42720273010855769</v>
      </c>
      <c r="U53" s="19">
        <f t="shared" si="51"/>
        <v>0.59495901588793443</v>
      </c>
      <c r="V53" s="20">
        <f>IF($S53=0,"-",(VLOOKUP(N53,'APP 2885'!$B$10:$G$54,6)*$H53)/($S53+$Q53))</f>
        <v>1.5838588034975594</v>
      </c>
      <c r="W53" s="21">
        <f t="shared" si="52"/>
        <v>0.86014291834422918</v>
      </c>
      <c r="X53" s="22">
        <f t="shared" si="53"/>
        <v>1.0278992041236059</v>
      </c>
      <c r="Y53" s="20">
        <f>IF($S53=0,"-",(VLOOKUP(N53,'APP 2885'!$B$10:$G$54,4)*$H53)/($M53+$Q53))</f>
        <v>0.97942008309819073</v>
      </c>
    </row>
    <row r="54" spans="1:25" ht="19.899999999999999" customHeight="1" thickBot="1" x14ac:dyDescent="0.3">
      <c r="A54" s="3" t="s">
        <v>34</v>
      </c>
      <c r="B54" s="3" t="s">
        <v>31</v>
      </c>
      <c r="C54" s="3" t="s">
        <v>35</v>
      </c>
      <c r="D54" s="4">
        <v>15</v>
      </c>
      <c r="E54" s="4">
        <v>15</v>
      </c>
      <c r="F54" s="52">
        <f t="shared" si="11"/>
        <v>15</v>
      </c>
      <c r="G54" s="4">
        <v>229</v>
      </c>
      <c r="H54" s="4">
        <f t="shared" si="43"/>
        <v>3435</v>
      </c>
      <c r="I54" s="5">
        <v>1142</v>
      </c>
      <c r="J54" s="6">
        <f t="shared" si="44"/>
        <v>545.05921238716519</v>
      </c>
      <c r="K54" s="6">
        <f>0.1*$I54+PV($B$111,$N54,(-0.05*0.95*$G54))+PV($B$111,$N54,-15)</f>
        <v>539.20921194281232</v>
      </c>
      <c r="L54" s="6">
        <f t="shared" si="45"/>
        <v>17130</v>
      </c>
      <c r="M54" s="7">
        <f t="shared" si="46"/>
        <v>865.97363505033718</v>
      </c>
      <c r="N54" s="4">
        <v>30</v>
      </c>
      <c r="O54" s="4">
        <f t="shared" si="47"/>
        <v>56416.061946616188</v>
      </c>
      <c r="P54" s="4">
        <f t="shared" si="47"/>
        <v>56416.061946616188</v>
      </c>
      <c r="Q54" s="8">
        <f t="shared" si="48"/>
        <v>7046.3589942660738</v>
      </c>
      <c r="R54" s="5">
        <v>2000</v>
      </c>
      <c r="S54" s="6">
        <f t="shared" si="49"/>
        <v>30000</v>
      </c>
      <c r="T54" s="9">
        <f t="shared" si="50"/>
        <v>0.53176345467692443</v>
      </c>
      <c r="U54" s="9">
        <f t="shared" si="51"/>
        <v>0.65666332806641603</v>
      </c>
      <c r="V54" s="10">
        <f>IF($S54=0,"-",(VLOOKUP(N54,'APP 2885'!$B$10:$G$54,6)*$H54)/($S54+$Q54))</f>
        <v>2.0453911509104072</v>
      </c>
      <c r="W54" s="11">
        <f t="shared" si="52"/>
        <v>1.5349771061116716E-2</v>
      </c>
      <c r="X54" s="12">
        <f t="shared" si="53"/>
        <v>0.14024964445060825</v>
      </c>
      <c r="Y54" s="10">
        <f>IF($S54=0,"-",(VLOOKUP(N54,'APP 2885'!$B$10:$G$54,4)*$H54)/($M54+$Q54))</f>
        <v>10.033495231635918</v>
      </c>
    </row>
    <row r="55" spans="1:25" s="50" customFormat="1" ht="19.899999999999999" customHeight="1" thickBot="1" x14ac:dyDescent="0.3">
      <c r="A55" s="77" t="s">
        <v>38</v>
      </c>
      <c r="B55" s="77" t="s">
        <v>28</v>
      </c>
      <c r="C55" s="77" t="s">
        <v>39</v>
      </c>
      <c r="D55" s="78">
        <v>1</v>
      </c>
      <c r="E55" s="78">
        <v>240</v>
      </c>
      <c r="F55" s="78">
        <f>D55</f>
        <v>1</v>
      </c>
      <c r="G55" s="87">
        <v>6.3E-2</v>
      </c>
      <c r="H55" s="82">
        <f t="shared" si="43"/>
        <v>15.120000000000001</v>
      </c>
      <c r="I55" s="79">
        <v>0.67</v>
      </c>
      <c r="J55" s="80">
        <f t="shared" si="44"/>
        <v>0.1714349590593468</v>
      </c>
      <c r="K55" s="80">
        <f t="shared" ref="K55:K60" si="54">0.1*$I55+PV($B$111,$N55,(-0.05*0.95*$G55))</f>
        <v>0.12494588840792219</v>
      </c>
      <c r="L55" s="80">
        <f t="shared" si="45"/>
        <v>160.80000000000001</v>
      </c>
      <c r="M55" s="81">
        <f t="shared" si="46"/>
        <v>160.50361915253274</v>
      </c>
      <c r="N55" s="78">
        <v>45</v>
      </c>
      <c r="O55" s="78">
        <f t="shared" si="47"/>
        <v>292.77922564002785</v>
      </c>
      <c r="P55" s="78">
        <f t="shared" si="47"/>
        <v>292.77922564002785</v>
      </c>
      <c r="Q55" s="82">
        <f t="shared" si="48"/>
        <v>31.016287625415728</v>
      </c>
      <c r="R55" s="79">
        <v>0.75</v>
      </c>
      <c r="S55" s="80">
        <f t="shared" si="49"/>
        <v>180</v>
      </c>
      <c r="T55" s="83">
        <f t="shared" si="50"/>
        <v>0.61479771867868127</v>
      </c>
      <c r="U55" s="83">
        <f t="shared" si="51"/>
        <v>0.7207351790897224</v>
      </c>
      <c r="V55" s="84">
        <f>IF($S55=0,"-",(VLOOKUP(N55,'APP 2885'!$B$10:$G$54,6)*$H55)/($S55+$Q55))</f>
        <v>2.6636791939534428</v>
      </c>
      <c r="W55" s="85">
        <f t="shared" si="52"/>
        <v>0.54820699385916127</v>
      </c>
      <c r="X55" s="86">
        <f t="shared" si="53"/>
        <v>0.65414445427020229</v>
      </c>
      <c r="Y55" s="84">
        <f>IF($S55=0,"-",(VLOOKUP(N55,'APP 2885'!$B$10:$G$54,4)*$H55)/($M55+$Q55))</f>
        <v>3.2186740665742812</v>
      </c>
    </row>
    <row r="56" spans="1:25" ht="19.899999999999999" customHeight="1" thickBot="1" x14ac:dyDescent="0.3">
      <c r="A56" s="3" t="s">
        <v>38</v>
      </c>
      <c r="B56" s="3" t="s">
        <v>30</v>
      </c>
      <c r="C56" s="3" t="s">
        <v>39</v>
      </c>
      <c r="D56" s="4">
        <v>3</v>
      </c>
      <c r="E56" s="4">
        <v>3668</v>
      </c>
      <c r="F56" s="52">
        <f t="shared" ref="F56:F59" si="55">D56</f>
        <v>3</v>
      </c>
      <c r="G56" s="23">
        <v>5.7000000000000002E-2</v>
      </c>
      <c r="H56" s="8">
        <f t="shared" si="43"/>
        <v>209.07599999999999</v>
      </c>
      <c r="I56" s="5">
        <v>0.67</v>
      </c>
      <c r="J56" s="6">
        <f t="shared" si="44"/>
        <v>0.15510782010131377</v>
      </c>
      <c r="K56" s="6">
        <f t="shared" si="54"/>
        <v>0.11942723236907246</v>
      </c>
      <c r="L56" s="6">
        <f t="shared" si="45"/>
        <v>2457.56</v>
      </c>
      <c r="M56" s="7">
        <f t="shared" si="46"/>
        <v>2456.7363948425887</v>
      </c>
      <c r="N56" s="4">
        <v>45</v>
      </c>
      <c r="O56" s="4">
        <f t="shared" si="47"/>
        <v>4048.4860701001626</v>
      </c>
      <c r="P56" s="4">
        <f t="shared" si="47"/>
        <v>4048.4860701001626</v>
      </c>
      <c r="Q56" s="8">
        <f t="shared" si="48"/>
        <v>428.88633277588741</v>
      </c>
      <c r="R56" s="5">
        <v>0.75</v>
      </c>
      <c r="S56" s="6">
        <f t="shared" si="49"/>
        <v>2751</v>
      </c>
      <c r="T56" s="9">
        <f t="shared" si="50"/>
        <v>0.67951326801327938</v>
      </c>
      <c r="U56" s="9">
        <f t="shared" si="51"/>
        <v>0.78545072842432051</v>
      </c>
      <c r="V56" s="10">
        <f>IF($S56=0,"-",(VLOOKUP(N56,'APP 2885'!$B$10:$G$54,6)*$H56)/($S56+$Q56))</f>
        <v>2.4442109879290519</v>
      </c>
      <c r="W56" s="11">
        <f t="shared" si="52"/>
        <v>0.60682841741426741</v>
      </c>
      <c r="X56" s="12">
        <f t="shared" si="53"/>
        <v>0.71276587782530854</v>
      </c>
      <c r="Y56" s="10">
        <f>IF($S56=0,"-",(VLOOKUP(N56,'APP 2885'!$B$10:$G$54,4)*$H56)/($M56+$Q56))</f>
        <v>2.9539542453643057</v>
      </c>
    </row>
    <row r="57" spans="1:25" s="50" customFormat="1" ht="19.899999999999999" customHeight="1" thickBot="1" x14ac:dyDescent="0.3">
      <c r="A57" s="77" t="s">
        <v>38</v>
      </c>
      <c r="B57" s="77" t="s">
        <v>31</v>
      </c>
      <c r="C57" s="77" t="s">
        <v>39</v>
      </c>
      <c r="D57" s="78">
        <v>3</v>
      </c>
      <c r="E57" s="78">
        <v>2590</v>
      </c>
      <c r="F57" s="78">
        <f t="shared" si="55"/>
        <v>3</v>
      </c>
      <c r="G57" s="87">
        <v>6.7000000000000004E-2</v>
      </c>
      <c r="H57" s="82">
        <f t="shared" si="43"/>
        <v>173.53</v>
      </c>
      <c r="I57" s="79">
        <v>0.67</v>
      </c>
      <c r="J57" s="80">
        <f t="shared" si="44"/>
        <v>0.18231971836470218</v>
      </c>
      <c r="K57" s="80">
        <f t="shared" si="54"/>
        <v>0.128624992433822</v>
      </c>
      <c r="L57" s="80">
        <f t="shared" si="45"/>
        <v>1735.3000000000002</v>
      </c>
      <c r="M57" s="81">
        <f t="shared" si="46"/>
        <v>1734.3671658676046</v>
      </c>
      <c r="N57" s="78">
        <v>45</v>
      </c>
      <c r="O57" s="78">
        <f t="shared" si="47"/>
        <v>3360.1837979705047</v>
      </c>
      <c r="P57" s="78">
        <f t="shared" si="47"/>
        <v>3360.1837979705047</v>
      </c>
      <c r="Q57" s="82">
        <f t="shared" si="48"/>
        <v>355.96933807132217</v>
      </c>
      <c r="R57" s="79">
        <v>0.75</v>
      </c>
      <c r="S57" s="80">
        <f t="shared" si="49"/>
        <v>1942.5</v>
      </c>
      <c r="T57" s="83">
        <f t="shared" si="50"/>
        <v>0.57809337726502874</v>
      </c>
      <c r="U57" s="83">
        <f t="shared" si="51"/>
        <v>0.68403083767606976</v>
      </c>
      <c r="V57" s="84">
        <f>IF($S57=0,"-",(VLOOKUP(N57,'APP 2885'!$B$10:$G$54,6)*$H57)/($S57+$Q57))</f>
        <v>2.8066092859409175</v>
      </c>
      <c r="W57" s="85">
        <f t="shared" si="52"/>
        <v>0.5161524696700025</v>
      </c>
      <c r="X57" s="86">
        <f t="shared" si="53"/>
        <v>0.62208993008104363</v>
      </c>
      <c r="Y57" s="84">
        <f>IF($S57=0,"-",(VLOOKUP(N57,'APP 2885'!$B$10:$G$54,4)*$H57)/($M57+$Q57))</f>
        <v>3.3845231837760048</v>
      </c>
    </row>
    <row r="58" spans="1:25" ht="19.899999999999999" customHeight="1" thickBot="1" x14ac:dyDescent="0.3">
      <c r="A58" s="3" t="s">
        <v>40</v>
      </c>
      <c r="B58" s="3" t="s">
        <v>28</v>
      </c>
      <c r="C58" s="3" t="s">
        <v>41</v>
      </c>
      <c r="D58" s="4">
        <v>110</v>
      </c>
      <c r="E58" s="4">
        <v>135729</v>
      </c>
      <c r="F58" s="52">
        <f t="shared" si="55"/>
        <v>110</v>
      </c>
      <c r="G58" s="23">
        <v>7.3999999999999996E-2</v>
      </c>
      <c r="H58" s="8">
        <f t="shared" si="43"/>
        <v>10043.946</v>
      </c>
      <c r="I58" s="5">
        <v>0.67</v>
      </c>
      <c r="J58" s="6">
        <f t="shared" si="44"/>
        <v>0.201368047149074</v>
      </c>
      <c r="K58" s="6">
        <f t="shared" si="54"/>
        <v>0.13506342447914671</v>
      </c>
      <c r="L58" s="6">
        <f t="shared" si="45"/>
        <v>90938.430000000008</v>
      </c>
      <c r="M58" s="7">
        <f t="shared" si="46"/>
        <v>90901.422538120896</v>
      </c>
      <c r="N58" s="4">
        <v>45</v>
      </c>
      <c r="O58" s="4">
        <f t="shared" si="47"/>
        <v>194488.01139221265</v>
      </c>
      <c r="P58" s="4">
        <f t="shared" si="47"/>
        <v>194488.01139221265</v>
      </c>
      <c r="Q58" s="8">
        <f t="shared" si="48"/>
        <v>20603.56600728464</v>
      </c>
      <c r="R58" s="5">
        <v>1</v>
      </c>
      <c r="S58" s="6">
        <f t="shared" si="49"/>
        <v>135729</v>
      </c>
      <c r="T58" s="9">
        <f t="shared" si="50"/>
        <v>0.69787849147309766</v>
      </c>
      <c r="U58" s="9">
        <f t="shared" si="51"/>
        <v>0.8038159518841389</v>
      </c>
      <c r="V58" s="10">
        <f>IF($S58=0,"-",(VLOOKUP(N58,'APP 2885'!$B$10:$G$54,6)*$H58)/($S58+$Q58))</f>
        <v>2.3883667603157006</v>
      </c>
      <c r="W58" s="11">
        <f t="shared" si="52"/>
        <v>0.46738830783150581</v>
      </c>
      <c r="X58" s="12">
        <f t="shared" si="53"/>
        <v>0.57332576824254688</v>
      </c>
      <c r="Y58" s="10">
        <f>IF($S58=0,"-",(VLOOKUP(N58,'APP 2885'!$B$10:$G$54,4)*$H58)/($M58+$Q58))</f>
        <v>3.6723934408302368</v>
      </c>
    </row>
    <row r="59" spans="1:25" s="50" customFormat="1" ht="19.899999999999999" customHeight="1" thickBot="1" x14ac:dyDescent="0.3">
      <c r="A59" s="77" t="s">
        <v>40</v>
      </c>
      <c r="B59" s="77" t="s">
        <v>30</v>
      </c>
      <c r="C59" s="77" t="s">
        <v>41</v>
      </c>
      <c r="D59" s="78">
        <v>16</v>
      </c>
      <c r="E59" s="78">
        <v>18335</v>
      </c>
      <c r="F59" s="78">
        <f t="shared" si="55"/>
        <v>16</v>
      </c>
      <c r="G59" s="87">
        <v>6.8000000000000005E-2</v>
      </c>
      <c r="H59" s="82">
        <f t="shared" si="43"/>
        <v>1246.7800000000002</v>
      </c>
      <c r="I59" s="79">
        <v>0.67</v>
      </c>
      <c r="J59" s="80">
        <f t="shared" si="44"/>
        <v>0.18504090819104099</v>
      </c>
      <c r="K59" s="80">
        <f t="shared" si="54"/>
        <v>0.12954476844029697</v>
      </c>
      <c r="L59" s="80">
        <f t="shared" si="45"/>
        <v>12284.45</v>
      </c>
      <c r="M59" s="81">
        <f t="shared" si="46"/>
        <v>12279.4166291739</v>
      </c>
      <c r="N59" s="78">
        <v>45</v>
      </c>
      <c r="O59" s="78">
        <f t="shared" si="47"/>
        <v>24142.280617954628</v>
      </c>
      <c r="P59" s="78">
        <f t="shared" si="47"/>
        <v>24142.280617954628</v>
      </c>
      <c r="Q59" s="82">
        <f t="shared" si="48"/>
        <v>2557.571897196814</v>
      </c>
      <c r="R59" s="79">
        <v>1</v>
      </c>
      <c r="S59" s="80">
        <f t="shared" si="49"/>
        <v>18335</v>
      </c>
      <c r="T59" s="83">
        <f t="shared" si="50"/>
        <v>0.75945600542660618</v>
      </c>
      <c r="U59" s="83">
        <f t="shared" si="51"/>
        <v>0.86539346583764731</v>
      </c>
      <c r="V59" s="84">
        <f>IF($S59=0,"-",(VLOOKUP(N59,'APP 2885'!$B$10:$G$54,6)*$H59)/($S59+$Q59))</f>
        <v>2.2184213039248535</v>
      </c>
      <c r="W59" s="85">
        <f t="shared" si="52"/>
        <v>0.50862703584191171</v>
      </c>
      <c r="X59" s="86">
        <f t="shared" si="53"/>
        <v>0.61456449625295295</v>
      </c>
      <c r="Y59" s="84">
        <f>IF($S59=0,"-",(VLOOKUP(N59,'APP 2885'!$B$10:$G$54,4)*$H59)/($M59+$Q59))</f>
        <v>3.4259671744628046</v>
      </c>
    </row>
    <row r="60" spans="1:25" ht="19.899999999999999" customHeight="1" thickBot="1" x14ac:dyDescent="0.3">
      <c r="A60" s="3" t="s">
        <v>40</v>
      </c>
      <c r="B60" s="3" t="s">
        <v>31</v>
      </c>
      <c r="C60" s="3" t="s">
        <v>41</v>
      </c>
      <c r="D60" s="4">
        <v>56</v>
      </c>
      <c r="E60" s="4">
        <v>76949</v>
      </c>
      <c r="F60" s="52">
        <f>D60</f>
        <v>56</v>
      </c>
      <c r="G60" s="23">
        <v>0.08</v>
      </c>
      <c r="H60" s="8">
        <f t="shared" si="43"/>
        <v>6155.92</v>
      </c>
      <c r="I60" s="5">
        <v>0.67</v>
      </c>
      <c r="J60" s="6">
        <f t="shared" si="44"/>
        <v>0.21769518610710706</v>
      </c>
      <c r="K60" s="6">
        <f t="shared" si="54"/>
        <v>0.14058208051799642</v>
      </c>
      <c r="L60" s="6">
        <f t="shared" si="45"/>
        <v>51555.83</v>
      </c>
      <c r="M60" s="7">
        <f t="shared" si="46"/>
        <v>51535.766473068994</v>
      </c>
      <c r="N60" s="4">
        <v>45</v>
      </c>
      <c r="O60" s="4">
        <f t="shared" si="47"/>
        <v>119201.42134272224</v>
      </c>
      <c r="P60" s="4">
        <f t="shared" si="47"/>
        <v>119201.42134272224</v>
      </c>
      <c r="Q60" s="8">
        <f t="shared" si="48"/>
        <v>12627.89585443447</v>
      </c>
      <c r="R60" s="5">
        <v>1</v>
      </c>
      <c r="S60" s="6">
        <f t="shared" si="49"/>
        <v>76949</v>
      </c>
      <c r="T60" s="9">
        <f t="shared" si="50"/>
        <v>0.64553760461261533</v>
      </c>
      <c r="U60" s="9">
        <f t="shared" si="51"/>
        <v>0.75147506502365646</v>
      </c>
      <c r="V60" s="10">
        <f>IF($S60=0,"-",(VLOOKUP(N60,'APP 2885'!$B$10:$G$54,6)*$H60)/($S60+$Q60))</f>
        <v>2.5547185665184595</v>
      </c>
      <c r="W60" s="11">
        <f t="shared" si="52"/>
        <v>0.43234187891850562</v>
      </c>
      <c r="X60" s="12">
        <f t="shared" si="53"/>
        <v>0.53827933932954675</v>
      </c>
      <c r="Y60" s="10">
        <f>IF($S60=0,"-",(VLOOKUP(N60,'APP 2885'!$B$10:$G$54,4)*$H60)/($M60+$Q60))</f>
        <v>3.9114965723472896</v>
      </c>
    </row>
    <row r="61" spans="1:25" s="50" customFormat="1" ht="19.899999999999999" customHeight="1" thickBot="1" x14ac:dyDescent="0.3">
      <c r="A61" s="77" t="s">
        <v>42</v>
      </c>
      <c r="B61" s="77" t="s">
        <v>28</v>
      </c>
      <c r="C61" s="77" t="s">
        <v>43</v>
      </c>
      <c r="D61" s="78">
        <v>4</v>
      </c>
      <c r="E61" s="78">
        <v>4</v>
      </c>
      <c r="F61" s="78">
        <f t="shared" si="11"/>
        <v>4</v>
      </c>
      <c r="G61" s="78">
        <v>77</v>
      </c>
      <c r="H61" s="78">
        <f t="shared" si="43"/>
        <v>308</v>
      </c>
      <c r="I61" s="79">
        <v>1747</v>
      </c>
      <c r="J61" s="80">
        <f t="shared" si="44"/>
        <v>209.53161662809052</v>
      </c>
      <c r="K61" s="80">
        <f t="shared" ref="K61:K69" si="56">0.1*$I61+PV($B$111,$N61,(-0.05*0.95*$G61))+PV($B$111,$N61,-15)</f>
        <v>535.97833349066275</v>
      </c>
      <c r="L61" s="80">
        <f t="shared" si="45"/>
        <v>6988</v>
      </c>
      <c r="M61" s="81">
        <f t="shared" si="46"/>
        <v>4005.9601995249868</v>
      </c>
      <c r="N61" s="78">
        <v>45</v>
      </c>
      <c r="O61" s="78">
        <f t="shared" si="47"/>
        <v>5964.0212630376045</v>
      </c>
      <c r="P61" s="78">
        <f t="shared" si="47"/>
        <v>5964.0212630376045</v>
      </c>
      <c r="Q61" s="82">
        <f t="shared" si="48"/>
        <v>631.81326644365367</v>
      </c>
      <c r="R61" s="79">
        <v>750</v>
      </c>
      <c r="S61" s="80">
        <f t="shared" si="49"/>
        <v>3000</v>
      </c>
      <c r="T61" s="83">
        <f t="shared" si="50"/>
        <v>0.50301631528255741</v>
      </c>
      <c r="U61" s="83">
        <f t="shared" si="51"/>
        <v>0.60895377569359854</v>
      </c>
      <c r="V61" s="84">
        <f>IF($S61=0,"-",(VLOOKUP(N61,'APP 2885'!$B$10:$G$54,6)*$H61)/($S61+$Q61))</f>
        <v>3.1526322317403168</v>
      </c>
      <c r="W61" s="85">
        <f t="shared" si="52"/>
        <v>0.67168777957787917</v>
      </c>
      <c r="X61" s="86">
        <f t="shared" si="53"/>
        <v>0.77762523998892019</v>
      </c>
      <c r="Y61" s="84">
        <f>IF($S61=0,"-",(VLOOKUP(N61,'APP 2885'!$B$10:$G$54,4)*$H61)/($M61+$Q61))</f>
        <v>2.7075738832536933</v>
      </c>
    </row>
    <row r="62" spans="1:25" ht="19.899999999999999" customHeight="1" thickBot="1" x14ac:dyDescent="0.3">
      <c r="A62" s="3" t="s">
        <v>42</v>
      </c>
      <c r="B62" s="3" t="s">
        <v>30</v>
      </c>
      <c r="C62" s="3" t="s">
        <v>43</v>
      </c>
      <c r="D62" s="4">
        <v>1</v>
      </c>
      <c r="E62" s="4">
        <v>1</v>
      </c>
      <c r="F62" s="52">
        <f t="shared" si="11"/>
        <v>1</v>
      </c>
      <c r="G62" s="4">
        <v>78</v>
      </c>
      <c r="H62" s="4">
        <f t="shared" si="43"/>
        <v>78</v>
      </c>
      <c r="I62" s="5">
        <v>1747</v>
      </c>
      <c r="J62" s="6">
        <f t="shared" si="44"/>
        <v>212.25280645442933</v>
      </c>
      <c r="K62" s="6">
        <f t="shared" si="56"/>
        <v>536.89810949713774</v>
      </c>
      <c r="L62" s="6">
        <f t="shared" si="45"/>
        <v>1747</v>
      </c>
      <c r="M62" s="7">
        <f t="shared" si="46"/>
        <v>997.84908404843293</v>
      </c>
      <c r="N62" s="4">
        <v>45</v>
      </c>
      <c r="O62" s="4">
        <f t="shared" si="47"/>
        <v>1510.3690211588737</v>
      </c>
      <c r="P62" s="4">
        <f t="shared" si="47"/>
        <v>1510.3690211588737</v>
      </c>
      <c r="Q62" s="8">
        <f t="shared" si="48"/>
        <v>160.00465838508114</v>
      </c>
      <c r="R62" s="5">
        <v>750</v>
      </c>
      <c r="S62" s="6">
        <f t="shared" si="49"/>
        <v>750</v>
      </c>
      <c r="T62" s="9">
        <f t="shared" si="50"/>
        <v>0.49656738816355034</v>
      </c>
      <c r="U62" s="9">
        <f t="shared" si="51"/>
        <v>0.60250484857459152</v>
      </c>
      <c r="V62" s="10">
        <f>IF($S62=0,"-",(VLOOKUP(N62,'APP 2885'!$B$10:$G$54,6)*$H62)/($S62+$Q62))</f>
        <v>3.1863765170247014</v>
      </c>
      <c r="W62" s="11">
        <f t="shared" si="52"/>
        <v>0.66066575126309512</v>
      </c>
      <c r="X62" s="12">
        <f t="shared" si="53"/>
        <v>0.76660321167413625</v>
      </c>
      <c r="Y62" s="10">
        <f>IF($S62=0,"-",(VLOOKUP(N62,'APP 2885'!$B$10:$G$54,4)*$H62)/($M62+$Q62))</f>
        <v>2.7465027000798314</v>
      </c>
    </row>
    <row r="63" spans="1:25" s="50" customFormat="1" ht="19.899999999999999" customHeight="1" thickBot="1" x14ac:dyDescent="0.3">
      <c r="A63" s="77" t="s">
        <v>42</v>
      </c>
      <c r="B63" s="77" t="s">
        <v>31</v>
      </c>
      <c r="C63" s="77" t="s">
        <v>43</v>
      </c>
      <c r="D63" s="78">
        <v>1</v>
      </c>
      <c r="E63" s="78">
        <v>1</v>
      </c>
      <c r="F63" s="78">
        <f t="shared" si="11"/>
        <v>1</v>
      </c>
      <c r="G63" s="78">
        <v>67</v>
      </c>
      <c r="H63" s="78">
        <f t="shared" si="43"/>
        <v>67</v>
      </c>
      <c r="I63" s="79">
        <v>1747</v>
      </c>
      <c r="J63" s="80">
        <f t="shared" si="44"/>
        <v>182.31971836470217</v>
      </c>
      <c r="K63" s="80">
        <f t="shared" si="56"/>
        <v>526.78057342591319</v>
      </c>
      <c r="L63" s="80">
        <f t="shared" si="45"/>
        <v>1747</v>
      </c>
      <c r="M63" s="81">
        <f t="shared" si="46"/>
        <v>1037.8997082093847</v>
      </c>
      <c r="N63" s="78">
        <v>45</v>
      </c>
      <c r="O63" s="78">
        <f t="shared" si="47"/>
        <v>1297.3682617646737</v>
      </c>
      <c r="P63" s="78">
        <f t="shared" si="47"/>
        <v>1297.3682617646737</v>
      </c>
      <c r="Q63" s="82">
        <f t="shared" si="48"/>
        <v>137.43989886923637</v>
      </c>
      <c r="R63" s="79">
        <v>750</v>
      </c>
      <c r="S63" s="80">
        <f t="shared" si="49"/>
        <v>750</v>
      </c>
      <c r="T63" s="83">
        <f t="shared" si="50"/>
        <v>0.57809337726502874</v>
      </c>
      <c r="U63" s="83">
        <f t="shared" si="51"/>
        <v>0.68403083767606987</v>
      </c>
      <c r="V63" s="84">
        <f>IF($S63=0,"-",(VLOOKUP(N63,'APP 2885'!$B$10:$G$54,6)*$H63)/($S63+$Q63))</f>
        <v>2.8066092859409175</v>
      </c>
      <c r="W63" s="85">
        <f t="shared" si="52"/>
        <v>0.80000393010820137</v>
      </c>
      <c r="X63" s="86">
        <f t="shared" si="53"/>
        <v>0.90594139051924261</v>
      </c>
      <c r="Y63" s="84">
        <f>IF($S63=0,"-",(VLOOKUP(N63,'APP 2885'!$B$10:$G$54,4)*$H63)/($M63+$Q63))</f>
        <v>2.3240772667933034</v>
      </c>
    </row>
    <row r="64" spans="1:25" s="61" customFormat="1" ht="19.899999999999999" customHeight="1" thickBot="1" x14ac:dyDescent="0.3">
      <c r="A64" s="51" t="s">
        <v>48</v>
      </c>
      <c r="B64" s="51" t="s">
        <v>28</v>
      </c>
      <c r="C64" s="51" t="s">
        <v>108</v>
      </c>
      <c r="D64" s="52">
        <v>35</v>
      </c>
      <c r="E64" s="52">
        <v>6824</v>
      </c>
      <c r="F64" s="52">
        <f>D64</f>
        <v>35</v>
      </c>
      <c r="G64" s="64">
        <v>6.3E-2</v>
      </c>
      <c r="H64" s="52">
        <f t="shared" si="43"/>
        <v>429.91199999999998</v>
      </c>
      <c r="I64" s="53">
        <v>0.61</v>
      </c>
      <c r="J64" s="54">
        <f t="shared" si="44"/>
        <v>0.14995078768729875</v>
      </c>
      <c r="K64" s="54">
        <f t="shared" si="56"/>
        <v>246.4684976025089</v>
      </c>
      <c r="L64" s="54">
        <f t="shared" si="45"/>
        <v>4162.6400000000003</v>
      </c>
      <c r="M64" s="55">
        <f t="shared" si="46"/>
        <v>-4469.0056936568662</v>
      </c>
      <c r="N64" s="52">
        <v>30</v>
      </c>
      <c r="O64" s="52">
        <f t="shared" si="47"/>
        <v>7060.8273722252279</v>
      </c>
      <c r="P64" s="52">
        <f t="shared" si="47"/>
        <v>7060.8273722252279</v>
      </c>
      <c r="Q64" s="56">
        <f t="shared" si="48"/>
        <v>881.89644481598714</v>
      </c>
      <c r="R64" s="53">
        <v>0.5</v>
      </c>
      <c r="S64" s="54">
        <f t="shared" si="49"/>
        <v>3412</v>
      </c>
      <c r="T64" s="57">
        <f t="shared" si="50"/>
        <v>0.48322948857545917</v>
      </c>
      <c r="U64" s="57">
        <f t="shared" si="51"/>
        <v>0.6081293619649506</v>
      </c>
      <c r="V64" s="58">
        <f>IF($S64=0,"-",(VLOOKUP(N64,'APP 2885'!$B$10:$G$54,6)*$H64)/($S64+$Q64))</f>
        <v>2.2086309991916422</v>
      </c>
      <c r="W64" s="59">
        <f t="shared" si="52"/>
        <v>-0.63292946535364081</v>
      </c>
      <c r="X64" s="60">
        <f t="shared" si="53"/>
        <v>-0.50802959196414932</v>
      </c>
      <c r="Y64" s="58">
        <f>IF($S64=0,"-",(VLOOKUP(N64,'APP 2885'!$B$10:$G$54,4)*$H64)/($M64+$Q64))</f>
        <v>-2.7699058501558977</v>
      </c>
    </row>
    <row r="65" spans="1:25" s="50" customFormat="1" ht="19.899999999999999" customHeight="1" x14ac:dyDescent="0.25">
      <c r="A65" s="77" t="s">
        <v>48</v>
      </c>
      <c r="B65" s="77" t="s">
        <v>30</v>
      </c>
      <c r="C65" s="77" t="s">
        <v>108</v>
      </c>
      <c r="D65" s="78">
        <v>5</v>
      </c>
      <c r="E65" s="78">
        <v>480</v>
      </c>
      <c r="F65" s="78">
        <f t="shared" ref="F65:F66" si="57">D65</f>
        <v>5</v>
      </c>
      <c r="G65" s="87">
        <v>6.3E-2</v>
      </c>
      <c r="H65" s="78">
        <f t="shared" si="43"/>
        <v>30.240000000000002</v>
      </c>
      <c r="I65" s="79">
        <v>0.61</v>
      </c>
      <c r="J65" s="80">
        <f t="shared" si="44"/>
        <v>0.14995078768729875</v>
      </c>
      <c r="K65" s="80">
        <f t="shared" si="56"/>
        <v>246.4684976025089</v>
      </c>
      <c r="L65" s="80">
        <f t="shared" si="45"/>
        <v>292.8</v>
      </c>
      <c r="M65" s="81">
        <f t="shared" si="46"/>
        <v>-940.29224195098095</v>
      </c>
      <c r="N65" s="78">
        <v>30</v>
      </c>
      <c r="O65" s="78">
        <f t="shared" si="47"/>
        <v>496.65843180951202</v>
      </c>
      <c r="P65" s="78">
        <f t="shared" si="47"/>
        <v>496.65843180951202</v>
      </c>
      <c r="Q65" s="82">
        <f t="shared" si="48"/>
        <v>62.032575250831457</v>
      </c>
      <c r="R65" s="79">
        <v>0.5</v>
      </c>
      <c r="S65" s="80">
        <f t="shared" si="49"/>
        <v>240</v>
      </c>
      <c r="T65" s="83">
        <f t="shared" si="50"/>
        <v>0.48322948857545905</v>
      </c>
      <c r="U65" s="83">
        <f t="shared" si="51"/>
        <v>0.60812936196495049</v>
      </c>
      <c r="V65" s="84">
        <f>IF($S65=0,"-",(VLOOKUP(N65,'APP 2885'!$B$10:$G$54,6)*$H65)/($S65+$Q65))</f>
        <v>2.2086309991916426</v>
      </c>
      <c r="W65" s="85">
        <f t="shared" si="52"/>
        <v>-1.8932372466226848</v>
      </c>
      <c r="X65" s="86">
        <f t="shared" si="53"/>
        <v>-1.7683373732331933</v>
      </c>
      <c r="Y65" s="84">
        <f>IF($S65=0,"-",(VLOOKUP(N65,'APP 2885'!$B$10:$G$54,4)*$H65)/($M65+$Q65))</f>
        <v>-0.79577243581123014</v>
      </c>
    </row>
    <row r="66" spans="1:25" s="61" customFormat="1" ht="19.899999999999999" customHeight="1" thickBot="1" x14ac:dyDescent="0.3">
      <c r="A66" s="51" t="s">
        <v>48</v>
      </c>
      <c r="B66" s="51" t="s">
        <v>31</v>
      </c>
      <c r="C66" s="51" t="s">
        <v>108</v>
      </c>
      <c r="D66" s="52">
        <v>12</v>
      </c>
      <c r="E66" s="52">
        <v>1760</v>
      </c>
      <c r="F66" s="52">
        <f t="shared" si="57"/>
        <v>12</v>
      </c>
      <c r="G66" s="64">
        <v>6.3E-2</v>
      </c>
      <c r="H66" s="52">
        <f t="shared" si="43"/>
        <v>110.88</v>
      </c>
      <c r="I66" s="53">
        <v>0.61</v>
      </c>
      <c r="J66" s="54">
        <f t="shared" si="44"/>
        <v>0.14995078768729875</v>
      </c>
      <c r="K66" s="54">
        <f t="shared" si="56"/>
        <v>246.4684976025089</v>
      </c>
      <c r="L66" s="54">
        <f t="shared" si="45"/>
        <v>1073.5999999999999</v>
      </c>
      <c r="M66" s="55">
        <f t="shared" si="46"/>
        <v>-1885.8213806823546</v>
      </c>
      <c r="N66" s="52">
        <v>30</v>
      </c>
      <c r="O66" s="52">
        <f t="shared" si="47"/>
        <v>1821.080916634877</v>
      </c>
      <c r="P66" s="52">
        <f t="shared" si="47"/>
        <v>1821.080916634877</v>
      </c>
      <c r="Q66" s="56">
        <f t="shared" si="48"/>
        <v>227.45277591971532</v>
      </c>
      <c r="R66" s="53">
        <v>0.5</v>
      </c>
      <c r="S66" s="54">
        <f t="shared" si="49"/>
        <v>880</v>
      </c>
      <c r="T66" s="57">
        <f t="shared" si="50"/>
        <v>0.48322948857545917</v>
      </c>
      <c r="U66" s="57">
        <f t="shared" si="51"/>
        <v>0.60812936196495071</v>
      </c>
      <c r="V66" s="58">
        <f>IF($S66=0,"-",(VLOOKUP(N66,'APP 2885'!$B$10:$G$54,6)*$H66)/($S66+$Q66))</f>
        <v>2.2086309991916422</v>
      </c>
      <c r="W66" s="59">
        <f t="shared" si="52"/>
        <v>-1.0355505696952279</v>
      </c>
      <c r="X66" s="60">
        <f t="shared" si="53"/>
        <v>-0.91065069630573636</v>
      </c>
      <c r="Y66" s="58">
        <f>IF($S66=0,"-",(VLOOKUP(N66,'APP 2885'!$B$10:$G$54,4)*$H66)/($M66+$Q66))</f>
        <v>-1.5452622443955923</v>
      </c>
    </row>
    <row r="67" spans="1:25" s="50" customFormat="1" ht="19.899999999999999" customHeight="1" thickBot="1" x14ac:dyDescent="0.3">
      <c r="A67" s="77" t="s">
        <v>49</v>
      </c>
      <c r="B67" s="77" t="s">
        <v>28</v>
      </c>
      <c r="C67" s="77" t="s">
        <v>50</v>
      </c>
      <c r="D67" s="78">
        <v>66</v>
      </c>
      <c r="E67" s="78">
        <v>67</v>
      </c>
      <c r="F67" s="78">
        <f t="shared" si="11"/>
        <v>67</v>
      </c>
      <c r="G67" s="78">
        <v>28</v>
      </c>
      <c r="H67" s="78">
        <f t="shared" si="43"/>
        <v>1876</v>
      </c>
      <c r="I67" s="79">
        <v>793.95</v>
      </c>
      <c r="J67" s="80">
        <f t="shared" si="44"/>
        <v>66.644794527688319</v>
      </c>
      <c r="K67" s="80">
        <f t="shared" si="56"/>
        <v>347.59712273311277</v>
      </c>
      <c r="L67" s="80">
        <f t="shared" si="45"/>
        <v>53194.65</v>
      </c>
      <c r="M67" s="81">
        <f t="shared" si="46"/>
        <v>25854.683460787131</v>
      </c>
      <c r="N67" s="78">
        <v>30</v>
      </c>
      <c r="O67" s="78">
        <f t="shared" si="47"/>
        <v>30811.217528923426</v>
      </c>
      <c r="P67" s="78">
        <f t="shared" si="47"/>
        <v>30811.217528923426</v>
      </c>
      <c r="Q67" s="82">
        <f t="shared" si="48"/>
        <v>3848.3171683386176</v>
      </c>
      <c r="R67" s="79">
        <v>150</v>
      </c>
      <c r="S67" s="80">
        <f t="shared" si="49"/>
        <v>10050</v>
      </c>
      <c r="T67" s="83">
        <f t="shared" si="50"/>
        <v>0.32617990478843489</v>
      </c>
      <c r="U67" s="83">
        <f t="shared" si="51"/>
        <v>0.45107977817792644</v>
      </c>
      <c r="V67" s="84">
        <f>IF($S67=0,"-",(VLOOKUP(N67,'APP 2885'!$B$10:$G$54,6)*$H67)/($S67+$Q67))</f>
        <v>2.9775960380663125</v>
      </c>
      <c r="W67" s="85">
        <f t="shared" si="52"/>
        <v>0.83913215816663378</v>
      </c>
      <c r="X67" s="86">
        <f t="shared" si="53"/>
        <v>0.96403203155612527</v>
      </c>
      <c r="Y67" s="84">
        <f>IF($S67=0,"-",(VLOOKUP(N67,'APP 2885'!$B$10:$G$54,4)*$H67)/($M67+$Q67))</f>
        <v>1.4596964548598454</v>
      </c>
    </row>
    <row r="68" spans="1:25" s="61" customFormat="1" ht="19.899999999999999" customHeight="1" x14ac:dyDescent="0.25">
      <c r="A68" s="51" t="s">
        <v>49</v>
      </c>
      <c r="B68" s="51" t="s">
        <v>30</v>
      </c>
      <c r="C68" s="51" t="s">
        <v>50</v>
      </c>
      <c r="D68" s="52">
        <v>2</v>
      </c>
      <c r="E68" s="52">
        <v>2</v>
      </c>
      <c r="F68" s="52">
        <f t="shared" si="11"/>
        <v>2</v>
      </c>
      <c r="G68" s="52">
        <v>28</v>
      </c>
      <c r="H68" s="52">
        <f t="shared" si="43"/>
        <v>56</v>
      </c>
      <c r="I68" s="53">
        <v>793.95</v>
      </c>
      <c r="J68" s="54">
        <f t="shared" si="44"/>
        <v>66.644794527688319</v>
      </c>
      <c r="K68" s="54">
        <f t="shared" si="56"/>
        <v>347.59712273311277</v>
      </c>
      <c r="L68" s="54">
        <f t="shared" si="45"/>
        <v>1587.9</v>
      </c>
      <c r="M68" s="55">
        <f t="shared" si="46"/>
        <v>759.41616547839794</v>
      </c>
      <c r="N68" s="52">
        <v>30</v>
      </c>
      <c r="O68" s="52">
        <f t="shared" si="47"/>
        <v>919.73783668428132</v>
      </c>
      <c r="P68" s="52">
        <f t="shared" si="47"/>
        <v>919.73783668428132</v>
      </c>
      <c r="Q68" s="56">
        <f t="shared" si="48"/>
        <v>114.87513935339157</v>
      </c>
      <c r="R68" s="53">
        <v>150</v>
      </c>
      <c r="S68" s="54">
        <f t="shared" si="49"/>
        <v>300</v>
      </c>
      <c r="T68" s="57">
        <f t="shared" si="50"/>
        <v>0.32617990478843495</v>
      </c>
      <c r="U68" s="57">
        <f t="shared" si="51"/>
        <v>0.45107977817792644</v>
      </c>
      <c r="V68" s="58">
        <f>IF($S68=0,"-",(VLOOKUP(N68,'APP 2885'!$B$10:$G$54,6)*$H68)/($S68+$Q68))</f>
        <v>2.9775960380663125</v>
      </c>
      <c r="W68" s="59">
        <f t="shared" si="52"/>
        <v>0.82568764183514065</v>
      </c>
      <c r="X68" s="60">
        <f t="shared" si="53"/>
        <v>0.95058751522463214</v>
      </c>
      <c r="Y68" s="58">
        <f>IF($S68=0,"-",(VLOOKUP(N68,'APP 2885'!$B$10:$G$54,4)*$H68)/($M68+$Q68))</f>
        <v>1.4803414901796585</v>
      </c>
    </row>
    <row r="69" spans="1:25" s="50" customFormat="1" ht="19.899999999999999" customHeight="1" thickBot="1" x14ac:dyDescent="0.3">
      <c r="A69" s="77" t="s">
        <v>49</v>
      </c>
      <c r="B69" s="77" t="s">
        <v>31</v>
      </c>
      <c r="C69" s="77" t="s">
        <v>50</v>
      </c>
      <c r="D69" s="78">
        <v>21</v>
      </c>
      <c r="E69" s="78">
        <v>21</v>
      </c>
      <c r="F69" s="78">
        <f t="shared" si="11"/>
        <v>21</v>
      </c>
      <c r="G69" s="78">
        <v>28</v>
      </c>
      <c r="H69" s="78">
        <f t="shared" si="43"/>
        <v>588</v>
      </c>
      <c r="I69" s="79">
        <v>793.95</v>
      </c>
      <c r="J69" s="80">
        <f t="shared" si="44"/>
        <v>66.644794527688319</v>
      </c>
      <c r="K69" s="80">
        <f t="shared" si="56"/>
        <v>347.59712273311277</v>
      </c>
      <c r="L69" s="80">
        <f t="shared" si="45"/>
        <v>16672.95</v>
      </c>
      <c r="M69" s="81">
        <f t="shared" si="46"/>
        <v>7973.8697375231786</v>
      </c>
      <c r="N69" s="78">
        <v>30</v>
      </c>
      <c r="O69" s="78">
        <f t="shared" si="47"/>
        <v>9657.2472851849561</v>
      </c>
      <c r="P69" s="78">
        <f t="shared" si="47"/>
        <v>9657.2472851849561</v>
      </c>
      <c r="Q69" s="82">
        <f t="shared" si="48"/>
        <v>1206.1889632106117</v>
      </c>
      <c r="R69" s="79">
        <v>150</v>
      </c>
      <c r="S69" s="80">
        <f t="shared" si="49"/>
        <v>3150</v>
      </c>
      <c r="T69" s="83">
        <f t="shared" si="50"/>
        <v>0.32617990478843484</v>
      </c>
      <c r="U69" s="83">
        <f t="shared" si="51"/>
        <v>0.45107977817792644</v>
      </c>
      <c r="V69" s="84">
        <f>IF($S69=0,"-",(VLOOKUP(N69,'APP 2885'!$B$10:$G$54,6)*$H69)/($S69+$Q69))</f>
        <v>2.977596038066312</v>
      </c>
      <c r="W69" s="85">
        <f t="shared" si="52"/>
        <v>0.82568764183514043</v>
      </c>
      <c r="X69" s="86">
        <f t="shared" si="53"/>
        <v>0.95058751522463203</v>
      </c>
      <c r="Y69" s="84">
        <f>IF($S69=0,"-",(VLOOKUP(N69,'APP 2885'!$B$10:$G$54,4)*$H69)/($M69+$Q69))</f>
        <v>1.4803414901796585</v>
      </c>
    </row>
    <row r="70" spans="1:25" s="61" customFormat="1" ht="19.899999999999999" customHeight="1" thickBot="1" x14ac:dyDescent="0.3">
      <c r="A70" s="51" t="s">
        <v>51</v>
      </c>
      <c r="B70" s="51" t="s">
        <v>28</v>
      </c>
      <c r="C70" s="51" t="s">
        <v>52</v>
      </c>
      <c r="D70" s="52">
        <v>10</v>
      </c>
      <c r="E70" s="52">
        <v>10</v>
      </c>
      <c r="F70" s="52">
        <f t="shared" si="11"/>
        <v>10</v>
      </c>
      <c r="G70" s="52">
        <v>17</v>
      </c>
      <c r="H70" s="52">
        <f t="shared" si="43"/>
        <v>170</v>
      </c>
      <c r="I70" s="53">
        <v>10</v>
      </c>
      <c r="J70" s="54">
        <f t="shared" ref="J70:J75" si="58">PV($B$111,$N70,-(0.116*$G70))</f>
        <v>15.657724189025416</v>
      </c>
      <c r="K70" s="54">
        <f t="shared" ref="K70:K75" si="59">PV($B$111,$N70,-8.6)</f>
        <v>68.28419271075991</v>
      </c>
      <c r="L70" s="54">
        <f t="shared" si="45"/>
        <v>100</v>
      </c>
      <c r="M70" s="55">
        <f t="shared" si="46"/>
        <v>-739.41916899785326</v>
      </c>
      <c r="N70" s="52">
        <v>10</v>
      </c>
      <c r="O70" s="52">
        <f t="shared" si="47"/>
        <v>1349.8038093987425</v>
      </c>
      <c r="P70" s="52">
        <f t="shared" si="47"/>
        <v>1349.8038093987425</v>
      </c>
      <c r="Q70" s="56">
        <f t="shared" si="48"/>
        <v>348.72810160851014</v>
      </c>
      <c r="R70" s="53">
        <v>10</v>
      </c>
      <c r="S70" s="54">
        <f t="shared" si="49"/>
        <v>100</v>
      </c>
      <c r="T70" s="57">
        <f t="shared" si="50"/>
        <v>7.4084840555120421E-2</v>
      </c>
      <c r="U70" s="57">
        <f t="shared" si="51"/>
        <v>0.33243949860268351</v>
      </c>
      <c r="V70" s="58">
        <f>IF($S70=0,"-",(VLOOKUP(N70,'APP 2885'!$B$10:$G$54,6)*$H70)/($S70+$Q70))</f>
        <v>2.2086038214398394</v>
      </c>
      <c r="W70" s="59">
        <f t="shared" si="52"/>
        <v>-0.54779751238605601</v>
      </c>
      <c r="X70" s="60">
        <f t="shared" si="53"/>
        <v>-0.28944285433849293</v>
      </c>
      <c r="Y70" s="58">
        <f>IF($S70=0,"-",(VLOOKUP(N70,'APP 2885'!$B$10:$G$54,4)*$H70)/($M70+$Q70))</f>
        <v>-2.736475731399965</v>
      </c>
    </row>
    <row r="71" spans="1:25" s="50" customFormat="1" ht="19.899999999999999" customHeight="1" x14ac:dyDescent="0.25">
      <c r="A71" s="77" t="s">
        <v>51</v>
      </c>
      <c r="B71" s="77" t="s">
        <v>30</v>
      </c>
      <c r="C71" s="77" t="s">
        <v>52</v>
      </c>
      <c r="D71" s="78">
        <v>9</v>
      </c>
      <c r="E71" s="78">
        <v>9</v>
      </c>
      <c r="F71" s="78">
        <f t="shared" ref="F71:F106" si="60">E71</f>
        <v>9</v>
      </c>
      <c r="G71" s="78">
        <v>19</v>
      </c>
      <c r="H71" s="78">
        <f t="shared" si="43"/>
        <v>171</v>
      </c>
      <c r="I71" s="79">
        <v>10</v>
      </c>
      <c r="J71" s="80">
        <f t="shared" si="58"/>
        <v>17.499809387734288</v>
      </c>
      <c r="K71" s="80">
        <f t="shared" si="59"/>
        <v>68.28419271075991</v>
      </c>
      <c r="L71" s="80">
        <f t="shared" si="45"/>
        <v>90</v>
      </c>
      <c r="M71" s="81">
        <f t="shared" si="46"/>
        <v>-682.05601888644776</v>
      </c>
      <c r="N71" s="78">
        <v>10</v>
      </c>
      <c r="O71" s="78">
        <f t="shared" ref="O71:P90" si="61">PV($B$111,$N71,-$H71)</f>
        <v>1357.7438318069703</v>
      </c>
      <c r="P71" s="78">
        <f t="shared" si="61"/>
        <v>1357.7438318069703</v>
      </c>
      <c r="Q71" s="82">
        <f t="shared" si="48"/>
        <v>350.77944338267787</v>
      </c>
      <c r="R71" s="79">
        <v>10</v>
      </c>
      <c r="S71" s="80">
        <f t="shared" si="49"/>
        <v>90</v>
      </c>
      <c r="T71" s="83">
        <f t="shared" si="50"/>
        <v>6.6286436286160391E-2</v>
      </c>
      <c r="U71" s="83">
        <f t="shared" si="51"/>
        <v>0.32464109433372351</v>
      </c>
      <c r="V71" s="84">
        <f>IF($S71=0,"-",(VLOOKUP(N71,'APP 2885'!$B$10:$G$54,6)*$H71)/($S71+$Q71))</f>
        <v>2.2616580581651888</v>
      </c>
      <c r="W71" s="85">
        <f t="shared" si="52"/>
        <v>-0.502345142661208</v>
      </c>
      <c r="X71" s="86">
        <f t="shared" si="53"/>
        <v>-0.24399048461364492</v>
      </c>
      <c r="Y71" s="84">
        <f>IF($S71=0,"-",(VLOOKUP(N71,'APP 2885'!$B$10:$G$54,4)*$H71)/($M71+$Q71))</f>
        <v>-3.2462468681048158</v>
      </c>
    </row>
    <row r="72" spans="1:25" s="61" customFormat="1" ht="19.899999999999999" customHeight="1" x14ac:dyDescent="0.25">
      <c r="A72" s="51" t="s">
        <v>51</v>
      </c>
      <c r="B72" s="51" t="s">
        <v>31</v>
      </c>
      <c r="C72" s="51" t="s">
        <v>52</v>
      </c>
      <c r="D72" s="52">
        <v>9</v>
      </c>
      <c r="E72" s="52">
        <v>9</v>
      </c>
      <c r="F72" s="52">
        <f t="shared" si="60"/>
        <v>9</v>
      </c>
      <c r="G72" s="52">
        <v>17</v>
      </c>
      <c r="H72" s="52">
        <f t="shared" si="43"/>
        <v>153</v>
      </c>
      <c r="I72" s="53">
        <v>10</v>
      </c>
      <c r="J72" s="54">
        <f t="shared" si="58"/>
        <v>15.657724189025416</v>
      </c>
      <c r="K72" s="54">
        <f t="shared" si="59"/>
        <v>68.28419271075991</v>
      </c>
      <c r="L72" s="54">
        <f t="shared" si="45"/>
        <v>90</v>
      </c>
      <c r="M72" s="55">
        <f t="shared" si="46"/>
        <v>-665.47725209806799</v>
      </c>
      <c r="N72" s="52">
        <v>10</v>
      </c>
      <c r="O72" s="52">
        <f t="shared" si="61"/>
        <v>1214.8234284588682</v>
      </c>
      <c r="P72" s="52">
        <f t="shared" si="61"/>
        <v>1214.8234284588682</v>
      </c>
      <c r="Q72" s="56">
        <f t="shared" si="48"/>
        <v>313.85529144765911</v>
      </c>
      <c r="R72" s="53">
        <v>10</v>
      </c>
      <c r="S72" s="54">
        <f t="shared" si="49"/>
        <v>90</v>
      </c>
      <c r="T72" s="57">
        <f t="shared" si="50"/>
        <v>7.4084840555120435E-2</v>
      </c>
      <c r="U72" s="57">
        <f t="shared" si="51"/>
        <v>0.33243949860268351</v>
      </c>
      <c r="V72" s="58">
        <f>IF($S72=0,"-",(VLOOKUP(N72,'APP 2885'!$B$10:$G$54,6)*$H72)/($S72+$Q72))</f>
        <v>2.2086038214398394</v>
      </c>
      <c r="W72" s="59">
        <f t="shared" si="52"/>
        <v>-0.54779751238605612</v>
      </c>
      <c r="X72" s="60">
        <f t="shared" si="53"/>
        <v>-0.28944285433849304</v>
      </c>
      <c r="Y72" s="58">
        <f>IF($S72=0,"-",(VLOOKUP(N72,'APP 2885'!$B$10:$G$54,4)*$H72)/($M72+$Q72))</f>
        <v>-2.7364757313999641</v>
      </c>
    </row>
    <row r="73" spans="1:25" s="50" customFormat="1" ht="19.899999999999999" customHeight="1" x14ac:dyDescent="0.25">
      <c r="A73" s="77" t="s">
        <v>53</v>
      </c>
      <c r="B73" s="77" t="s">
        <v>28</v>
      </c>
      <c r="C73" s="77" t="s">
        <v>54</v>
      </c>
      <c r="D73" s="78">
        <v>46</v>
      </c>
      <c r="E73" s="78">
        <v>46</v>
      </c>
      <c r="F73" s="78">
        <f t="shared" si="60"/>
        <v>46</v>
      </c>
      <c r="G73" s="78">
        <v>31</v>
      </c>
      <c r="H73" s="78">
        <f t="shared" si="43"/>
        <v>1426</v>
      </c>
      <c r="I73" s="79">
        <v>16</v>
      </c>
      <c r="J73" s="80">
        <f t="shared" si="58"/>
        <v>28.552320579987519</v>
      </c>
      <c r="K73" s="80">
        <f t="shared" si="59"/>
        <v>68.28419271075991</v>
      </c>
      <c r="L73" s="80">
        <f t="shared" si="45"/>
        <v>736</v>
      </c>
      <c r="M73" s="81">
        <f t="shared" si="46"/>
        <v>-3718.4796113743823</v>
      </c>
      <c r="N73" s="78">
        <v>10</v>
      </c>
      <c r="O73" s="78">
        <f t="shared" si="61"/>
        <v>11322.471954132981</v>
      </c>
      <c r="P73" s="78">
        <f t="shared" si="61"/>
        <v>11322.471954132981</v>
      </c>
      <c r="Q73" s="82">
        <f t="shared" si="48"/>
        <v>2925.2133699631499</v>
      </c>
      <c r="R73" s="79">
        <v>16</v>
      </c>
      <c r="S73" s="80">
        <f t="shared" si="49"/>
        <v>736</v>
      </c>
      <c r="T73" s="83">
        <f t="shared" si="50"/>
        <v>6.500347300320243E-2</v>
      </c>
      <c r="U73" s="83">
        <f t="shared" si="51"/>
        <v>0.32335813105076555</v>
      </c>
      <c r="V73" s="84">
        <f>IF($S73=0,"-",(VLOOKUP(N73,'APP 2885'!$B$10:$G$54,6)*$H73)/($S73+$Q73))</f>
        <v>2.270631465568933</v>
      </c>
      <c r="W73" s="85">
        <f t="shared" si="52"/>
        <v>-0.3284158818355073</v>
      </c>
      <c r="X73" s="86">
        <f t="shared" si="53"/>
        <v>-7.0061223787944174E-2</v>
      </c>
      <c r="Y73" s="84">
        <f>IF($S73=0,"-",(VLOOKUP(N73,'APP 2885'!$B$10:$G$54,4)*$H73)/($M73+$Q73))</f>
        <v>-11.305160025776113</v>
      </c>
    </row>
    <row r="74" spans="1:25" s="61" customFormat="1" ht="19.899999999999999" customHeight="1" x14ac:dyDescent="0.25">
      <c r="A74" s="51" t="s">
        <v>53</v>
      </c>
      <c r="B74" s="51" t="s">
        <v>30</v>
      </c>
      <c r="C74" s="51" t="s">
        <v>54</v>
      </c>
      <c r="D74" s="52">
        <v>21</v>
      </c>
      <c r="E74" s="52">
        <v>21</v>
      </c>
      <c r="F74" s="52">
        <f t="shared" si="60"/>
        <v>21</v>
      </c>
      <c r="G74" s="52">
        <v>31</v>
      </c>
      <c r="H74" s="52">
        <f t="shared" si="43"/>
        <v>651</v>
      </c>
      <c r="I74" s="53">
        <v>16</v>
      </c>
      <c r="J74" s="54">
        <f t="shared" si="58"/>
        <v>28.552320579987519</v>
      </c>
      <c r="K74" s="54">
        <f t="shared" si="59"/>
        <v>68.28419271075991</v>
      </c>
      <c r="L74" s="54">
        <f t="shared" si="45"/>
        <v>336</v>
      </c>
      <c r="M74" s="55">
        <f t="shared" si="46"/>
        <v>-1697.566779105696</v>
      </c>
      <c r="N74" s="52">
        <v>10</v>
      </c>
      <c r="O74" s="52">
        <f t="shared" si="61"/>
        <v>5168.9545877563605</v>
      </c>
      <c r="P74" s="52">
        <f t="shared" si="61"/>
        <v>5168.9545877563605</v>
      </c>
      <c r="Q74" s="56">
        <f t="shared" si="48"/>
        <v>1335.4234949831773</v>
      </c>
      <c r="R74" s="53">
        <v>16</v>
      </c>
      <c r="S74" s="54">
        <f t="shared" si="49"/>
        <v>336</v>
      </c>
      <c r="T74" s="57">
        <f t="shared" si="50"/>
        <v>6.5003473003202444E-2</v>
      </c>
      <c r="U74" s="57">
        <f t="shared" si="51"/>
        <v>0.32335813105076561</v>
      </c>
      <c r="V74" s="58">
        <f>IF($S74=0,"-",(VLOOKUP(N74,'APP 2885'!$B$10:$G$54,6)*$H74)/($S74+$Q74))</f>
        <v>2.2706314655689335</v>
      </c>
      <c r="W74" s="59">
        <f t="shared" si="52"/>
        <v>-0.32841588183550724</v>
      </c>
      <c r="X74" s="60">
        <f t="shared" si="53"/>
        <v>-7.0061223787944105E-2</v>
      </c>
      <c r="Y74" s="58">
        <f>IF($S74=0,"-",(VLOOKUP(N74,'APP 2885'!$B$10:$G$54,4)*$H74)/($M74+$Q74))</f>
        <v>-11.305160025776125</v>
      </c>
    </row>
    <row r="75" spans="1:25" s="50" customFormat="1" ht="19.899999999999999" customHeight="1" thickBot="1" x14ac:dyDescent="0.3">
      <c r="A75" s="77" t="s">
        <v>53</v>
      </c>
      <c r="B75" s="77" t="s">
        <v>31</v>
      </c>
      <c r="C75" s="77" t="s">
        <v>54</v>
      </c>
      <c r="D75" s="78">
        <v>40</v>
      </c>
      <c r="E75" s="78">
        <v>40</v>
      </c>
      <c r="F75" s="78">
        <f t="shared" si="60"/>
        <v>40</v>
      </c>
      <c r="G75" s="78">
        <v>31</v>
      </c>
      <c r="H75" s="78">
        <f t="shared" si="43"/>
        <v>1240</v>
      </c>
      <c r="I75" s="79">
        <v>16</v>
      </c>
      <c r="J75" s="80">
        <f t="shared" si="58"/>
        <v>28.552320579987519</v>
      </c>
      <c r="K75" s="80">
        <f t="shared" si="59"/>
        <v>68.28419271075991</v>
      </c>
      <c r="L75" s="80">
        <f t="shared" si="45"/>
        <v>640</v>
      </c>
      <c r="M75" s="81">
        <f t="shared" si="46"/>
        <v>-3233.4605316298976</v>
      </c>
      <c r="N75" s="78">
        <v>10</v>
      </c>
      <c r="O75" s="78">
        <f t="shared" si="61"/>
        <v>9845.6277862025927</v>
      </c>
      <c r="P75" s="78">
        <f t="shared" si="61"/>
        <v>9845.6277862025927</v>
      </c>
      <c r="Q75" s="82">
        <f t="shared" si="48"/>
        <v>2543.6637999679565</v>
      </c>
      <c r="R75" s="79">
        <v>16</v>
      </c>
      <c r="S75" s="80">
        <f t="shared" si="49"/>
        <v>640</v>
      </c>
      <c r="T75" s="83">
        <f t="shared" si="50"/>
        <v>6.500347300320243E-2</v>
      </c>
      <c r="U75" s="83">
        <f t="shared" si="51"/>
        <v>0.32335813105076555</v>
      </c>
      <c r="V75" s="84">
        <f>IF($S75=0,"-",(VLOOKUP(N75,'APP 2885'!$B$10:$G$54,6)*$H75)/($S75+$Q75))</f>
        <v>2.270631465568933</v>
      </c>
      <c r="W75" s="85">
        <f t="shared" si="52"/>
        <v>-0.32841588183550724</v>
      </c>
      <c r="X75" s="86">
        <f t="shared" si="53"/>
        <v>-7.006122378794416E-2</v>
      </c>
      <c r="Y75" s="84">
        <f>IF($S75=0,"-",(VLOOKUP(N75,'APP 2885'!$B$10:$G$54,4)*$H75)/($M75+$Q75))</f>
        <v>-11.305160025776114</v>
      </c>
    </row>
    <row r="76" spans="1:25" s="61" customFormat="1" ht="19.899999999999999" customHeight="1" thickBot="1" x14ac:dyDescent="0.3">
      <c r="A76" s="51" t="s">
        <v>55</v>
      </c>
      <c r="B76" s="51" t="s">
        <v>28</v>
      </c>
      <c r="C76" s="51" t="s">
        <v>56</v>
      </c>
      <c r="D76" s="52">
        <v>2</v>
      </c>
      <c r="E76" s="52">
        <v>2</v>
      </c>
      <c r="F76" s="52">
        <f t="shared" si="60"/>
        <v>2</v>
      </c>
      <c r="G76" s="52">
        <v>191</v>
      </c>
      <c r="H76" s="52">
        <f t="shared" si="43"/>
        <v>382</v>
      </c>
      <c r="I76" s="53">
        <v>1142</v>
      </c>
      <c r="J76" s="54">
        <f t="shared" ref="J76:J106" si="62">0.5*0.95*$G76+PV($B$111,$N76,-(0.116*$G76))</f>
        <v>454.61270552815961</v>
      </c>
      <c r="K76" s="54">
        <f t="shared" ref="K76:K86" si="63">0.1*$I76+PV($B$111,$N76,(-0.05*0.95*$G76))+PV($B$111,$N76,-15)</f>
        <v>509.56409059968507</v>
      </c>
      <c r="L76" s="54">
        <f t="shared" si="45"/>
        <v>2284</v>
      </c>
      <c r="M76" s="55">
        <f t="shared" si="46"/>
        <v>355.64640774431064</v>
      </c>
      <c r="N76" s="52">
        <v>30</v>
      </c>
      <c r="O76" s="52">
        <f t="shared" si="61"/>
        <v>6273.9259573820627</v>
      </c>
      <c r="P76" s="52">
        <f t="shared" si="61"/>
        <v>6273.9259573820627</v>
      </c>
      <c r="Q76" s="56">
        <f t="shared" si="48"/>
        <v>783.61255773206403</v>
      </c>
      <c r="R76" s="53">
        <v>2000</v>
      </c>
      <c r="S76" s="54">
        <f t="shared" si="49"/>
        <v>4000</v>
      </c>
      <c r="T76" s="57">
        <f t="shared" si="50"/>
        <v>0.63755932524091985</v>
      </c>
      <c r="U76" s="57">
        <f t="shared" si="51"/>
        <v>0.76245919863041134</v>
      </c>
      <c r="V76" s="58">
        <f>IF($S76=0,"-",(VLOOKUP(N76,'APP 2885'!$B$10:$G$54,6)*$H76)/($S76+$Q76))</f>
        <v>1.7615806364026634</v>
      </c>
      <c r="W76" s="59">
        <f t="shared" si="52"/>
        <v>5.6686420936454936E-2</v>
      </c>
      <c r="X76" s="60">
        <f t="shared" si="53"/>
        <v>0.18158629432594647</v>
      </c>
      <c r="Y76" s="58">
        <f>IF($S76=0,"-",(VLOOKUP(N76,'APP 2885'!$B$10:$G$54,4)*$H76)/($M76+$Q76))</f>
        <v>7.7494512681001391</v>
      </c>
    </row>
    <row r="77" spans="1:25" ht="19.899999999999999" customHeight="1" thickBot="1" x14ac:dyDescent="0.3">
      <c r="A77" s="13" t="s">
        <v>55</v>
      </c>
      <c r="B77" s="13" t="s">
        <v>31</v>
      </c>
      <c r="C77" s="13" t="s">
        <v>56</v>
      </c>
      <c r="D77" s="14">
        <v>8</v>
      </c>
      <c r="E77" s="14">
        <v>8</v>
      </c>
      <c r="F77" s="78">
        <f t="shared" si="60"/>
        <v>8</v>
      </c>
      <c r="G77" s="14">
        <v>205</v>
      </c>
      <c r="H77" s="14">
        <f t="shared" si="43"/>
        <v>1640</v>
      </c>
      <c r="I77" s="15">
        <v>1142</v>
      </c>
      <c r="J77" s="16">
        <f t="shared" si="62"/>
        <v>487.93510279200382</v>
      </c>
      <c r="K77" s="16">
        <f t="shared" si="63"/>
        <v>520.48597741031097</v>
      </c>
      <c r="L77" s="16">
        <f t="shared" si="45"/>
        <v>9136</v>
      </c>
      <c r="M77" s="17">
        <f t="shared" si="46"/>
        <v>1068.6313583814817</v>
      </c>
      <c r="N77" s="14">
        <v>30</v>
      </c>
      <c r="O77" s="14">
        <f t="shared" si="61"/>
        <v>26935.179502896815</v>
      </c>
      <c r="P77" s="14">
        <f t="shared" si="61"/>
        <v>26935.179502896815</v>
      </c>
      <c r="Q77" s="18">
        <f t="shared" si="48"/>
        <v>3364.200509635039</v>
      </c>
      <c r="R77" s="15">
        <v>2000</v>
      </c>
      <c r="S77" s="16">
        <f t="shared" si="49"/>
        <v>16000</v>
      </c>
      <c r="T77" s="19">
        <f t="shared" si="50"/>
        <v>0.59401868839519845</v>
      </c>
      <c r="U77" s="19">
        <f t="shared" si="51"/>
        <v>0.71891856178469005</v>
      </c>
      <c r="V77" s="20">
        <f>IF($S77=0,"-",(VLOOKUP(N77,'APP 2885'!$B$10:$G$54,6)*$H77)/($S77+$Q77))</f>
        <v>1.868269136103738</v>
      </c>
      <c r="W77" s="21">
        <f t="shared" si="52"/>
        <v>3.967418736773419E-2</v>
      </c>
      <c r="X77" s="22">
        <f t="shared" si="53"/>
        <v>0.16457406075722572</v>
      </c>
      <c r="Y77" s="20">
        <f>IF($S77=0,"-",(VLOOKUP(N77,'APP 2885'!$B$10:$G$54,4)*$H77)/($M77+$Q77))</f>
        <v>8.5505220710914909</v>
      </c>
    </row>
    <row r="78" spans="1:25" s="61" customFormat="1" ht="19.899999999999999" customHeight="1" thickBot="1" x14ac:dyDescent="0.3">
      <c r="A78" s="51" t="s">
        <v>57</v>
      </c>
      <c r="B78" s="51" t="s">
        <v>28</v>
      </c>
      <c r="C78" s="51" t="s">
        <v>58</v>
      </c>
      <c r="D78" s="52">
        <v>158</v>
      </c>
      <c r="E78" s="52">
        <v>186028</v>
      </c>
      <c r="F78" s="52">
        <f>D78</f>
        <v>158</v>
      </c>
      <c r="G78" s="64">
        <v>5.6000000000000001E-2</v>
      </c>
      <c r="H78" s="56">
        <f t="shared" si="43"/>
        <v>10417.568000000001</v>
      </c>
      <c r="I78" s="53">
        <v>1.08</v>
      </c>
      <c r="J78" s="54">
        <f t="shared" si="62"/>
        <v>0.15238663027497495</v>
      </c>
      <c r="K78" s="54">
        <f t="shared" si="63"/>
        <v>290.61508844845372</v>
      </c>
      <c r="L78" s="54">
        <f t="shared" si="45"/>
        <v>200910.24000000002</v>
      </c>
      <c r="M78" s="55">
        <f t="shared" si="46"/>
        <v>154968.9789375609</v>
      </c>
      <c r="N78" s="52">
        <v>45</v>
      </c>
      <c r="O78" s="52">
        <f t="shared" si="61"/>
        <v>201722.71773097446</v>
      </c>
      <c r="P78" s="52">
        <f t="shared" si="61"/>
        <v>201722.71773097446</v>
      </c>
      <c r="Q78" s="56">
        <f t="shared" si="48"/>
        <v>21369.992423632732</v>
      </c>
      <c r="R78" s="53">
        <v>0.75</v>
      </c>
      <c r="S78" s="54">
        <f t="shared" si="49"/>
        <v>139521</v>
      </c>
      <c r="T78" s="57">
        <f t="shared" si="50"/>
        <v>0.69164743351351643</v>
      </c>
      <c r="U78" s="57">
        <f t="shared" si="51"/>
        <v>0.79758489392455756</v>
      </c>
      <c r="V78" s="58">
        <f>IF($S78=0,"-",(VLOOKUP(N78,'APP 2885'!$B$10:$G$54,6)*$H78)/($S78+$Q78))</f>
        <v>2.4070256539652992</v>
      </c>
      <c r="W78" s="59">
        <f t="shared" si="52"/>
        <v>0.76822769730989726</v>
      </c>
      <c r="X78" s="60">
        <f t="shared" si="53"/>
        <v>0.87416515772093839</v>
      </c>
      <c r="Y78" s="58">
        <f>IF($S78=0,"-",(VLOOKUP(N78,'APP 2885'!$B$10:$G$54,4)*$H78)/($M78+$Q78))</f>
        <v>2.4085583509666968</v>
      </c>
    </row>
    <row r="79" spans="1:25" ht="19.899999999999999" customHeight="1" thickBot="1" x14ac:dyDescent="0.3">
      <c r="A79" s="13" t="s">
        <v>57</v>
      </c>
      <c r="B79" s="13" t="s">
        <v>30</v>
      </c>
      <c r="C79" s="13" t="s">
        <v>58</v>
      </c>
      <c r="D79" s="14">
        <v>20</v>
      </c>
      <c r="E79" s="14">
        <v>24520</v>
      </c>
      <c r="F79" s="78">
        <f t="shared" ref="F79:F80" si="64">D79</f>
        <v>20</v>
      </c>
      <c r="G79" s="24">
        <v>5.3999999999999999E-2</v>
      </c>
      <c r="H79" s="18">
        <f t="shared" si="43"/>
        <v>1324.08</v>
      </c>
      <c r="I79" s="15">
        <v>1.08</v>
      </c>
      <c r="J79" s="16">
        <f t="shared" si="62"/>
        <v>0.14694425062229727</v>
      </c>
      <c r="K79" s="16">
        <f t="shared" si="63"/>
        <v>290.61324889644078</v>
      </c>
      <c r="L79" s="16">
        <f t="shared" si="45"/>
        <v>26481.600000000002</v>
      </c>
      <c r="M79" s="17">
        <f t="shared" si="46"/>
        <v>20666.396137058742</v>
      </c>
      <c r="N79" s="14">
        <v>45</v>
      </c>
      <c r="O79" s="14">
        <f t="shared" si="61"/>
        <v>25639.095045333866</v>
      </c>
      <c r="P79" s="14">
        <f t="shared" si="61"/>
        <v>25639.095045333866</v>
      </c>
      <c r="Q79" s="18">
        <f t="shared" si="48"/>
        <v>2716.1406163399774</v>
      </c>
      <c r="R79" s="15">
        <v>0.75</v>
      </c>
      <c r="S79" s="16">
        <f t="shared" si="49"/>
        <v>18390</v>
      </c>
      <c r="T79" s="19">
        <f t="shared" si="50"/>
        <v>0.71726400512512822</v>
      </c>
      <c r="U79" s="19">
        <f t="shared" si="51"/>
        <v>0.82320146553616935</v>
      </c>
      <c r="V79" s="20">
        <f>IF($S79=0,"-",(VLOOKUP(N79,'APP 2885'!$B$10:$G$54,6)*$H79)/($S79+$Q79))</f>
        <v>2.3321232787665034</v>
      </c>
      <c r="W79" s="21">
        <f t="shared" si="52"/>
        <v>0.80605013946542858</v>
      </c>
      <c r="X79" s="22">
        <f t="shared" si="53"/>
        <v>0.91198759987646971</v>
      </c>
      <c r="Y79" s="20">
        <f>IF($S79=0,"-",(VLOOKUP(N79,'APP 2885'!$B$10:$G$54,4)*$H79)/($M79+$Q79))</f>
        <v>2.3086693185719591</v>
      </c>
    </row>
    <row r="80" spans="1:25" s="61" customFormat="1" ht="19.899999999999999" customHeight="1" thickBot="1" x14ac:dyDescent="0.3">
      <c r="A80" s="51" t="s">
        <v>57</v>
      </c>
      <c r="B80" s="51" t="s">
        <v>31</v>
      </c>
      <c r="C80" s="51" t="s">
        <v>58</v>
      </c>
      <c r="D80" s="52">
        <v>27</v>
      </c>
      <c r="E80" s="52">
        <v>27994</v>
      </c>
      <c r="F80" s="52">
        <f t="shared" si="64"/>
        <v>27</v>
      </c>
      <c r="G80" s="64">
        <v>5.8999999999999997E-2</v>
      </c>
      <c r="H80" s="56">
        <f t="shared" si="43"/>
        <v>1651.646</v>
      </c>
      <c r="I80" s="53">
        <v>1.08</v>
      </c>
      <c r="J80" s="54">
        <f t="shared" si="62"/>
        <v>0.16055019975399143</v>
      </c>
      <c r="K80" s="54">
        <f t="shared" si="63"/>
        <v>290.61784777647318</v>
      </c>
      <c r="L80" s="54">
        <f t="shared" si="45"/>
        <v>30233.52</v>
      </c>
      <c r="M80" s="55">
        <f t="shared" si="46"/>
        <v>22382.503254641866</v>
      </c>
      <c r="N80" s="52">
        <v>45</v>
      </c>
      <c r="O80" s="52">
        <f t="shared" si="61"/>
        <v>31981.986568217555</v>
      </c>
      <c r="P80" s="52">
        <f t="shared" si="61"/>
        <v>31981.986568217555</v>
      </c>
      <c r="Q80" s="56">
        <f t="shared" si="48"/>
        <v>3388.0904359369961</v>
      </c>
      <c r="R80" s="53">
        <v>0.75</v>
      </c>
      <c r="S80" s="54">
        <f t="shared" si="49"/>
        <v>20995.5</v>
      </c>
      <c r="T80" s="57">
        <f t="shared" si="50"/>
        <v>0.6564789199450326</v>
      </c>
      <c r="U80" s="57">
        <f t="shared" si="51"/>
        <v>0.76241638035607373</v>
      </c>
      <c r="V80" s="58">
        <f>IF($S80=0,"-",(VLOOKUP(N80,'APP 2885'!$B$10:$G$54,6)*$H80)/($S80+$Q80))</f>
        <v>2.5180562096462151</v>
      </c>
      <c r="W80" s="59">
        <f t="shared" si="52"/>
        <v>0.6998471845049401</v>
      </c>
      <c r="X80" s="60">
        <f t="shared" si="53"/>
        <v>0.80578464491598123</v>
      </c>
      <c r="Y80" s="58">
        <f>IF($S80=0,"-",(VLOOKUP(N80,'APP 2885'!$B$10:$G$54,4)*$H80)/($M80+$Q80))</f>
        <v>2.6129534783731487</v>
      </c>
    </row>
    <row r="81" spans="1:68" ht="19.899999999999999" customHeight="1" thickBot="1" x14ac:dyDescent="0.3">
      <c r="A81" s="13" t="s">
        <v>59</v>
      </c>
      <c r="B81" s="13" t="s">
        <v>28</v>
      </c>
      <c r="C81" s="13" t="s">
        <v>60</v>
      </c>
      <c r="D81" s="14">
        <v>22</v>
      </c>
      <c r="E81" s="14">
        <v>22</v>
      </c>
      <c r="F81" s="78">
        <f t="shared" si="60"/>
        <v>22</v>
      </c>
      <c r="G81" s="14">
        <v>173</v>
      </c>
      <c r="H81" s="14">
        <f>IF(ISNUMBER(E81),E81*G81,"")</f>
        <v>3806</v>
      </c>
      <c r="I81" s="15">
        <v>2500</v>
      </c>
      <c r="J81" s="16">
        <f t="shared" si="62"/>
        <v>352.88445215648017</v>
      </c>
      <c r="K81" s="16">
        <f t="shared" si="63"/>
        <v>563.19497236610914</v>
      </c>
      <c r="L81" s="16">
        <f>IF(ISNUMBER(I81),I81*E81,"")</f>
        <v>55000</v>
      </c>
      <c r="M81" s="17">
        <f>L81-D81*(J81+K81)</f>
        <v>34846.252660503036</v>
      </c>
      <c r="N81" s="14">
        <v>21</v>
      </c>
      <c r="O81" s="14">
        <f t="shared" si="61"/>
        <v>51341.447822780712</v>
      </c>
      <c r="P81" s="14">
        <f t="shared" si="61"/>
        <v>51341.447822780712</v>
      </c>
      <c r="Q81" s="18">
        <f t="shared" si="48"/>
        <v>7807.4067924822921</v>
      </c>
      <c r="R81" s="15">
        <v>1250</v>
      </c>
      <c r="S81" s="16">
        <f>IF(ISNUMBER(R81),R81*E81,"")</f>
        <v>27500</v>
      </c>
      <c r="T81" s="19">
        <f>IF(ISERROR(S81/P81),0,S81/P81)</f>
        <v>0.53562961634669715</v>
      </c>
      <c r="U81" s="19">
        <f>IF(ISERROR((Q81+S81)/P81),0,(Q81+S81)/P81)</f>
        <v>0.6876979183437838</v>
      </c>
      <c r="V81" s="20">
        <f>IF($S81=0,"-",(VLOOKUP(N81,'APP 2885'!$B$10:$G$54,6)*$H81)/($S81+$Q81))</f>
        <v>1.5221965546289691</v>
      </c>
      <c r="W81" s="21">
        <f>IF(ISERROR(RM81/O81),0,M81/O81)</f>
        <v>0.67871581613328413</v>
      </c>
      <c r="X81" s="22">
        <f>IF(ISERROR(M81/O81),0,(M81+Q81)/O81)</f>
        <v>0.83078411813037101</v>
      </c>
      <c r="Y81" s="20">
        <f>IF($S81=0,"-",(VLOOKUP(N81,'APP 2885'!$B$10:$G$54,4)*$H81)/($M81+$Q81))</f>
        <v>1.3185716411915176</v>
      </c>
    </row>
    <row r="82" spans="1:68" s="61" customFormat="1" ht="19.899999999999999" customHeight="1" thickBot="1" x14ac:dyDescent="0.3">
      <c r="A82" s="51" t="s">
        <v>59</v>
      </c>
      <c r="B82" s="51" t="s">
        <v>30</v>
      </c>
      <c r="C82" s="51" t="s">
        <v>61</v>
      </c>
      <c r="D82" s="52">
        <v>2</v>
      </c>
      <c r="E82" s="52">
        <v>2</v>
      </c>
      <c r="F82" s="52">
        <f t="shared" si="60"/>
        <v>2</v>
      </c>
      <c r="G82" s="52">
        <v>160</v>
      </c>
      <c r="H82" s="52">
        <f t="shared" si="43"/>
        <v>320</v>
      </c>
      <c r="I82" s="53">
        <v>2500</v>
      </c>
      <c r="J82" s="54">
        <f t="shared" si="62"/>
        <v>326.36712338171577</v>
      </c>
      <c r="K82" s="54">
        <f t="shared" si="63"/>
        <v>554.86513946264949</v>
      </c>
      <c r="L82" s="54">
        <f t="shared" si="45"/>
        <v>5000</v>
      </c>
      <c r="M82" s="55">
        <f t="shared" si="46"/>
        <v>3237.5354743112694</v>
      </c>
      <c r="N82" s="52">
        <v>21</v>
      </c>
      <c r="O82" s="52">
        <f t="shared" si="61"/>
        <v>4316.6745410640642</v>
      </c>
      <c r="P82" s="52">
        <f t="shared" si="61"/>
        <v>4316.6745410640642</v>
      </c>
      <c r="Q82" s="56">
        <f t="shared" si="48"/>
        <v>656.42936773366625</v>
      </c>
      <c r="R82" s="53">
        <v>1250</v>
      </c>
      <c r="S82" s="54">
        <f t="shared" si="49"/>
        <v>2500</v>
      </c>
      <c r="T82" s="57">
        <f t="shared" si="50"/>
        <v>0.57914952267486619</v>
      </c>
      <c r="U82" s="57">
        <f t="shared" si="51"/>
        <v>0.73121782467195306</v>
      </c>
      <c r="V82" s="58">
        <f>IF($S82=0,"-",(VLOOKUP(N82,'APP 2885'!$B$10:$G$54,6)*$H82)/($S82+$Q82))</f>
        <v>1.4315999509421886</v>
      </c>
      <c r="W82" s="59">
        <f t="shared" si="52"/>
        <v>0.75000684983612731</v>
      </c>
      <c r="X82" s="60">
        <f t="shared" si="53"/>
        <v>0.90207515183321418</v>
      </c>
      <c r="Y82" s="58">
        <f>IF($S82=0,"-",(VLOOKUP(N82,'APP 2885'!$B$10:$G$54,4)*$H82)/($M82+$Q82))</f>
        <v>1.2143648740272028</v>
      </c>
    </row>
    <row r="83" spans="1:68" ht="19.899999999999999" customHeight="1" thickBot="1" x14ac:dyDescent="0.3">
      <c r="A83" s="13" t="s">
        <v>59</v>
      </c>
      <c r="B83" s="13" t="s">
        <v>31</v>
      </c>
      <c r="C83" s="13" t="s">
        <v>61</v>
      </c>
      <c r="D83" s="14">
        <v>1</v>
      </c>
      <c r="E83" s="14">
        <v>1</v>
      </c>
      <c r="F83" s="78">
        <f t="shared" si="60"/>
        <v>1</v>
      </c>
      <c r="G83" s="14">
        <v>147</v>
      </c>
      <c r="H83" s="14">
        <f t="shared" si="43"/>
        <v>147</v>
      </c>
      <c r="I83" s="15">
        <v>2500</v>
      </c>
      <c r="J83" s="16">
        <f t="shared" si="62"/>
        <v>299.84979460695132</v>
      </c>
      <c r="K83" s="16">
        <f t="shared" si="63"/>
        <v>546.53530655918996</v>
      </c>
      <c r="L83" s="16">
        <f t="shared" si="45"/>
        <v>2500</v>
      </c>
      <c r="M83" s="17">
        <f t="shared" si="46"/>
        <v>1653.6148988338587</v>
      </c>
      <c r="N83" s="14">
        <v>21</v>
      </c>
      <c r="O83" s="14">
        <f t="shared" si="61"/>
        <v>1982.9723673013048</v>
      </c>
      <c r="P83" s="14">
        <f t="shared" si="61"/>
        <v>1982.9723673013048</v>
      </c>
      <c r="Q83" s="18">
        <f t="shared" si="48"/>
        <v>301.54724080265294</v>
      </c>
      <c r="R83" s="15">
        <v>1250</v>
      </c>
      <c r="S83" s="16">
        <f t="shared" si="49"/>
        <v>1250</v>
      </c>
      <c r="T83" s="19">
        <f t="shared" si="50"/>
        <v>0.63036682740121486</v>
      </c>
      <c r="U83" s="19">
        <f t="shared" si="51"/>
        <v>0.78243512939830173</v>
      </c>
      <c r="V83" s="20">
        <f>IF($S83=0,"-",(VLOOKUP(N83,'APP 2885'!$B$10:$G$54,6)*$H83)/($S83+$Q83))</f>
        <v>1.3378890627436772</v>
      </c>
      <c r="W83" s="21">
        <f t="shared" si="52"/>
        <v>0.8339071820170243</v>
      </c>
      <c r="X83" s="22">
        <f t="shared" si="53"/>
        <v>0.98597548401411117</v>
      </c>
      <c r="Y83" s="20">
        <f>IF($S83=0,"-",(VLOOKUP(N83,'APP 2885'!$B$10:$G$54,4)*$H83)/($M83+$Q83))</f>
        <v>1.1110300366285102</v>
      </c>
    </row>
    <row r="84" spans="1:68" s="61" customFormat="1" ht="19.899999999999999" customHeight="1" thickBot="1" x14ac:dyDescent="0.3">
      <c r="A84" s="51" t="s">
        <v>62</v>
      </c>
      <c r="B84" s="51" t="s">
        <v>28</v>
      </c>
      <c r="C84" s="51" t="s">
        <v>63</v>
      </c>
      <c r="D84" s="52">
        <v>12</v>
      </c>
      <c r="E84" s="52">
        <v>12</v>
      </c>
      <c r="F84" s="52">
        <f t="shared" si="60"/>
        <v>12</v>
      </c>
      <c r="G84" s="52">
        <v>13</v>
      </c>
      <c r="H84" s="52">
        <f t="shared" si="43"/>
        <v>156</v>
      </c>
      <c r="I84" s="53">
        <v>200</v>
      </c>
      <c r="J84" s="54">
        <f t="shared" si="62"/>
        <v>28.697934629810305</v>
      </c>
      <c r="K84" s="54">
        <f t="shared" si="63"/>
        <v>253.25724905905994</v>
      </c>
      <c r="L84" s="54">
        <f t="shared" ref="L84:L106" si="65">IF(ISNUMBER(I84),I84*E84,"")</f>
        <v>2400</v>
      </c>
      <c r="M84" s="55">
        <f t="shared" si="46"/>
        <v>-983.46220426644322</v>
      </c>
      <c r="N84" s="52">
        <v>25</v>
      </c>
      <c r="O84" s="52">
        <f t="shared" si="61"/>
        <v>2329.9587548079626</v>
      </c>
      <c r="P84" s="52">
        <f t="shared" si="61"/>
        <v>2329.9587548079626</v>
      </c>
      <c r="Q84" s="56">
        <f t="shared" ref="Q84:Q106" si="66">(H84/$H$107)*$Q$107</f>
        <v>320.00931677016229</v>
      </c>
      <c r="R84" s="53">
        <v>100</v>
      </c>
      <c r="S84" s="54">
        <f t="shared" si="49"/>
        <v>1200</v>
      </c>
      <c r="T84" s="57">
        <f t="shared" ref="T84:T106" si="67">IF(ISERROR(S84/P84),0,S84/P84)</f>
        <v>0.51503057619528769</v>
      </c>
      <c r="U84" s="57">
        <f t="shared" ref="U84:U106" si="68">IF(ISERROR((Q84+S84)/P84),0,(Q84+S84)/P84)</f>
        <v>0.65237606186528518</v>
      </c>
      <c r="V84" s="58">
        <f>IF($S84=0,"-",(VLOOKUP(N84,'APP 2885'!$B$10:$G$54,6)*$H84)/($S84+$Q84))</f>
        <v>1.7814912071492701</v>
      </c>
      <c r="W84" s="59">
        <f t="shared" ref="W84:W106" si="69">IF(ISERROR(RM84/O84),0,M84/O84)</f>
        <v>-0.42209425477469498</v>
      </c>
      <c r="X84" s="60">
        <f t="shared" ref="X84:X106" si="70">IF(ISERROR(M84/O84),0,(M84+Q84)/O84)</f>
        <v>-0.28474876910469749</v>
      </c>
      <c r="Y84" s="58">
        <f>IF($S84=0,"-",(VLOOKUP(N84,'APP 2885'!$B$10:$G$54,4)*$H84)/($M84+$Q84))</f>
        <v>-4.3026383227171054</v>
      </c>
    </row>
    <row r="85" spans="1:68" ht="19.899999999999999" customHeight="1" thickBot="1" x14ac:dyDescent="0.3">
      <c r="A85" s="13" t="s">
        <v>62</v>
      </c>
      <c r="B85" s="13" t="s">
        <v>30</v>
      </c>
      <c r="C85" s="13" t="s">
        <v>63</v>
      </c>
      <c r="D85" s="14">
        <v>27</v>
      </c>
      <c r="E85" s="14">
        <v>28</v>
      </c>
      <c r="F85" s="78">
        <f t="shared" si="60"/>
        <v>28</v>
      </c>
      <c r="G85" s="14">
        <v>13</v>
      </c>
      <c r="H85" s="14">
        <f t="shared" si="43"/>
        <v>364</v>
      </c>
      <c r="I85" s="15">
        <v>200</v>
      </c>
      <c r="J85" s="16">
        <f t="shared" si="62"/>
        <v>28.697934629810305</v>
      </c>
      <c r="K85" s="16">
        <f t="shared" si="63"/>
        <v>253.25724905905994</v>
      </c>
      <c r="L85" s="16">
        <f t="shared" si="65"/>
        <v>5600</v>
      </c>
      <c r="M85" s="17">
        <f t="shared" si="46"/>
        <v>-2012.7899595994968</v>
      </c>
      <c r="N85" s="14">
        <v>25</v>
      </c>
      <c r="O85" s="14">
        <f t="shared" si="61"/>
        <v>5436.5704278852454</v>
      </c>
      <c r="P85" s="14">
        <f t="shared" si="61"/>
        <v>5436.5704278852454</v>
      </c>
      <c r="Q85" s="18">
        <f t="shared" si="66"/>
        <v>746.68840579704533</v>
      </c>
      <c r="R85" s="15">
        <v>100</v>
      </c>
      <c r="S85" s="16">
        <f t="shared" si="49"/>
        <v>2800</v>
      </c>
      <c r="T85" s="19">
        <f t="shared" si="67"/>
        <v>0.51503057619528769</v>
      </c>
      <c r="U85" s="19">
        <f t="shared" si="68"/>
        <v>0.65237606186528529</v>
      </c>
      <c r="V85" s="20">
        <f>IF($S85=0,"-",(VLOOKUP(N85,'APP 2885'!$B$10:$G$54,6)*$H85)/($S85+$Q85))</f>
        <v>1.7814912071492699</v>
      </c>
      <c r="W85" s="21">
        <f t="shared" si="69"/>
        <v>-0.37023156166164956</v>
      </c>
      <c r="X85" s="22">
        <f t="shared" si="70"/>
        <v>-0.23288607599165204</v>
      </c>
      <c r="Y85" s="20">
        <f>IF($S85=0,"-",(VLOOKUP(N85,'APP 2885'!$B$10:$G$54,4)*$H85)/($M85+$Q85))</f>
        <v>-5.2608167365931875</v>
      </c>
    </row>
    <row r="86" spans="1:68" s="61" customFormat="1" ht="19.899999999999999" customHeight="1" thickBot="1" x14ac:dyDescent="0.3">
      <c r="A86" s="51" t="s">
        <v>62</v>
      </c>
      <c r="B86" s="51" t="s">
        <v>31</v>
      </c>
      <c r="C86" s="51" t="s">
        <v>63</v>
      </c>
      <c r="D86" s="52">
        <v>4</v>
      </c>
      <c r="E86" s="52">
        <v>5</v>
      </c>
      <c r="F86" s="52">
        <f t="shared" si="60"/>
        <v>5</v>
      </c>
      <c r="G86" s="52">
        <v>13</v>
      </c>
      <c r="H86" s="52">
        <f t="shared" si="43"/>
        <v>65</v>
      </c>
      <c r="I86" s="53">
        <v>200</v>
      </c>
      <c r="J86" s="54">
        <f t="shared" si="62"/>
        <v>28.697934629810305</v>
      </c>
      <c r="K86" s="54">
        <f t="shared" si="63"/>
        <v>253.25724905905994</v>
      </c>
      <c r="L86" s="54">
        <f t="shared" si="65"/>
        <v>1000</v>
      </c>
      <c r="M86" s="55">
        <f t="shared" si="46"/>
        <v>-127.820734755481</v>
      </c>
      <c r="N86" s="52">
        <v>25</v>
      </c>
      <c r="O86" s="52">
        <f t="shared" si="61"/>
        <v>970.816147836651</v>
      </c>
      <c r="P86" s="52">
        <f t="shared" si="61"/>
        <v>970.816147836651</v>
      </c>
      <c r="Q86" s="56">
        <f t="shared" si="66"/>
        <v>133.33721532090095</v>
      </c>
      <c r="R86" s="53">
        <v>100</v>
      </c>
      <c r="S86" s="54">
        <f t="shared" si="49"/>
        <v>500</v>
      </c>
      <c r="T86" s="57">
        <f t="shared" si="67"/>
        <v>0.51503057619528769</v>
      </c>
      <c r="U86" s="57">
        <f t="shared" si="68"/>
        <v>0.65237606186528518</v>
      </c>
      <c r="V86" s="58">
        <f>IF($S86=0,"-",(VLOOKUP(N86,'APP 2885'!$B$10:$G$54,6)*$H86)/($S86+$Q86))</f>
        <v>1.7814912071492701</v>
      </c>
      <c r="W86" s="59">
        <f t="shared" si="69"/>
        <v>-0.13166317334164085</v>
      </c>
      <c r="X86" s="60">
        <f t="shared" si="70"/>
        <v>5.6823123283566909E-3</v>
      </c>
      <c r="Y86" s="58">
        <f>IF($S86=0,"-",(VLOOKUP(N86,'APP 2885'!$B$10:$G$54,4)*$H86)/($M86+$Q86))</f>
        <v>215.61133839517615</v>
      </c>
    </row>
    <row r="87" spans="1:68" ht="19.899999999999999" customHeight="1" thickBot="1" x14ac:dyDescent="0.3">
      <c r="A87" s="13" t="s">
        <v>64</v>
      </c>
      <c r="B87" s="13" t="s">
        <v>28</v>
      </c>
      <c r="C87" s="13" t="s">
        <v>43</v>
      </c>
      <c r="D87" s="14">
        <v>380</v>
      </c>
      <c r="E87" s="14">
        <v>380</v>
      </c>
      <c r="F87" s="78">
        <f t="shared" si="60"/>
        <v>380</v>
      </c>
      <c r="G87" s="14">
        <v>89</v>
      </c>
      <c r="H87" s="14">
        <f t="shared" si="43"/>
        <v>33820</v>
      </c>
      <c r="I87" s="15">
        <v>1024</v>
      </c>
      <c r="J87" s="16">
        <f t="shared" si="62"/>
        <v>168.51797431310291</v>
      </c>
      <c r="K87" s="16">
        <f>0.1*$I87+PV($B$111,$N87,(-0.05*0.95*$G87))</f>
        <v>154.09432137821025</v>
      </c>
      <c r="L87" s="16">
        <f t="shared" si="65"/>
        <v>389120</v>
      </c>
      <c r="M87" s="17">
        <f t="shared" si="46"/>
        <v>266527.327637301</v>
      </c>
      <c r="N87" s="14">
        <v>18</v>
      </c>
      <c r="O87" s="14">
        <f t="shared" si="61"/>
        <v>413554.57102568197</v>
      </c>
      <c r="P87" s="14">
        <f t="shared" si="61"/>
        <v>413554.57102568197</v>
      </c>
      <c r="Q87" s="18">
        <f t="shared" si="66"/>
        <v>69376.378802351843</v>
      </c>
      <c r="R87" s="15">
        <v>400</v>
      </c>
      <c r="S87" s="16">
        <f t="shared" si="49"/>
        <v>152000</v>
      </c>
      <c r="T87" s="19">
        <f t="shared" si="67"/>
        <v>0.36754520600030005</v>
      </c>
      <c r="U87" s="19">
        <f t="shared" si="68"/>
        <v>0.53530149177967667</v>
      </c>
      <c r="V87" s="20">
        <f>IF($S87=0,"-",(VLOOKUP(N87,'APP 2885'!$B$10:$G$54,6)*$H87)/($S87+$Q87))</f>
        <v>1.7603744609443395</v>
      </c>
      <c r="W87" s="21">
        <f t="shared" si="69"/>
        <v>0.64447922066553465</v>
      </c>
      <c r="X87" s="22">
        <f t="shared" si="70"/>
        <v>0.81223550644491127</v>
      </c>
      <c r="Y87" s="20">
        <f>IF($S87=0,"-",(VLOOKUP(N87,'APP 2885'!$B$10:$G$54,4)*$H87)/($M87+$Q87))</f>
        <v>1.239474408507143</v>
      </c>
    </row>
    <row r="88" spans="1:68" s="61" customFormat="1" ht="19.899999999999999" customHeight="1" thickBot="1" x14ac:dyDescent="0.3">
      <c r="A88" s="51" t="s">
        <v>64</v>
      </c>
      <c r="B88" s="51" t="s">
        <v>30</v>
      </c>
      <c r="C88" s="51" t="s">
        <v>43</v>
      </c>
      <c r="D88" s="52">
        <v>109</v>
      </c>
      <c r="E88" s="52">
        <v>109</v>
      </c>
      <c r="F88" s="52">
        <f t="shared" si="60"/>
        <v>109</v>
      </c>
      <c r="G88" s="52">
        <v>90</v>
      </c>
      <c r="H88" s="52">
        <f t="shared" si="43"/>
        <v>9810</v>
      </c>
      <c r="I88" s="53">
        <v>1024</v>
      </c>
      <c r="J88" s="54">
        <f t="shared" si="62"/>
        <v>170.4114346986434</v>
      </c>
      <c r="K88" s="54">
        <f>0.1*$I88+PV($B$111,$N88,(-0.05*0.95*$G88))</f>
        <v>154.67515644987554</v>
      </c>
      <c r="L88" s="54">
        <f t="shared" si="65"/>
        <v>111616</v>
      </c>
      <c r="M88" s="55">
        <f t="shared" si="46"/>
        <v>76181.561564811433</v>
      </c>
      <c r="N88" s="52">
        <v>18</v>
      </c>
      <c r="O88" s="52">
        <f t="shared" si="61"/>
        <v>119957.72743234596</v>
      </c>
      <c r="P88" s="52">
        <f t="shared" si="61"/>
        <v>119957.72743234596</v>
      </c>
      <c r="Q88" s="56">
        <f t="shared" si="66"/>
        <v>20123.662804585205</v>
      </c>
      <c r="R88" s="53">
        <v>400</v>
      </c>
      <c r="S88" s="54">
        <f t="shared" si="49"/>
        <v>43600</v>
      </c>
      <c r="T88" s="57">
        <f t="shared" si="67"/>
        <v>0.36346137037807447</v>
      </c>
      <c r="U88" s="57">
        <f t="shared" si="68"/>
        <v>0.5312176561574512</v>
      </c>
      <c r="V88" s="58">
        <f>IF($S88=0,"-",(VLOOKUP(N88,'APP 2885'!$B$10:$G$54,6)*$H88)/($S88+$Q88))</f>
        <v>1.7739076706348129</v>
      </c>
      <c r="W88" s="59">
        <f t="shared" si="69"/>
        <v>0.63507006339192684</v>
      </c>
      <c r="X88" s="60">
        <f t="shared" si="70"/>
        <v>0.80282634917130347</v>
      </c>
      <c r="Y88" s="58">
        <f>IF($S88=0,"-",(VLOOKUP(N88,'APP 2885'!$B$10:$G$54,4)*$H88)/($M88+$Q88))</f>
        <v>1.2540010986915071</v>
      </c>
    </row>
    <row r="89" spans="1:68" ht="19.899999999999999" customHeight="1" thickBot="1" x14ac:dyDescent="0.3">
      <c r="A89" s="13" t="s">
        <v>64</v>
      </c>
      <c r="B89" s="13" t="s">
        <v>31</v>
      </c>
      <c r="C89" s="13" t="s">
        <v>43</v>
      </c>
      <c r="D89" s="14">
        <v>342</v>
      </c>
      <c r="E89" s="14">
        <v>343</v>
      </c>
      <c r="F89" s="78">
        <f t="shared" si="60"/>
        <v>343</v>
      </c>
      <c r="G89" s="14">
        <v>78</v>
      </c>
      <c r="H89" s="14">
        <f t="shared" si="43"/>
        <v>26754</v>
      </c>
      <c r="I89" s="15">
        <v>1024</v>
      </c>
      <c r="J89" s="16">
        <f t="shared" si="62"/>
        <v>147.6899100721576</v>
      </c>
      <c r="K89" s="16">
        <f>0.1*$I89+PV($B$111,$N89,(-0.05*0.95*$G89))</f>
        <v>147.70513558989214</v>
      </c>
      <c r="L89" s="16">
        <f t="shared" si="65"/>
        <v>351232</v>
      </c>
      <c r="M89" s="17">
        <f t="shared" si="46"/>
        <v>250206.894383579</v>
      </c>
      <c r="N89" s="14">
        <v>18</v>
      </c>
      <c r="O89" s="14">
        <f t="shared" si="61"/>
        <v>327150.76857543155</v>
      </c>
      <c r="P89" s="14">
        <f t="shared" si="61"/>
        <v>327150.76857543155</v>
      </c>
      <c r="Q89" s="18">
        <f t="shared" si="66"/>
        <v>54881.597826082834</v>
      </c>
      <c r="R89" s="15">
        <v>400</v>
      </c>
      <c r="S89" s="16">
        <f t="shared" si="49"/>
        <v>137200</v>
      </c>
      <c r="T89" s="19">
        <f t="shared" si="67"/>
        <v>0.41937850428239365</v>
      </c>
      <c r="U89" s="19">
        <f t="shared" si="68"/>
        <v>0.58713479006177038</v>
      </c>
      <c r="V89" s="20">
        <f>IF($S89=0,"-",(VLOOKUP(N89,'APP 2885'!$B$10:$G$54,6)*$H89)/($S89+$Q89))</f>
        <v>1.604965488308417</v>
      </c>
      <c r="W89" s="21">
        <f t="shared" si="69"/>
        <v>0.76480607235953502</v>
      </c>
      <c r="X89" s="22">
        <f t="shared" si="70"/>
        <v>0.93256235813891164</v>
      </c>
      <c r="Y89" s="20">
        <f>IF($S89=0,"-",(VLOOKUP(N89,'APP 2885'!$B$10:$G$54,4)*$H89)/($M89+$Q89))</f>
        <v>1.0795472443563334</v>
      </c>
    </row>
    <row r="90" spans="1:68" s="61" customFormat="1" ht="19.899999999999999" customHeight="1" thickBot="1" x14ac:dyDescent="0.3">
      <c r="A90" s="51" t="s">
        <v>65</v>
      </c>
      <c r="B90" s="51" t="s">
        <v>28</v>
      </c>
      <c r="C90" s="51" t="s">
        <v>66</v>
      </c>
      <c r="D90" s="52">
        <v>52</v>
      </c>
      <c r="E90" s="52">
        <v>54</v>
      </c>
      <c r="F90" s="52">
        <f t="shared" si="60"/>
        <v>54</v>
      </c>
      <c r="G90" s="52">
        <v>56</v>
      </c>
      <c r="H90" s="52">
        <f t="shared" si="43"/>
        <v>3024</v>
      </c>
      <c r="I90" s="53">
        <v>425</v>
      </c>
      <c r="J90" s="54">
        <f t="shared" si="62"/>
        <v>111.61443543163399</v>
      </c>
      <c r="K90" s="54">
        <f t="shared" ref="K90:K95" si="71">0.1*$I90+PV($B$111,$N90,(-0.05*0.95*$G90))+PV($B$111,$N90,-15)</f>
        <v>273.61990913218233</v>
      </c>
      <c r="L90" s="54">
        <f t="shared" si="65"/>
        <v>22950</v>
      </c>
      <c r="M90" s="55">
        <f t="shared" si="46"/>
        <v>2917.8140826815506</v>
      </c>
      <c r="N90" s="52">
        <v>20</v>
      </c>
      <c r="O90" s="52">
        <f t="shared" si="61"/>
        <v>39575.685459553752</v>
      </c>
      <c r="P90" s="52">
        <f t="shared" si="61"/>
        <v>39575.685459553752</v>
      </c>
      <c r="Q90" s="56">
        <f t="shared" si="66"/>
        <v>6203.2575250831451</v>
      </c>
      <c r="R90" s="53">
        <v>300</v>
      </c>
      <c r="S90" s="54">
        <f t="shared" si="49"/>
        <v>16200</v>
      </c>
      <c r="T90" s="57">
        <f t="shared" si="67"/>
        <v>0.40934224668215435</v>
      </c>
      <c r="U90" s="57">
        <f t="shared" si="68"/>
        <v>0.56608640545163047</v>
      </c>
      <c r="V90" s="58">
        <f>IF($S90=0,"-",(VLOOKUP(N90,'APP 2885'!$B$10:$G$54,6)*$H90)/($S90+$Q90))</f>
        <v>1.7604004933587727</v>
      </c>
      <c r="W90" s="59">
        <f t="shared" si="69"/>
        <v>7.3727442716400929E-2</v>
      </c>
      <c r="X90" s="60">
        <f t="shared" si="70"/>
        <v>0.23047160148587717</v>
      </c>
      <c r="Y90" s="58">
        <f>IF($S90=0,"-",(VLOOKUP(N90,'APP 2885'!$B$10:$G$54,4)*$H90)/($M90+$Q90))</f>
        <v>4.6215064285906813</v>
      </c>
    </row>
    <row r="91" spans="1:68" ht="19.899999999999999" customHeight="1" thickBot="1" x14ac:dyDescent="0.3">
      <c r="A91" s="13" t="s">
        <v>65</v>
      </c>
      <c r="B91" s="13" t="s">
        <v>30</v>
      </c>
      <c r="C91" s="13" t="s">
        <v>66</v>
      </c>
      <c r="D91" s="14">
        <v>12</v>
      </c>
      <c r="E91" s="14">
        <v>13</v>
      </c>
      <c r="F91" s="78">
        <f t="shared" si="60"/>
        <v>13</v>
      </c>
      <c r="G91" s="14">
        <v>56</v>
      </c>
      <c r="H91" s="14">
        <f t="shared" si="43"/>
        <v>728</v>
      </c>
      <c r="I91" s="15">
        <v>425</v>
      </c>
      <c r="J91" s="16">
        <f t="shared" si="62"/>
        <v>111.61443543163399</v>
      </c>
      <c r="K91" s="16">
        <f t="shared" si="71"/>
        <v>273.61990913218233</v>
      </c>
      <c r="L91" s="16">
        <f t="shared" si="65"/>
        <v>5525</v>
      </c>
      <c r="M91" s="17">
        <f t="shared" si="46"/>
        <v>902.18786523420385</v>
      </c>
      <c r="N91" s="14">
        <v>20</v>
      </c>
      <c r="O91" s="14">
        <f t="shared" ref="O91:P106" si="72">PV($B$111,$N91,-$H91)</f>
        <v>9527.4798328555335</v>
      </c>
      <c r="P91" s="14">
        <f t="shared" si="72"/>
        <v>9527.4798328555335</v>
      </c>
      <c r="Q91" s="18">
        <f t="shared" si="66"/>
        <v>1493.3768115940907</v>
      </c>
      <c r="R91" s="15">
        <v>300</v>
      </c>
      <c r="S91" s="16">
        <f t="shared" si="49"/>
        <v>3900</v>
      </c>
      <c r="T91" s="19">
        <f t="shared" si="67"/>
        <v>0.4093422466821543</v>
      </c>
      <c r="U91" s="19">
        <f t="shared" si="68"/>
        <v>0.56608640545163058</v>
      </c>
      <c r="V91" s="20">
        <f>IF($S91=0,"-",(VLOOKUP(N91,'APP 2885'!$B$10:$G$54,6)*$H91)/($S91+$Q91))</f>
        <v>1.760400493358772</v>
      </c>
      <c r="W91" s="21">
        <f t="shared" si="69"/>
        <v>9.4693232739575806E-2</v>
      </c>
      <c r="X91" s="22">
        <f t="shared" si="70"/>
        <v>0.25143739150905203</v>
      </c>
      <c r="Y91" s="20">
        <f>IF($S91=0,"-",(VLOOKUP(N91,'APP 2885'!$B$10:$G$54,4)*$H91)/($M91+$Q91))</f>
        <v>4.2361479391828052</v>
      </c>
    </row>
    <row r="92" spans="1:68" s="61" customFormat="1" ht="19.899999999999999" customHeight="1" thickBot="1" x14ac:dyDescent="0.3">
      <c r="A92" s="51" t="s">
        <v>65</v>
      </c>
      <c r="B92" s="51" t="s">
        <v>31</v>
      </c>
      <c r="C92" s="51" t="s">
        <v>66</v>
      </c>
      <c r="D92" s="52">
        <v>6</v>
      </c>
      <c r="E92" s="52">
        <v>6</v>
      </c>
      <c r="F92" s="52">
        <f t="shared" si="60"/>
        <v>6</v>
      </c>
      <c r="G92" s="52">
        <v>57</v>
      </c>
      <c r="H92" s="52">
        <f t="shared" si="43"/>
        <v>342</v>
      </c>
      <c r="I92" s="53">
        <v>425</v>
      </c>
      <c r="J92" s="54">
        <f t="shared" si="62"/>
        <v>113.60755035005604</v>
      </c>
      <c r="K92" s="54">
        <f t="shared" si="71"/>
        <v>274.24155101688098</v>
      </c>
      <c r="L92" s="54">
        <f t="shared" si="65"/>
        <v>2550</v>
      </c>
      <c r="M92" s="55">
        <f t="shared" si="46"/>
        <v>222.90539179837788</v>
      </c>
      <c r="N92" s="52">
        <v>20</v>
      </c>
      <c r="O92" s="52">
        <f t="shared" si="72"/>
        <v>4475.8215698304848</v>
      </c>
      <c r="P92" s="52">
        <f t="shared" si="72"/>
        <v>4475.8215698304848</v>
      </c>
      <c r="Q92" s="56">
        <f t="shared" si="66"/>
        <v>701.55888676535574</v>
      </c>
      <c r="R92" s="53">
        <v>300</v>
      </c>
      <c r="S92" s="54">
        <f t="shared" si="49"/>
        <v>1800</v>
      </c>
      <c r="T92" s="57">
        <f t="shared" si="67"/>
        <v>0.40216080375790592</v>
      </c>
      <c r="U92" s="57">
        <f t="shared" si="68"/>
        <v>0.5589049625273822</v>
      </c>
      <c r="V92" s="58">
        <f>IF($S92=0,"-",(VLOOKUP(N92,'APP 2885'!$B$10:$G$54,6)*$H92)/($S92+$Q92))</f>
        <v>1.783020109419625</v>
      </c>
      <c r="W92" s="59">
        <f t="shared" si="69"/>
        <v>4.9802117515336988E-2</v>
      </c>
      <c r="X92" s="60">
        <f t="shared" si="70"/>
        <v>0.2065462762848132</v>
      </c>
      <c r="Y92" s="58">
        <f>IF($S92=0,"-",(VLOOKUP(N92,'APP 2885'!$B$10:$G$54,4)*$H92)/($M92+$Q92))</f>
        <v>5.1568394600628622</v>
      </c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</row>
    <row r="93" spans="1:68" ht="19.899999999999999" customHeight="1" thickBot="1" x14ac:dyDescent="0.3">
      <c r="A93" s="13" t="s">
        <v>68</v>
      </c>
      <c r="B93" s="13" t="s">
        <v>28</v>
      </c>
      <c r="C93" s="13" t="s">
        <v>69</v>
      </c>
      <c r="D93" s="14">
        <v>219</v>
      </c>
      <c r="E93" s="14">
        <v>224</v>
      </c>
      <c r="F93" s="78">
        <f t="shared" si="60"/>
        <v>224</v>
      </c>
      <c r="G93" s="14">
        <v>18</v>
      </c>
      <c r="H93" s="14">
        <f t="shared" si="43"/>
        <v>4032</v>
      </c>
      <c r="I93" s="15">
        <v>16</v>
      </c>
      <c r="J93" s="16">
        <f t="shared" si="62"/>
        <v>25.128766788379849</v>
      </c>
      <c r="K93" s="16">
        <f t="shared" si="71"/>
        <v>127.48905528245331</v>
      </c>
      <c r="L93" s="16">
        <f t="shared" si="65"/>
        <v>3584</v>
      </c>
      <c r="M93" s="17">
        <f t="shared" si="46"/>
        <v>-29839.303033512457</v>
      </c>
      <c r="N93" s="14">
        <v>10</v>
      </c>
      <c r="O93" s="14">
        <f t="shared" si="72"/>
        <v>32014.170349974884</v>
      </c>
      <c r="P93" s="14">
        <f t="shared" si="72"/>
        <v>32014.170349974884</v>
      </c>
      <c r="Q93" s="18">
        <f t="shared" si="66"/>
        <v>8271.0100334441941</v>
      </c>
      <c r="R93" s="15">
        <v>25</v>
      </c>
      <c r="S93" s="16">
        <f t="shared" si="49"/>
        <v>5600</v>
      </c>
      <c r="T93" s="19">
        <f t="shared" si="67"/>
        <v>0.17492254019958989</v>
      </c>
      <c r="U93" s="19">
        <f t="shared" si="68"/>
        <v>0.43327719824715294</v>
      </c>
      <c r="V93" s="20">
        <f>IF($S93=0,"-",(VLOOKUP(N93,'APP 2885'!$B$10:$G$54,6)*$H93)/($S93+$Q93))</f>
        <v>1.6945898606753083</v>
      </c>
      <c r="W93" s="21">
        <f t="shared" si="69"/>
        <v>-0.93206547935845119</v>
      </c>
      <c r="X93" s="22">
        <f t="shared" si="70"/>
        <v>-0.67371082131088811</v>
      </c>
      <c r="Y93" s="20">
        <f>IF($S93=0,"-",(VLOOKUP(N93,'APP 2885'!$B$10:$G$54,4)*$H93)/($M93+$Q93))</f>
        <v>-1.1756577473154806</v>
      </c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</row>
    <row r="94" spans="1:68" s="61" customFormat="1" ht="19.899999999999999" customHeight="1" thickBot="1" x14ac:dyDescent="0.3">
      <c r="A94" s="51" t="s">
        <v>68</v>
      </c>
      <c r="B94" s="51" t="s">
        <v>30</v>
      </c>
      <c r="C94" s="51" t="s">
        <v>69</v>
      </c>
      <c r="D94" s="52">
        <v>85</v>
      </c>
      <c r="E94" s="52">
        <v>85</v>
      </c>
      <c r="F94" s="52">
        <f t="shared" si="60"/>
        <v>85</v>
      </c>
      <c r="G94" s="52">
        <v>17</v>
      </c>
      <c r="H94" s="52">
        <f t="shared" si="43"/>
        <v>1445</v>
      </c>
      <c r="I94" s="53">
        <v>16</v>
      </c>
      <c r="J94" s="54">
        <f t="shared" si="62"/>
        <v>23.732724189025415</v>
      </c>
      <c r="K94" s="54">
        <f t="shared" si="71"/>
        <v>127.11190421806248</v>
      </c>
      <c r="L94" s="54">
        <f t="shared" si="65"/>
        <v>1360</v>
      </c>
      <c r="M94" s="55">
        <f t="shared" si="46"/>
        <v>-11461.793414602471</v>
      </c>
      <c r="N94" s="52">
        <v>10</v>
      </c>
      <c r="O94" s="52">
        <f t="shared" si="72"/>
        <v>11473.332379889313</v>
      </c>
      <c r="P94" s="52">
        <f t="shared" si="72"/>
        <v>11473.332379889313</v>
      </c>
      <c r="Q94" s="56">
        <f t="shared" si="66"/>
        <v>2964.1888636723365</v>
      </c>
      <c r="R94" s="53">
        <v>25</v>
      </c>
      <c r="S94" s="54">
        <f t="shared" si="49"/>
        <v>2125</v>
      </c>
      <c r="T94" s="57">
        <f t="shared" si="67"/>
        <v>0.18521210138780103</v>
      </c>
      <c r="U94" s="57">
        <f t="shared" si="68"/>
        <v>0.44356675943536411</v>
      </c>
      <c r="V94" s="58">
        <f>IF($S94=0,"-",(VLOOKUP(N94,'APP 2885'!$B$10:$G$54,6)*$H94)/($S94+$Q94))</f>
        <v>1.6552799130982252</v>
      </c>
      <c r="W94" s="59">
        <f t="shared" si="69"/>
        <v>-0.9989942795253568</v>
      </c>
      <c r="X94" s="60">
        <f t="shared" si="70"/>
        <v>-0.74063962147779372</v>
      </c>
      <c r="Y94" s="58">
        <f>IF($S94=0,"-",(VLOOKUP(N94,'APP 2885'!$B$10:$G$54,4)*$H94)/($M94+$Q94))</f>
        <v>-1.0694180051345912</v>
      </c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</row>
    <row r="95" spans="1:68" ht="19.899999999999999" customHeight="1" thickBot="1" x14ac:dyDescent="0.3">
      <c r="A95" s="13" t="s">
        <v>68</v>
      </c>
      <c r="B95" s="13" t="s">
        <v>31</v>
      </c>
      <c r="C95" s="13" t="s">
        <v>69</v>
      </c>
      <c r="D95" s="14">
        <v>266</v>
      </c>
      <c r="E95" s="14">
        <v>269</v>
      </c>
      <c r="F95" s="78">
        <f t="shared" si="60"/>
        <v>269</v>
      </c>
      <c r="G95" s="14">
        <v>20</v>
      </c>
      <c r="H95" s="14">
        <f t="shared" si="43"/>
        <v>5380</v>
      </c>
      <c r="I95" s="15">
        <v>16</v>
      </c>
      <c r="J95" s="16">
        <f t="shared" si="62"/>
        <v>27.920851987088724</v>
      </c>
      <c r="K95" s="16">
        <f t="shared" si="71"/>
        <v>128.24335741123497</v>
      </c>
      <c r="L95" s="16">
        <f t="shared" si="65"/>
        <v>4304</v>
      </c>
      <c r="M95" s="17">
        <f t="shared" si="46"/>
        <v>-37235.679699954104</v>
      </c>
      <c r="N95" s="14">
        <v>10</v>
      </c>
      <c r="O95" s="14">
        <f t="shared" si="72"/>
        <v>42717.320556266088</v>
      </c>
      <c r="P95" s="14">
        <f t="shared" si="72"/>
        <v>42717.320556266088</v>
      </c>
      <c r="Q95" s="18">
        <f t="shared" si="66"/>
        <v>11036.218745022263</v>
      </c>
      <c r="R95" s="15">
        <v>25</v>
      </c>
      <c r="S95" s="16">
        <f t="shared" si="49"/>
        <v>6725</v>
      </c>
      <c r="T95" s="19">
        <f t="shared" si="67"/>
        <v>0.1574302861796309</v>
      </c>
      <c r="U95" s="19">
        <f t="shared" si="68"/>
        <v>0.41578494422719398</v>
      </c>
      <c r="V95" s="20">
        <f>IF($S95=0,"-",(VLOOKUP(N95,'APP 2885'!$B$10:$G$54,6)*$H95)/($S95+$Q95))</f>
        <v>1.7658819955015812</v>
      </c>
      <c r="W95" s="21">
        <f t="shared" si="69"/>
        <v>-0.87167638829098104</v>
      </c>
      <c r="X95" s="22">
        <f t="shared" si="70"/>
        <v>-0.61332173024341796</v>
      </c>
      <c r="Y95" s="20">
        <f>IF($S95=0,"-",(VLOOKUP(N95,'APP 2885'!$B$10:$G$54,4)*$H95)/($M95+$Q95))</f>
        <v>-1.2914157569634248</v>
      </c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</row>
    <row r="96" spans="1:68" s="61" customFormat="1" ht="19.899999999999999" customHeight="1" thickBot="1" x14ac:dyDescent="0.3">
      <c r="A96" s="51" t="s">
        <v>70</v>
      </c>
      <c r="B96" s="51" t="s">
        <v>28</v>
      </c>
      <c r="C96" s="51" t="s">
        <v>71</v>
      </c>
      <c r="D96" s="52">
        <v>41</v>
      </c>
      <c r="E96" s="52">
        <v>26195</v>
      </c>
      <c r="F96" s="52">
        <f>D96</f>
        <v>41</v>
      </c>
      <c r="G96" s="64">
        <v>7.0999999999999994E-2</v>
      </c>
      <c r="H96" s="56">
        <f t="shared" si="43"/>
        <v>1859.8449999999998</v>
      </c>
      <c r="I96" s="53">
        <v>1.18</v>
      </c>
      <c r="J96" s="54">
        <f t="shared" si="62"/>
        <v>0.19320447767005752</v>
      </c>
      <c r="K96" s="54">
        <f>0.1*$I96+PV($B$111,$N96,(-0.05*0.95*$G96))</f>
        <v>0.18330409645972179</v>
      </c>
      <c r="L96" s="54">
        <f t="shared" si="65"/>
        <v>30910.1</v>
      </c>
      <c r="M96" s="55">
        <f t="shared" si="46"/>
        <v>30894.663148460677</v>
      </c>
      <c r="N96" s="52">
        <v>45</v>
      </c>
      <c r="O96" s="52">
        <f t="shared" si="72"/>
        <v>36013.490668682374</v>
      </c>
      <c r="P96" s="52">
        <f t="shared" si="72"/>
        <v>36013.490668682374</v>
      </c>
      <c r="Q96" s="56">
        <f t="shared" si="66"/>
        <v>3815.1777419769383</v>
      </c>
      <c r="R96" s="53">
        <v>0.75</v>
      </c>
      <c r="S96" s="54">
        <f t="shared" si="49"/>
        <v>19646.25</v>
      </c>
      <c r="T96" s="57">
        <f t="shared" si="67"/>
        <v>0.5455247362923511</v>
      </c>
      <c r="U96" s="57">
        <f t="shared" si="68"/>
        <v>0.65146219670339223</v>
      </c>
      <c r="V96" s="58">
        <f>IF($S96=0,"-",(VLOOKUP(N96,'APP 2885'!$B$10:$G$54,6)*$H96)/($S96+$Q96))</f>
        <v>2.9469204976227981</v>
      </c>
      <c r="W96" s="59">
        <f t="shared" si="69"/>
        <v>0.8578636109641804</v>
      </c>
      <c r="X96" s="60">
        <f t="shared" si="70"/>
        <v>0.96380107137522142</v>
      </c>
      <c r="Y96" s="58">
        <f>IF($S96=0,"-",(VLOOKUP(N96,'APP 2885'!$B$10:$G$54,4)*$H96)/($M96+$Q96))</f>
        <v>2.1845563916510669</v>
      </c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</row>
    <row r="97" spans="1:68" ht="19.899999999999999" customHeight="1" thickBot="1" x14ac:dyDescent="0.3">
      <c r="A97" s="13" t="s">
        <v>70</v>
      </c>
      <c r="B97" s="13" t="s">
        <v>30</v>
      </c>
      <c r="C97" s="13" t="s">
        <v>71</v>
      </c>
      <c r="D97" s="14">
        <v>4</v>
      </c>
      <c r="E97" s="14">
        <v>1645</v>
      </c>
      <c r="F97" s="78">
        <f t="shared" ref="F97:F98" si="73">D97</f>
        <v>4</v>
      </c>
      <c r="G97" s="24">
        <v>6.5000000000000002E-2</v>
      </c>
      <c r="H97" s="18">
        <f t="shared" si="43"/>
        <v>106.925</v>
      </c>
      <c r="I97" s="15">
        <v>1.18</v>
      </c>
      <c r="J97" s="16">
        <f t="shared" si="62"/>
        <v>0.17687733871202449</v>
      </c>
      <c r="K97" s="16">
        <f>0.1*$I97+PV($B$111,$N97,(-0.05*0.95*$G97))</f>
        <v>0.17778544042087208</v>
      </c>
      <c r="L97" s="16">
        <f t="shared" si="65"/>
        <v>1941.1</v>
      </c>
      <c r="M97" s="17">
        <f t="shared" si="46"/>
        <v>1939.6813488834682</v>
      </c>
      <c r="N97" s="14">
        <v>45</v>
      </c>
      <c r="O97" s="14">
        <f t="shared" si="72"/>
        <v>2070.4641998386228</v>
      </c>
      <c r="P97" s="14">
        <f t="shared" si="72"/>
        <v>2070.4641998386228</v>
      </c>
      <c r="Q97" s="18">
        <f t="shared" si="66"/>
        <v>219.33971920288204</v>
      </c>
      <c r="R97" s="15">
        <v>0.75</v>
      </c>
      <c r="S97" s="16">
        <f t="shared" si="49"/>
        <v>1233.75</v>
      </c>
      <c r="T97" s="19">
        <f t="shared" si="67"/>
        <v>0.59588086579626032</v>
      </c>
      <c r="U97" s="19">
        <f t="shared" si="68"/>
        <v>0.70181832620730145</v>
      </c>
      <c r="V97" s="20">
        <f>IF($S97=0,"-",(VLOOKUP(N97,'APP 2885'!$B$10:$G$54,6)*$H97)/($S97+$Q97))</f>
        <v>2.7354761612829894</v>
      </c>
      <c r="W97" s="21">
        <f t="shared" si="69"/>
        <v>0.93683404380266599</v>
      </c>
      <c r="X97" s="22">
        <f t="shared" si="70"/>
        <v>1.0427715042137071</v>
      </c>
      <c r="Y97" s="20">
        <f>IF($S97=0,"-",(VLOOKUP(N97,'APP 2885'!$B$10:$G$54,4)*$H97)/($M97+$Q97))</f>
        <v>2.0191171145787141</v>
      </c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</row>
    <row r="98" spans="1:68" s="61" customFormat="1" ht="19.899999999999999" customHeight="1" thickBot="1" x14ac:dyDescent="0.3">
      <c r="A98" s="51" t="s">
        <v>70</v>
      </c>
      <c r="B98" s="51" t="s">
        <v>31</v>
      </c>
      <c r="C98" s="51" t="s">
        <v>71</v>
      </c>
      <c r="D98" s="52">
        <v>22</v>
      </c>
      <c r="E98" s="52">
        <v>17578</v>
      </c>
      <c r="F98" s="52">
        <f t="shared" si="73"/>
        <v>22</v>
      </c>
      <c r="G98" s="64">
        <v>7.5999999999999998E-2</v>
      </c>
      <c r="H98" s="56">
        <f t="shared" si="43"/>
        <v>1335.9279999999999</v>
      </c>
      <c r="I98" s="53">
        <v>1.18</v>
      </c>
      <c r="J98" s="54">
        <f t="shared" si="62"/>
        <v>0.20681042680175171</v>
      </c>
      <c r="K98" s="54">
        <f>0.1*$I98+PV($B$111,$N98,(-0.05*0.95*$G98))</f>
        <v>0.18790297649209659</v>
      </c>
      <c r="L98" s="54">
        <f t="shared" si="65"/>
        <v>20742.039999999997</v>
      </c>
      <c r="M98" s="55">
        <f t="shared" si="46"/>
        <v>20733.356305127534</v>
      </c>
      <c r="N98" s="52">
        <v>45</v>
      </c>
      <c r="O98" s="52">
        <f t="shared" si="72"/>
        <v>25868.516226906821</v>
      </c>
      <c r="P98" s="52">
        <f t="shared" si="72"/>
        <v>25868.516226906821</v>
      </c>
      <c r="Q98" s="56">
        <f t="shared" si="66"/>
        <v>2740.4449136803159</v>
      </c>
      <c r="R98" s="53">
        <v>0.75</v>
      </c>
      <c r="S98" s="54">
        <f t="shared" si="49"/>
        <v>13183.5</v>
      </c>
      <c r="T98" s="57">
        <f t="shared" si="67"/>
        <v>0.50963495100995948</v>
      </c>
      <c r="U98" s="57">
        <f t="shared" si="68"/>
        <v>0.61557241142100061</v>
      </c>
      <c r="V98" s="58">
        <f>IF($S98=0,"-",(VLOOKUP(N98,'APP 2885'!$B$10:$G$54,6)*$H98)/($S98+$Q98))</f>
        <v>3.1187351240447523</v>
      </c>
      <c r="W98" s="59">
        <f t="shared" si="69"/>
        <v>0.80148997040510528</v>
      </c>
      <c r="X98" s="60">
        <f t="shared" si="70"/>
        <v>0.90742743081614641</v>
      </c>
      <c r="Y98" s="58">
        <f>IF($S98=0,"-",(VLOOKUP(N98,'APP 2885'!$B$10:$G$54,4)*$H98)/($M98+$Q98))</f>
        <v>2.3202712627490274</v>
      </c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/>
    </row>
    <row r="99" spans="1:68" ht="19.899999999999999" customHeight="1" thickBot="1" x14ac:dyDescent="0.3">
      <c r="A99" s="13" t="s">
        <v>72</v>
      </c>
      <c r="B99" s="13" t="s">
        <v>28</v>
      </c>
      <c r="C99" s="13" t="s">
        <v>73</v>
      </c>
      <c r="D99" s="14">
        <v>11</v>
      </c>
      <c r="E99" s="14">
        <v>11</v>
      </c>
      <c r="F99" s="78">
        <f t="shared" si="60"/>
        <v>11</v>
      </c>
      <c r="G99" s="14">
        <v>75</v>
      </c>
      <c r="H99" s="14">
        <f t="shared" si="43"/>
        <v>825</v>
      </c>
      <c r="I99" s="15">
        <v>750</v>
      </c>
      <c r="J99" s="16">
        <f t="shared" si="62"/>
        <v>120.22739154711937</v>
      </c>
      <c r="K99" s="16">
        <f t="shared" ref="K99:K106" si="74">0.1*$I99+PV($B$111,$N99,(-0.05*0.95*$G99))+PV($B$111,$N99,-15)</f>
        <v>255.5094129992417</v>
      </c>
      <c r="L99" s="16">
        <f t="shared" si="65"/>
        <v>8250</v>
      </c>
      <c r="M99" s="17">
        <f t="shared" si="46"/>
        <v>4116.8951499900277</v>
      </c>
      <c r="N99" s="14">
        <v>13</v>
      </c>
      <c r="O99" s="14">
        <f t="shared" si="72"/>
        <v>8022.6405777440768</v>
      </c>
      <c r="P99" s="14">
        <f t="shared" si="72"/>
        <v>8022.6405777440768</v>
      </c>
      <c r="Q99" s="18">
        <f t="shared" si="66"/>
        <v>1692.3569636883583</v>
      </c>
      <c r="R99" s="15">
        <v>150</v>
      </c>
      <c r="S99" s="16">
        <f t="shared" si="49"/>
        <v>1650</v>
      </c>
      <c r="T99" s="19">
        <f t="shared" si="67"/>
        <v>0.2056679448631078</v>
      </c>
      <c r="U99" s="19">
        <f t="shared" si="68"/>
        <v>0.41661556831556468</v>
      </c>
      <c r="V99" s="20">
        <f>IF($S99=0,"-",(VLOOKUP(N99,'APP 2885'!$B$10:$G$54,6)*$H99)/($S99+$Q99))</f>
        <v>1.9120899770524589</v>
      </c>
      <c r="W99" s="21">
        <f t="shared" si="69"/>
        <v>0.51315961497899687</v>
      </c>
      <c r="X99" s="22">
        <f t="shared" si="70"/>
        <v>0.72410723843145375</v>
      </c>
      <c r="Y99" s="20">
        <f>IF($S99=0,"-",(VLOOKUP(N99,'APP 2885'!$B$10:$G$54,4)*$H99)/($M99+$Q99))</f>
        <v>1.199460003867487</v>
      </c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  <c r="AV99" s="75"/>
      <c r="AW99" s="75"/>
      <c r="AX99" s="75"/>
      <c r="AY99" s="75"/>
      <c r="AZ99" s="75"/>
      <c r="BA99" s="75"/>
      <c r="BB99" s="75"/>
      <c r="BC99" s="75"/>
      <c r="BD99" s="75"/>
      <c r="BE99" s="75"/>
      <c r="BF99" s="75"/>
      <c r="BG99" s="75"/>
      <c r="BH99" s="75"/>
      <c r="BI99" s="75"/>
      <c r="BJ99" s="75"/>
      <c r="BK99" s="75"/>
      <c r="BL99" s="75"/>
      <c r="BM99" s="75"/>
      <c r="BN99" s="75"/>
      <c r="BO99" s="75"/>
      <c r="BP99" s="75"/>
    </row>
    <row r="100" spans="1:68" s="61" customFormat="1" ht="19.899999999999999" customHeight="1" thickBot="1" x14ac:dyDescent="0.3">
      <c r="A100" s="51" t="s">
        <v>74</v>
      </c>
      <c r="B100" s="51" t="s">
        <v>28</v>
      </c>
      <c r="C100" s="51" t="s">
        <v>104</v>
      </c>
      <c r="D100" s="52">
        <v>16</v>
      </c>
      <c r="E100" s="52">
        <v>1676.7840000000001</v>
      </c>
      <c r="F100" s="52">
        <f>101</f>
        <v>101</v>
      </c>
      <c r="G100" s="89">
        <v>0.63017999999999996</v>
      </c>
      <c r="H100" s="52">
        <f t="shared" ref="H100:H102" si="75">IF(ISNUMBER(E100),E100*G100,"")</f>
        <v>1056.6757411200001</v>
      </c>
      <c r="I100" s="53">
        <v>23.09</v>
      </c>
      <c r="J100" s="54">
        <f t="shared" si="62"/>
        <v>1.7148394047622089</v>
      </c>
      <c r="K100" s="54">
        <f t="shared" si="74"/>
        <v>293.34420543585151</v>
      </c>
      <c r="L100" s="54">
        <f t="shared" si="65"/>
        <v>38716.942560000003</v>
      </c>
      <c r="M100" s="55">
        <f t="shared" ref="M100:M101" si="76">L100-D100*(J100+K100)</f>
        <v>33995.997842550183</v>
      </c>
      <c r="N100" s="52">
        <v>45</v>
      </c>
      <c r="O100" s="52">
        <f t="shared" si="72"/>
        <v>20461.157753817206</v>
      </c>
      <c r="P100" s="52">
        <f t="shared" si="72"/>
        <v>20461.157753817206</v>
      </c>
      <c r="Q100" s="56">
        <f t="shared" si="66"/>
        <v>2167.6030895090776</v>
      </c>
      <c r="R100" s="53">
        <v>5</v>
      </c>
      <c r="S100" s="54">
        <f t="shared" ref="S100:S102" si="77">IF(ISNUMBER(R100),R100*E100,"")</f>
        <v>8383.92</v>
      </c>
      <c r="T100" s="57">
        <f t="shared" si="67"/>
        <v>0.40974807490724258</v>
      </c>
      <c r="U100" s="57">
        <f t="shared" si="68"/>
        <v>0.51568553531828365</v>
      </c>
      <c r="V100" s="58">
        <f>IF($S100=0,"-",(VLOOKUP(N100,'APP 2885'!$B$10:$G$54,6)*$H100)/($S100+$Q100))</f>
        <v>3.7228255776200654</v>
      </c>
      <c r="W100" s="59">
        <f t="shared" si="69"/>
        <v>1.6614894548773975</v>
      </c>
      <c r="X100" s="60">
        <f t="shared" si="70"/>
        <v>1.7674269152884388</v>
      </c>
      <c r="Y100" s="58">
        <f>IF($S100=0,"-",(VLOOKUP(N100,'APP 2885'!$B$10:$G$54,4)*$H100)/($M100+$Q100))</f>
        <v>1.1912672442296028</v>
      </c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  <c r="AT100" s="75"/>
      <c r="AU100" s="75"/>
      <c r="AV100" s="75"/>
      <c r="AW100" s="75"/>
      <c r="AX100" s="75"/>
      <c r="AY100" s="75"/>
      <c r="AZ100" s="75"/>
      <c r="BA100" s="75"/>
      <c r="BB100" s="75"/>
      <c r="BC100" s="75"/>
      <c r="BD100" s="75"/>
      <c r="BE100" s="75"/>
      <c r="BF100" s="75"/>
      <c r="BG100" s="75"/>
      <c r="BH100" s="75"/>
      <c r="BI100" s="75"/>
      <c r="BJ100" s="75"/>
      <c r="BK100" s="75"/>
      <c r="BL100" s="75"/>
      <c r="BM100" s="75"/>
      <c r="BN100" s="75"/>
      <c r="BO100" s="75"/>
      <c r="BP100" s="75"/>
    </row>
    <row r="101" spans="1:68" s="50" customFormat="1" ht="19.899999999999999" customHeight="1" thickBot="1" x14ac:dyDescent="0.3">
      <c r="A101" s="77" t="s">
        <v>74</v>
      </c>
      <c r="B101" s="77" t="s">
        <v>30</v>
      </c>
      <c r="C101" s="77" t="s">
        <v>104</v>
      </c>
      <c r="D101" s="78">
        <v>10</v>
      </c>
      <c r="E101" s="78">
        <v>1660.56</v>
      </c>
      <c r="F101" s="78">
        <f>106</f>
        <v>106</v>
      </c>
      <c r="G101" s="88">
        <v>0.63017999999999996</v>
      </c>
      <c r="H101" s="78">
        <f t="shared" si="75"/>
        <v>1046.4517007999998</v>
      </c>
      <c r="I101" s="79">
        <v>23.09</v>
      </c>
      <c r="J101" s="80">
        <f t="shared" si="62"/>
        <v>1.7148394047622089</v>
      </c>
      <c r="K101" s="80">
        <f t="shared" si="74"/>
        <v>293.34420543585151</v>
      </c>
      <c r="L101" s="80">
        <f t="shared" si="65"/>
        <v>38342.330399999999</v>
      </c>
      <c r="M101" s="81">
        <f t="shared" si="76"/>
        <v>35391.73995159386</v>
      </c>
      <c r="N101" s="78">
        <v>45</v>
      </c>
      <c r="O101" s="78">
        <f t="shared" si="72"/>
        <v>20263.18244906839</v>
      </c>
      <c r="P101" s="78">
        <f t="shared" si="72"/>
        <v>20263.18244906839</v>
      </c>
      <c r="Q101" s="82">
        <f t="shared" si="66"/>
        <v>2146.6300884998859</v>
      </c>
      <c r="R101" s="79">
        <v>5</v>
      </c>
      <c r="S101" s="80">
        <f t="shared" si="77"/>
        <v>8302.7999999999993</v>
      </c>
      <c r="T101" s="83">
        <f t="shared" si="67"/>
        <v>0.40974807490724263</v>
      </c>
      <c r="U101" s="83">
        <f t="shared" si="68"/>
        <v>0.51568553531828376</v>
      </c>
      <c r="V101" s="84">
        <f>IF($S101=0,"-",(VLOOKUP(N101,'APP 2885'!$B$10:$G$54,6)*$H101)/($S101+$Q101))</f>
        <v>3.7228255776200645</v>
      </c>
      <c r="W101" s="85">
        <f t="shared" si="69"/>
        <v>1.7466032317752245</v>
      </c>
      <c r="X101" s="86">
        <f t="shared" si="70"/>
        <v>1.8525406921862657</v>
      </c>
      <c r="Y101" s="84">
        <f>IF($S101=0,"-",(VLOOKUP(N101,'APP 2885'!$B$10:$G$54,4)*$H101)/($M101+$Q101))</f>
        <v>1.1365352456944511</v>
      </c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  <c r="BH101" s="75"/>
      <c r="BI101" s="75"/>
      <c r="BJ101" s="75"/>
      <c r="BK101" s="75"/>
      <c r="BL101" s="75"/>
      <c r="BM101" s="75"/>
      <c r="BN101" s="75"/>
      <c r="BO101" s="75"/>
      <c r="BP101" s="75"/>
    </row>
    <row r="102" spans="1:68" s="61" customFormat="1" ht="19.899999999999999" customHeight="1" thickBot="1" x14ac:dyDescent="0.3">
      <c r="A102" s="51" t="s">
        <v>74</v>
      </c>
      <c r="B102" s="51" t="s">
        <v>31</v>
      </c>
      <c r="C102" s="51" t="s">
        <v>104</v>
      </c>
      <c r="D102" s="52">
        <v>9</v>
      </c>
      <c r="E102" s="52">
        <v>1149.18</v>
      </c>
      <c r="F102" s="52">
        <f>48</f>
        <v>48</v>
      </c>
      <c r="G102" s="89">
        <v>0.63017999999999996</v>
      </c>
      <c r="H102" s="52">
        <f t="shared" si="75"/>
        <v>724.19025239999996</v>
      </c>
      <c r="I102" s="53">
        <v>23.09</v>
      </c>
      <c r="J102" s="54">
        <f t="shared" si="62"/>
        <v>1.7148394047622089</v>
      </c>
      <c r="K102" s="54">
        <f t="shared" si="74"/>
        <v>293.34420543585151</v>
      </c>
      <c r="L102" s="54">
        <f t="shared" si="65"/>
        <v>26534.566200000001</v>
      </c>
      <c r="M102" s="55">
        <f>L102-D102*(J102+K102)</f>
        <v>23879.034796434476</v>
      </c>
      <c r="N102" s="52">
        <v>45</v>
      </c>
      <c r="O102" s="52">
        <f t="shared" si="72"/>
        <v>14023.006700643407</v>
      </c>
      <c r="P102" s="52">
        <f t="shared" si="72"/>
        <v>14023.006700643407</v>
      </c>
      <c r="Q102" s="56">
        <f t="shared" si="66"/>
        <v>1485.5617171931751</v>
      </c>
      <c r="R102" s="53">
        <v>5</v>
      </c>
      <c r="S102" s="54">
        <f t="shared" si="77"/>
        <v>5745.9000000000005</v>
      </c>
      <c r="T102" s="57">
        <f t="shared" si="67"/>
        <v>0.40974807490724263</v>
      </c>
      <c r="U102" s="57">
        <f t="shared" si="68"/>
        <v>0.51568553531828376</v>
      </c>
      <c r="V102" s="58">
        <f>IF($S102=0,"-",(VLOOKUP(N102,'APP 2885'!$B$10:$G$54,6)*$H102)/($S102+$Q102))</f>
        <v>3.7228255776200641</v>
      </c>
      <c r="W102" s="59">
        <f t="shared" si="69"/>
        <v>1.7028469932442414</v>
      </c>
      <c r="X102" s="60">
        <f t="shared" si="70"/>
        <v>1.8087844536552824</v>
      </c>
      <c r="Y102" s="58">
        <f>IF($S102=0,"-",(VLOOKUP(N102,'APP 2885'!$B$10:$G$54,4)*$H102)/($M102+$Q102))</f>
        <v>1.1640291282347273</v>
      </c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T102" s="75"/>
      <c r="AU102" s="75"/>
      <c r="AV102" s="75"/>
      <c r="AW102" s="75"/>
      <c r="AX102" s="75"/>
      <c r="AY102" s="75"/>
      <c r="AZ102" s="75"/>
      <c r="BA102" s="75"/>
      <c r="BB102" s="75"/>
      <c r="BC102" s="75"/>
      <c r="BD102" s="75"/>
      <c r="BE102" s="75"/>
      <c r="BF102" s="75"/>
      <c r="BG102" s="75"/>
      <c r="BH102" s="75"/>
      <c r="BI102" s="75"/>
      <c r="BJ102" s="75"/>
      <c r="BK102" s="75"/>
      <c r="BL102" s="75"/>
      <c r="BM102" s="75"/>
      <c r="BN102" s="75"/>
      <c r="BO102" s="75"/>
      <c r="BP102" s="75"/>
    </row>
    <row r="103" spans="1:68" s="50" customFormat="1" ht="19.899999999999999" customHeight="1" thickBot="1" x14ac:dyDescent="0.3">
      <c r="A103" s="77" t="s">
        <v>36</v>
      </c>
      <c r="B103" s="77" t="s">
        <v>28</v>
      </c>
      <c r="C103" s="77"/>
      <c r="D103" s="78">
        <v>104</v>
      </c>
      <c r="E103" s="78">
        <v>104</v>
      </c>
      <c r="F103" s="78">
        <f t="shared" si="60"/>
        <v>104</v>
      </c>
      <c r="G103" s="78">
        <v>0</v>
      </c>
      <c r="H103" s="78">
        <f>IF(ISNUMBER(E103),E103*G103,"")</f>
        <v>0</v>
      </c>
      <c r="I103" s="79">
        <v>0</v>
      </c>
      <c r="J103" s="80">
        <f t="shared" si="62"/>
        <v>0</v>
      </c>
      <c r="K103" s="80">
        <f t="shared" si="74"/>
        <v>0</v>
      </c>
      <c r="L103" s="80">
        <f t="shared" si="65"/>
        <v>0</v>
      </c>
      <c r="M103" s="81">
        <f>L103-D103*(J103+K103)</f>
        <v>0</v>
      </c>
      <c r="N103" s="78">
        <v>0</v>
      </c>
      <c r="O103" s="78">
        <f t="shared" si="72"/>
        <v>0</v>
      </c>
      <c r="P103" s="78">
        <f t="shared" si="72"/>
        <v>0</v>
      </c>
      <c r="Q103" s="82">
        <f t="shared" si="66"/>
        <v>0</v>
      </c>
      <c r="R103" s="79">
        <v>250</v>
      </c>
      <c r="S103" s="80">
        <f>IF(ISNUMBER(R103),R103*E103,"")</f>
        <v>26000</v>
      </c>
      <c r="T103" s="83">
        <f t="shared" si="67"/>
        <v>0</v>
      </c>
      <c r="U103" s="83">
        <f t="shared" si="68"/>
        <v>0</v>
      </c>
      <c r="V103" s="84" t="e">
        <f>IF($S103=0,"-",(VLOOKUP(N103,'APP 2885'!$B$10:$G$54,6)*$H103)/($S103+$Q103))</f>
        <v>#N/A</v>
      </c>
      <c r="W103" s="85">
        <f t="shared" si="69"/>
        <v>0</v>
      </c>
      <c r="X103" s="86">
        <f t="shared" si="70"/>
        <v>0</v>
      </c>
      <c r="Y103" s="84" t="e">
        <f>IF($S103=0,"-",(VLOOKUP(N103,'APP 2885'!$B$10:$G$54,4)*$H103)/($M103+$Q103))</f>
        <v>#N/A</v>
      </c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L103" s="75"/>
      <c r="BM103" s="75"/>
      <c r="BN103" s="75"/>
      <c r="BO103" s="75"/>
      <c r="BP103" s="75"/>
    </row>
    <row r="104" spans="1:68" s="61" customFormat="1" ht="19.899999999999999" customHeight="1" thickBot="1" x14ac:dyDescent="0.3">
      <c r="A104" s="51" t="s">
        <v>36</v>
      </c>
      <c r="B104" s="51" t="s">
        <v>30</v>
      </c>
      <c r="C104" s="51"/>
      <c r="D104" s="52">
        <v>15</v>
      </c>
      <c r="E104" s="52">
        <v>15</v>
      </c>
      <c r="F104" s="52">
        <f t="shared" si="60"/>
        <v>15</v>
      </c>
      <c r="G104" s="52">
        <v>0</v>
      </c>
      <c r="H104" s="52">
        <f>IF(ISNUMBER(E104),E104*G104,"")</f>
        <v>0</v>
      </c>
      <c r="I104" s="53">
        <v>0</v>
      </c>
      <c r="J104" s="54">
        <f t="shared" si="62"/>
        <v>0</v>
      </c>
      <c r="K104" s="54">
        <f t="shared" si="74"/>
        <v>0</v>
      </c>
      <c r="L104" s="54">
        <f t="shared" si="65"/>
        <v>0</v>
      </c>
      <c r="M104" s="55">
        <f>L104-D104*(J104+K104)</f>
        <v>0</v>
      </c>
      <c r="N104" s="52">
        <v>0</v>
      </c>
      <c r="O104" s="52">
        <f t="shared" si="72"/>
        <v>0</v>
      </c>
      <c r="P104" s="52">
        <f t="shared" si="72"/>
        <v>0</v>
      </c>
      <c r="Q104" s="56">
        <f t="shared" si="66"/>
        <v>0</v>
      </c>
      <c r="R104" s="53">
        <v>250</v>
      </c>
      <c r="S104" s="54">
        <f>IF(ISNUMBER(R104),R104*E104,"")</f>
        <v>3750</v>
      </c>
      <c r="T104" s="57">
        <f t="shared" si="67"/>
        <v>0</v>
      </c>
      <c r="U104" s="57">
        <f t="shared" si="68"/>
        <v>0</v>
      </c>
      <c r="V104" s="58" t="e">
        <f>IF($S104=0,"-",(VLOOKUP(N104,'APP 2885'!$B$10:$G$54,6)*$H104)/($S104+$Q104))</f>
        <v>#N/A</v>
      </c>
      <c r="W104" s="59">
        <f t="shared" si="69"/>
        <v>0</v>
      </c>
      <c r="X104" s="60">
        <f t="shared" si="70"/>
        <v>0</v>
      </c>
      <c r="Y104" s="58" t="e">
        <f>IF($S104=0,"-",(VLOOKUP(N104,'APP 2885'!$B$10:$G$54,4)*$H104)/($M104+$Q104))</f>
        <v>#N/A</v>
      </c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  <c r="AT104" s="75"/>
      <c r="AU104" s="75"/>
      <c r="AV104" s="75"/>
      <c r="AW104" s="75"/>
      <c r="AX104" s="75"/>
      <c r="AY104" s="75"/>
      <c r="AZ104" s="75"/>
      <c r="BA104" s="75"/>
      <c r="BB104" s="75"/>
      <c r="BC104" s="75"/>
      <c r="BD104" s="75"/>
      <c r="BE104" s="75"/>
      <c r="BF104" s="75"/>
      <c r="BG104" s="75"/>
      <c r="BH104" s="75"/>
      <c r="BI104" s="75"/>
      <c r="BJ104" s="75"/>
      <c r="BK104" s="75"/>
      <c r="BL104" s="75"/>
      <c r="BM104" s="75"/>
      <c r="BN104" s="75"/>
      <c r="BO104" s="75"/>
      <c r="BP104" s="75"/>
    </row>
    <row r="105" spans="1:68" s="50" customFormat="1" ht="19.899999999999999" customHeight="1" x14ac:dyDescent="0.25">
      <c r="A105" s="77" t="s">
        <v>36</v>
      </c>
      <c r="B105" s="77" t="s">
        <v>31</v>
      </c>
      <c r="C105" s="77"/>
      <c r="D105" s="78">
        <v>46</v>
      </c>
      <c r="E105" s="78">
        <v>46</v>
      </c>
      <c r="F105" s="78">
        <f t="shared" si="60"/>
        <v>46</v>
      </c>
      <c r="G105" s="78">
        <v>0</v>
      </c>
      <c r="H105" s="78">
        <f>IF(ISNUMBER(E105),E105*G105,"")</f>
        <v>0</v>
      </c>
      <c r="I105" s="79">
        <v>0</v>
      </c>
      <c r="J105" s="80">
        <f t="shared" si="62"/>
        <v>0</v>
      </c>
      <c r="K105" s="80">
        <f t="shared" si="74"/>
        <v>0</v>
      </c>
      <c r="L105" s="80">
        <f t="shared" si="65"/>
        <v>0</v>
      </c>
      <c r="M105" s="81">
        <f>L105-D105*(J105+K105)</f>
        <v>0</v>
      </c>
      <c r="N105" s="78">
        <v>0</v>
      </c>
      <c r="O105" s="78">
        <f t="shared" si="72"/>
        <v>0</v>
      </c>
      <c r="P105" s="78">
        <f t="shared" si="72"/>
        <v>0</v>
      </c>
      <c r="Q105" s="82">
        <f t="shared" si="66"/>
        <v>0</v>
      </c>
      <c r="R105" s="79">
        <v>250</v>
      </c>
      <c r="S105" s="80">
        <f>IF(ISNUMBER(R105),R105*E105,"")</f>
        <v>11500</v>
      </c>
      <c r="T105" s="83">
        <f t="shared" si="67"/>
        <v>0</v>
      </c>
      <c r="U105" s="83">
        <f t="shared" si="68"/>
        <v>0</v>
      </c>
      <c r="V105" s="84" t="e">
        <f>IF($S105=0,"-",(VLOOKUP(N105,'APP 2885'!$B$10:$G$54,6)*$H105)/($S105+$Q105))</f>
        <v>#N/A</v>
      </c>
      <c r="W105" s="85">
        <f t="shared" si="69"/>
        <v>0</v>
      </c>
      <c r="X105" s="86">
        <f t="shared" si="70"/>
        <v>0</v>
      </c>
      <c r="Y105" s="84" t="e">
        <f>IF($S105=0,"-",(VLOOKUP(N105,'APP 2885'!$B$10:$G$54,4)*$H105)/($M105+$Q105))</f>
        <v>#N/A</v>
      </c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  <c r="BD105" s="75"/>
      <c r="BE105" s="75"/>
      <c r="BF105" s="75"/>
      <c r="BG105" s="75"/>
      <c r="BH105" s="75"/>
      <c r="BI105" s="75"/>
      <c r="BJ105" s="75"/>
      <c r="BK105" s="75"/>
      <c r="BL105" s="75"/>
      <c r="BM105" s="75"/>
      <c r="BN105" s="75"/>
      <c r="BO105" s="75"/>
      <c r="BP105" s="75"/>
    </row>
    <row r="106" spans="1:68" s="61" customFormat="1" ht="19.899999999999999" customHeight="1" thickBot="1" x14ac:dyDescent="0.3">
      <c r="A106" s="51" t="s">
        <v>37</v>
      </c>
      <c r="B106" s="51" t="s">
        <v>28</v>
      </c>
      <c r="C106" s="51"/>
      <c r="D106" s="52">
        <v>24</v>
      </c>
      <c r="E106" s="52">
        <v>24</v>
      </c>
      <c r="F106" s="52">
        <f t="shared" si="60"/>
        <v>24</v>
      </c>
      <c r="G106" s="52">
        <v>0</v>
      </c>
      <c r="H106" s="52">
        <f>IF(ISNUMBER(E106),E106*G106,"")</f>
        <v>0</v>
      </c>
      <c r="I106" s="53">
        <v>0</v>
      </c>
      <c r="J106" s="54">
        <f t="shared" si="62"/>
        <v>0</v>
      </c>
      <c r="K106" s="54">
        <f t="shared" si="74"/>
        <v>0</v>
      </c>
      <c r="L106" s="54">
        <f t="shared" si="65"/>
        <v>0</v>
      </c>
      <c r="M106" s="55">
        <f>L106-D106*(J106+K106)</f>
        <v>0</v>
      </c>
      <c r="N106" s="52">
        <v>0</v>
      </c>
      <c r="O106" s="52">
        <f t="shared" si="72"/>
        <v>0</v>
      </c>
      <c r="P106" s="52">
        <f t="shared" si="72"/>
        <v>0</v>
      </c>
      <c r="Q106" s="56">
        <f t="shared" si="66"/>
        <v>0</v>
      </c>
      <c r="R106" s="53">
        <v>500</v>
      </c>
      <c r="S106" s="54">
        <f>IF(ISNUMBER(R106),R106*E106,"")</f>
        <v>12000</v>
      </c>
      <c r="T106" s="57">
        <f t="shared" si="67"/>
        <v>0</v>
      </c>
      <c r="U106" s="57">
        <f t="shared" si="68"/>
        <v>0</v>
      </c>
      <c r="V106" s="58" t="e">
        <f>IF($S106=0,"-",(VLOOKUP(N106,'APP 2885'!$B$10:$G$54,6)*$H106)/($S106+$Q106))</f>
        <v>#N/A</v>
      </c>
      <c r="W106" s="59">
        <f t="shared" si="69"/>
        <v>0</v>
      </c>
      <c r="X106" s="60">
        <f t="shared" si="70"/>
        <v>0</v>
      </c>
      <c r="Y106" s="58" t="e">
        <f>IF($S106=0,"-",(VLOOKUP(N106,'APP 2885'!$B$10:$G$54,4)*$H106)/($M106+$Q106))</f>
        <v>#N/A</v>
      </c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  <c r="AT106" s="75"/>
      <c r="AU106" s="75"/>
      <c r="AV106" s="75"/>
      <c r="AW106" s="75"/>
      <c r="AX106" s="75"/>
      <c r="AY106" s="75"/>
      <c r="AZ106" s="75"/>
      <c r="BA106" s="75"/>
      <c r="BB106" s="75"/>
      <c r="BC106" s="75"/>
      <c r="BD106" s="75"/>
      <c r="BE106" s="75"/>
      <c r="BF106" s="75"/>
      <c r="BG106" s="75"/>
      <c r="BH106" s="75"/>
      <c r="BI106" s="75"/>
      <c r="BJ106" s="75"/>
      <c r="BK106" s="75"/>
      <c r="BL106" s="75"/>
      <c r="BM106" s="75"/>
      <c r="BN106" s="75"/>
      <c r="BO106" s="75"/>
      <c r="BP106" s="75"/>
    </row>
    <row r="107" spans="1:68" ht="30" customHeight="1" thickBot="1" x14ac:dyDescent="0.3">
      <c r="A107" s="25" t="s">
        <v>75</v>
      </c>
      <c r="B107" s="26" t="s">
        <v>76</v>
      </c>
      <c r="C107" s="26" t="s">
        <v>76</v>
      </c>
      <c r="D107" s="27">
        <v>3024</v>
      </c>
      <c r="E107" s="28">
        <f>SUM(E6:E102)</f>
        <v>946442.52400000009</v>
      </c>
      <c r="F107" s="28">
        <f>SUM(F6:F102)</f>
        <v>5430</v>
      </c>
      <c r="G107" s="26" t="s">
        <v>76</v>
      </c>
      <c r="H107" s="29">
        <f t="shared" ref="H107:M107" si="78">SUM(H6:H102)</f>
        <v>363363.88669432001</v>
      </c>
      <c r="I107" s="30">
        <f t="shared" si="78"/>
        <v>60443.549999999981</v>
      </c>
      <c r="J107" s="30">
        <f t="shared" si="78"/>
        <v>13020.909763206855</v>
      </c>
      <c r="K107" s="30">
        <f t="shared" si="78"/>
        <v>24931.509245735455</v>
      </c>
      <c r="L107" s="30">
        <f t="shared" si="78"/>
        <v>3947592.1091600005</v>
      </c>
      <c r="M107" s="30">
        <f t="shared" si="78"/>
        <v>2394844.7445636592</v>
      </c>
      <c r="N107" s="28">
        <f>SUMPRODUCT(N6:N102,H6:H102)/SUM(H6:H102)</f>
        <v>23.484252931340603</v>
      </c>
      <c r="O107" s="31">
        <f>SUM(O6:O102)</f>
        <v>4953103.0642326623</v>
      </c>
      <c r="P107" s="31">
        <f>O107</f>
        <v>4953103.0642326623</v>
      </c>
      <c r="Q107" s="32">
        <f>B112</f>
        <v>745383.52</v>
      </c>
      <c r="R107" s="26" t="s">
        <v>76</v>
      </c>
      <c r="S107" s="30">
        <f>SUM(S6:S102)</f>
        <v>2174798.3699999996</v>
      </c>
      <c r="T107" s="92">
        <f t="shared" ref="T107" si="79">IF(ISERROR(S107/P107),0,S107/P107)</f>
        <v>0.43907795614120149</v>
      </c>
      <c r="U107" s="30">
        <f t="shared" si="38"/>
        <v>0.58956614714666677</v>
      </c>
      <c r="V107" s="33">
        <f>IF(VALUE(LEFT($S107,11))=0,"-",(VLOOKUP(N107,'APP 2885'!$B$10:$G$54,6)*VALUE(LEFT($H107,7)))/(VALUE(LEFT($S107,11))+$Q107))</f>
        <v>1.956506473516801</v>
      </c>
      <c r="W107" s="30">
        <f t="shared" si="39"/>
        <v>0.48350391936265313</v>
      </c>
      <c r="X107" s="30">
        <f t="shared" si="40"/>
        <v>0.63399211036811831</v>
      </c>
      <c r="Y107" s="33">
        <f>IF($S107=0,"-",(VLOOKUP(N107,'APP 2885'!$B$10:$G$54,4)*$H107)/($M107+$Q107))</f>
        <v>1.9096130433854224</v>
      </c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  <c r="AK107" s="75"/>
      <c r="AL107" s="75"/>
      <c r="AM107" s="75"/>
      <c r="AN107" s="75"/>
      <c r="AO107" s="75"/>
      <c r="AP107" s="75"/>
      <c r="AQ107" s="75"/>
      <c r="AR107" s="75"/>
      <c r="AS107" s="75"/>
      <c r="AT107" s="75"/>
      <c r="AU107" s="75"/>
      <c r="AV107" s="75"/>
      <c r="AW107" s="75"/>
      <c r="AX107" s="75"/>
      <c r="AY107" s="75"/>
      <c r="AZ107" s="75"/>
      <c r="BA107" s="75"/>
      <c r="BB107" s="75"/>
      <c r="BC107" s="75"/>
      <c r="BD107" s="75"/>
      <c r="BE107" s="75"/>
      <c r="BF107" s="75"/>
      <c r="BG107" s="75"/>
      <c r="BH107" s="75"/>
      <c r="BI107" s="75"/>
      <c r="BJ107" s="75"/>
      <c r="BK107" s="75"/>
      <c r="BL107" s="75"/>
      <c r="BM107" s="75"/>
      <c r="BN107" s="75"/>
      <c r="BO107" s="75"/>
      <c r="BP107" s="75"/>
    </row>
    <row r="108" spans="1:68" ht="30" customHeight="1" thickBot="1" x14ac:dyDescent="0.3">
      <c r="A108" s="34"/>
      <c r="B108" s="35"/>
      <c r="C108" s="35"/>
      <c r="D108" s="35"/>
      <c r="E108" s="35"/>
      <c r="F108" s="90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</row>
    <row r="109" spans="1:68" ht="30" customHeight="1" thickBot="1" x14ac:dyDescent="0.3">
      <c r="A109" s="36" t="s">
        <v>77</v>
      </c>
      <c r="B109" s="37">
        <v>4.4299999999999999E-2</v>
      </c>
      <c r="C109" s="35"/>
      <c r="D109" s="35"/>
      <c r="E109" s="35"/>
      <c r="F109" s="90"/>
      <c r="G109" s="35"/>
      <c r="I109" s="35"/>
      <c r="J109" s="35"/>
      <c r="K109" s="35"/>
      <c r="L109" s="91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</row>
    <row r="110" spans="1:68" ht="30" customHeight="1" thickBot="1" x14ac:dyDescent="0.3">
      <c r="A110" s="36" t="s">
        <v>78</v>
      </c>
      <c r="B110" s="37">
        <v>0.02</v>
      </c>
      <c r="C110" s="35"/>
      <c r="D110" s="35"/>
      <c r="E110" s="35"/>
      <c r="F110" s="90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</row>
    <row r="111" spans="1:68" ht="30" customHeight="1" x14ac:dyDescent="0.25">
      <c r="A111" s="36" t="s">
        <v>79</v>
      </c>
      <c r="B111" s="37">
        <v>4.4299999999999999E-2</v>
      </c>
      <c r="C111" s="35"/>
      <c r="D111" s="35"/>
      <c r="E111" s="35"/>
      <c r="F111" s="90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</row>
    <row r="112" spans="1:68" ht="30" customHeight="1" x14ac:dyDescent="0.25">
      <c r="A112" s="36" t="s">
        <v>80</v>
      </c>
      <c r="B112" s="38">
        <v>745383.52</v>
      </c>
      <c r="C112" s="35"/>
      <c r="D112" s="35"/>
      <c r="E112" s="35"/>
      <c r="F112" s="90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</row>
    <row r="113" spans="1:25" ht="30" customHeight="1" x14ac:dyDescent="0.25">
      <c r="A113" s="94" t="s">
        <v>110</v>
      </c>
      <c r="B113" s="39" t="s">
        <v>76</v>
      </c>
      <c r="C113" s="35"/>
      <c r="D113" s="35"/>
      <c r="E113" s="35"/>
      <c r="F113" s="90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</row>
  </sheetData>
  <mergeCells count="3">
    <mergeCell ref="B1:Y1"/>
    <mergeCell ref="B2:Y2"/>
    <mergeCell ref="A3:Y3"/>
  </mergeCells>
  <phoneticPr fontId="15" type="noConversion"/>
  <pageMargins left="0" right="0" top="0" bottom="0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59"/>
  <sheetViews>
    <sheetView workbookViewId="0">
      <pane ySplit="4" topLeftCell="A35" activePane="bottomLeft" state="frozen"/>
      <selection pane="bottomLeft" activeCell="E42" sqref="E42"/>
    </sheetView>
  </sheetViews>
  <sheetFormatPr defaultRowHeight="15" x14ac:dyDescent="0.25"/>
  <cols>
    <col min="1" max="8" width="13.28515625" customWidth="1"/>
  </cols>
  <sheetData>
    <row r="1" spans="1:8" ht="15" customHeight="1" x14ac:dyDescent="0.25">
      <c r="A1" s="102" t="s">
        <v>81</v>
      </c>
      <c r="B1" s="102"/>
      <c r="C1" s="102"/>
      <c r="D1" s="102"/>
      <c r="E1" s="102"/>
      <c r="F1" s="102"/>
      <c r="G1" s="102"/>
      <c r="H1" s="102"/>
    </row>
    <row r="2" spans="1:8" ht="15" customHeight="1" x14ac:dyDescent="0.25">
      <c r="A2" s="102" t="s">
        <v>82</v>
      </c>
      <c r="B2" s="102"/>
      <c r="C2" s="102"/>
      <c r="D2" s="102"/>
      <c r="E2" s="102"/>
      <c r="F2" s="102"/>
      <c r="G2" s="102"/>
      <c r="H2" s="102"/>
    </row>
    <row r="3" spans="1:8" ht="15" customHeight="1" x14ac:dyDescent="0.25">
      <c r="A3" s="102" t="s">
        <v>83</v>
      </c>
      <c r="B3" s="102"/>
      <c r="C3" s="102"/>
      <c r="D3" s="102"/>
      <c r="E3" s="102"/>
      <c r="F3" s="102"/>
      <c r="G3" s="102"/>
      <c r="H3" s="102"/>
    </row>
    <row r="4" spans="1:8" ht="15" customHeight="1" x14ac:dyDescent="0.25">
      <c r="A4" s="102" t="s">
        <v>84</v>
      </c>
      <c r="B4" s="102"/>
      <c r="C4" s="102"/>
      <c r="D4" s="102"/>
      <c r="E4" s="102"/>
      <c r="F4" s="102"/>
      <c r="G4" s="102"/>
      <c r="H4" s="102"/>
    </row>
    <row r="5" spans="1:8" ht="15" customHeight="1" x14ac:dyDescent="0.25">
      <c r="A5" s="103"/>
      <c r="B5" s="103"/>
      <c r="C5" s="103"/>
      <c r="D5" s="103"/>
      <c r="E5" s="103"/>
      <c r="F5" s="103"/>
      <c r="G5" s="103"/>
      <c r="H5" s="103"/>
    </row>
    <row r="6" spans="1:8" ht="60" customHeight="1" x14ac:dyDescent="0.25">
      <c r="A6" s="40"/>
      <c r="B6" s="41" t="s">
        <v>85</v>
      </c>
      <c r="C6" s="41" t="s">
        <v>86</v>
      </c>
      <c r="D6" s="41" t="s">
        <v>87</v>
      </c>
      <c r="E6" s="41" t="s">
        <v>88</v>
      </c>
      <c r="F6" s="41" t="s">
        <v>89</v>
      </c>
      <c r="G6" s="41" t="s">
        <v>90</v>
      </c>
      <c r="H6" s="41" t="s">
        <v>91</v>
      </c>
    </row>
    <row r="7" spans="1:8" ht="15" customHeight="1" x14ac:dyDescent="0.25">
      <c r="A7" s="40"/>
      <c r="B7" s="41"/>
      <c r="C7" s="41"/>
      <c r="D7" s="41"/>
      <c r="E7" s="41"/>
      <c r="F7" s="41"/>
      <c r="G7" s="41"/>
      <c r="H7" s="41"/>
    </row>
    <row r="8" spans="1:8" ht="15" customHeight="1" x14ac:dyDescent="0.25">
      <c r="A8" s="40"/>
      <c r="B8" s="41"/>
      <c r="C8" s="41"/>
      <c r="D8" s="41"/>
      <c r="E8" s="41"/>
      <c r="F8" s="41"/>
      <c r="G8" s="41"/>
      <c r="H8" s="41"/>
    </row>
    <row r="9" spans="1:8" ht="15" customHeight="1" x14ac:dyDescent="0.25">
      <c r="A9" s="40"/>
      <c r="B9" s="41"/>
      <c r="C9" s="41"/>
      <c r="D9" s="41"/>
      <c r="E9" s="41"/>
      <c r="F9" s="41"/>
      <c r="G9" s="41"/>
      <c r="H9" s="41"/>
    </row>
    <row r="10" spans="1:8" ht="15" customHeight="1" x14ac:dyDescent="0.25">
      <c r="A10" s="42">
        <v>2019</v>
      </c>
      <c r="B10" s="42">
        <v>1</v>
      </c>
      <c r="C10" s="43">
        <v>0.31556297476325346</v>
      </c>
      <c r="D10" s="43">
        <v>0.31556297476325346</v>
      </c>
      <c r="E10" s="43">
        <v>0.52449999999999997</v>
      </c>
      <c r="F10" s="42" t="s">
        <v>92</v>
      </c>
      <c r="G10" s="44">
        <v>0.55072500000000002</v>
      </c>
      <c r="H10" s="45">
        <v>0.57512211749999986</v>
      </c>
    </row>
    <row r="11" spans="1:8" ht="15" customHeight="1" x14ac:dyDescent="0.25">
      <c r="A11" s="42">
        <v>2020</v>
      </c>
      <c r="B11" s="42">
        <v>2</v>
      </c>
      <c r="C11" s="43">
        <v>0.50433702880809039</v>
      </c>
      <c r="D11" s="43">
        <v>0.52667915918428876</v>
      </c>
      <c r="E11" s="43">
        <v>1.0511791591842887</v>
      </c>
      <c r="F11" s="42" t="s">
        <v>92</v>
      </c>
      <c r="G11" s="44">
        <v>1.0942050000000001</v>
      </c>
      <c r="H11" s="45">
        <v>0.58372006524015552</v>
      </c>
    </row>
    <row r="12" spans="1:8" ht="15" customHeight="1" x14ac:dyDescent="0.25">
      <c r="A12" s="42">
        <v>2021</v>
      </c>
      <c r="B12" s="42">
        <v>3</v>
      </c>
      <c r="C12" s="43">
        <v>0.49228077956990179</v>
      </c>
      <c r="D12" s="43">
        <v>0.53686295274689322</v>
      </c>
      <c r="E12" s="43">
        <v>1.5880421119311818</v>
      </c>
      <c r="F12" s="42" t="s">
        <v>92</v>
      </c>
      <c r="G12" s="44">
        <v>1.6325400000000001</v>
      </c>
      <c r="H12" s="45">
        <v>0.59309077590114934</v>
      </c>
    </row>
    <row r="13" spans="1:8" ht="15" customHeight="1" x14ac:dyDescent="0.25">
      <c r="A13" s="42">
        <v>2022</v>
      </c>
      <c r="B13" s="42">
        <v>4</v>
      </c>
      <c r="C13" s="43">
        <v>0.56317576185891938</v>
      </c>
      <c r="D13" s="43">
        <v>0.64138646255992071</v>
      </c>
      <c r="E13" s="43">
        <v>2.2294285744911027</v>
      </c>
      <c r="F13" s="42" t="s">
        <v>92</v>
      </c>
      <c r="G13" s="44">
        <v>2.1652049999999998</v>
      </c>
      <c r="H13" s="45">
        <v>0.60254897347797243</v>
      </c>
    </row>
    <row r="14" spans="1:8" ht="15" customHeight="1" x14ac:dyDescent="0.25">
      <c r="A14" s="42">
        <v>2023</v>
      </c>
      <c r="B14" s="42">
        <v>5</v>
      </c>
      <c r="C14" s="43">
        <v>0.55160362014714803</v>
      </c>
      <c r="D14" s="43">
        <v>0.65603682753570047</v>
      </c>
      <c r="E14" s="43">
        <v>2.8854654020268029</v>
      </c>
      <c r="F14" s="42" t="s">
        <v>93</v>
      </c>
      <c r="G14" s="44">
        <v>2.7731775000000001</v>
      </c>
      <c r="H14" s="45">
        <v>0.63047491809421263</v>
      </c>
    </row>
    <row r="15" spans="1:8" ht="15" customHeight="1" x14ac:dyDescent="0.25">
      <c r="A15" s="42">
        <v>2024</v>
      </c>
      <c r="B15" s="42">
        <v>6</v>
      </c>
      <c r="C15" s="43">
        <v>0.54311984730374618</v>
      </c>
      <c r="D15" s="43">
        <v>0.6745622968070849</v>
      </c>
      <c r="E15" s="43">
        <v>3.5600276988338879</v>
      </c>
      <c r="F15" s="42" t="s">
        <v>93</v>
      </c>
      <c r="G15" s="44">
        <v>3.3507750000000001</v>
      </c>
      <c r="H15" s="45">
        <v>0.64817631140853049</v>
      </c>
    </row>
    <row r="16" spans="1:8" ht="15" customHeight="1" x14ac:dyDescent="0.25">
      <c r="A16" s="42">
        <v>2025</v>
      </c>
      <c r="B16" s="42">
        <v>7</v>
      </c>
      <c r="C16" s="43">
        <v>0.5176150545297471</v>
      </c>
      <c r="D16" s="43">
        <v>0.67136479975404451</v>
      </c>
      <c r="E16" s="43">
        <v>4.2313924985879323</v>
      </c>
      <c r="F16" s="42" t="s">
        <v>93</v>
      </c>
      <c r="G16" s="44">
        <v>3.9210625000000001</v>
      </c>
      <c r="H16" s="45">
        <v>0.66370651597160302</v>
      </c>
    </row>
    <row r="17" spans="1:8" ht="15" customHeight="1" x14ac:dyDescent="0.25">
      <c r="A17" s="42">
        <v>2026</v>
      </c>
      <c r="B17" s="42">
        <v>8</v>
      </c>
      <c r="C17" s="43">
        <v>0.50785774243059956</v>
      </c>
      <c r="D17" s="43">
        <v>0.6878900439355039</v>
      </c>
      <c r="E17" s="43">
        <v>4.9192825425234359</v>
      </c>
      <c r="F17" s="42" t="s">
        <v>93</v>
      </c>
      <c r="G17" s="44">
        <v>4.5102700000000002</v>
      </c>
      <c r="H17" s="45">
        <v>0.6818462241914951</v>
      </c>
    </row>
    <row r="18" spans="1:8" ht="15" customHeight="1" x14ac:dyDescent="0.25">
      <c r="A18" s="42">
        <v>2027</v>
      </c>
      <c r="B18" s="42">
        <v>9</v>
      </c>
      <c r="C18" s="43">
        <v>0.47789440756542234</v>
      </c>
      <c r="D18" s="43">
        <v>0.67598050673779686</v>
      </c>
      <c r="E18" s="43">
        <v>5.5952630492612325</v>
      </c>
      <c r="F18" s="42" t="s">
        <v>93</v>
      </c>
      <c r="G18" s="44">
        <v>5.1028099999999998</v>
      </c>
      <c r="H18" s="45">
        <v>0.69980446701720522</v>
      </c>
    </row>
    <row r="19" spans="1:8" ht="15" customHeight="1" x14ac:dyDescent="0.25">
      <c r="A19" s="42">
        <v>2028</v>
      </c>
      <c r="B19" s="42">
        <v>10</v>
      </c>
      <c r="C19" s="43">
        <v>0.46958916400847045</v>
      </c>
      <c r="D19" s="43">
        <v>0.6936582706545652</v>
      </c>
      <c r="E19" s="43">
        <v>6.2889213199157981</v>
      </c>
      <c r="F19" s="42" t="s">
        <v>94</v>
      </c>
      <c r="G19" s="44">
        <v>5.8297800000000004</v>
      </c>
      <c r="H19" s="45">
        <v>0.73422714701143033</v>
      </c>
    </row>
    <row r="20" spans="1:8" ht="15" customHeight="1" x14ac:dyDescent="0.25">
      <c r="A20" s="42">
        <v>2029</v>
      </c>
      <c r="B20" s="42">
        <v>11</v>
      </c>
      <c r="C20" s="43">
        <v>0.45766623322992833</v>
      </c>
      <c r="D20" s="43">
        <v>0.70599504219039466</v>
      </c>
      <c r="E20" s="43">
        <v>6.9949163621061929</v>
      </c>
      <c r="F20" s="42" t="s">
        <v>94</v>
      </c>
      <c r="G20" s="44">
        <v>6.4518300000000002</v>
      </c>
      <c r="H20" s="45">
        <v>0.75364979653731545</v>
      </c>
    </row>
    <row r="21" spans="1:8" ht="15" customHeight="1" x14ac:dyDescent="0.25">
      <c r="A21" s="42">
        <v>2030</v>
      </c>
      <c r="B21" s="42">
        <v>12</v>
      </c>
      <c r="C21" s="43">
        <v>0.44717748162136667</v>
      </c>
      <c r="D21" s="43">
        <v>0.72037392390254917</v>
      </c>
      <c r="E21" s="43">
        <v>7.7152902860087424</v>
      </c>
      <c r="F21" s="42" t="s">
        <v>94</v>
      </c>
      <c r="G21" s="44">
        <v>7.0980800000000004</v>
      </c>
      <c r="H21" s="45">
        <v>0.77530547217105694</v>
      </c>
    </row>
    <row r="22" spans="1:8" ht="15" customHeight="1" x14ac:dyDescent="0.25">
      <c r="A22" s="42">
        <v>2031</v>
      </c>
      <c r="B22" s="42">
        <v>13</v>
      </c>
      <c r="C22" s="43">
        <v>0.43436293236281071</v>
      </c>
      <c r="D22" s="43">
        <v>0.73072857791838797</v>
      </c>
      <c r="E22" s="43">
        <v>8.4460188639271312</v>
      </c>
      <c r="F22" s="42" t="s">
        <v>94</v>
      </c>
      <c r="G22" s="44">
        <v>7.7465299999999999</v>
      </c>
      <c r="H22" s="45">
        <v>0.79660645246020456</v>
      </c>
    </row>
    <row r="23" spans="1:8" ht="15" customHeight="1" x14ac:dyDescent="0.25">
      <c r="A23" s="42">
        <v>2032</v>
      </c>
      <c r="B23" s="42">
        <v>14</v>
      </c>
      <c r="C23" s="43">
        <v>0.42442899674443824</v>
      </c>
      <c r="D23" s="43">
        <v>0.74564766301153262</v>
      </c>
      <c r="E23" s="43">
        <v>9.191666526938663</v>
      </c>
      <c r="F23" s="42" t="s">
        <v>94</v>
      </c>
      <c r="G23" s="44">
        <v>8.4206099999999999</v>
      </c>
      <c r="H23" s="45">
        <v>0.81996498730114231</v>
      </c>
    </row>
    <row r="24" spans="1:8" ht="15" customHeight="1" x14ac:dyDescent="0.25">
      <c r="A24" s="42">
        <v>2033</v>
      </c>
      <c r="B24" s="42">
        <v>15</v>
      </c>
      <c r="C24" s="43">
        <v>0.41475224885854761</v>
      </c>
      <c r="D24" s="43">
        <v>0.76092638171493987</v>
      </c>
      <c r="E24" s="43">
        <v>9.9525929086536031</v>
      </c>
      <c r="F24" s="42" t="s">
        <v>95</v>
      </c>
      <c r="G24" s="44">
        <v>9.3232125000000003</v>
      </c>
      <c r="H24" s="45">
        <v>0.86394714468836109</v>
      </c>
    </row>
    <row r="25" spans="1:8" ht="15" customHeight="1" x14ac:dyDescent="0.25">
      <c r="A25" s="42">
        <v>2034</v>
      </c>
      <c r="B25" s="42">
        <v>16</v>
      </c>
      <c r="C25" s="43">
        <v>0.40369945905691779</v>
      </c>
      <c r="D25" s="43">
        <v>0.77345907166475891</v>
      </c>
      <c r="E25" s="43">
        <v>10.726051980318362</v>
      </c>
      <c r="F25" s="42" t="s">
        <v>95</v>
      </c>
      <c r="G25" s="44">
        <v>10.035337500000001</v>
      </c>
      <c r="H25" s="45">
        <v>0.88877396125468733</v>
      </c>
    </row>
    <row r="26" spans="1:8" ht="15" customHeight="1" x14ac:dyDescent="0.25">
      <c r="A26" s="42">
        <v>2035</v>
      </c>
      <c r="B26" s="42">
        <v>17</v>
      </c>
      <c r="C26" s="43">
        <v>0.39196314917160363</v>
      </c>
      <c r="D26" s="43">
        <v>0.78424125812319956</v>
      </c>
      <c r="E26" s="43">
        <v>11.510293238441561</v>
      </c>
      <c r="F26" s="42" t="s">
        <v>95</v>
      </c>
      <c r="G26" s="44">
        <v>10.778287499999999</v>
      </c>
      <c r="H26" s="45">
        <v>0.91575698828830043</v>
      </c>
    </row>
    <row r="27" spans="1:8" ht="15" customHeight="1" x14ac:dyDescent="0.25">
      <c r="A27" s="42">
        <v>2036</v>
      </c>
      <c r="B27" s="42">
        <v>18</v>
      </c>
      <c r="C27" s="43">
        <v>0.38301839622149897</v>
      </c>
      <c r="D27" s="43">
        <v>0.8002936289341267</v>
      </c>
      <c r="E27" s="43">
        <v>12.310586867375687</v>
      </c>
      <c r="F27" s="42" t="s">
        <v>95</v>
      </c>
      <c r="G27" s="44">
        <v>11.522925000000001</v>
      </c>
      <c r="H27" s="45">
        <v>0.94233107503434843</v>
      </c>
    </row>
    <row r="28" spans="1:8" ht="15" customHeight="1" x14ac:dyDescent="0.25">
      <c r="A28" s="42">
        <v>2037</v>
      </c>
      <c r="B28" s="42">
        <v>19</v>
      </c>
      <c r="C28" s="43">
        <v>0.37016343023976706</v>
      </c>
      <c r="D28" s="43">
        <v>0.80769708427216569</v>
      </c>
      <c r="E28" s="43">
        <v>13.118283951647852</v>
      </c>
      <c r="F28" s="42" t="s">
        <v>95</v>
      </c>
      <c r="G28" s="44">
        <v>12.27735</v>
      </c>
      <c r="H28" s="45">
        <v>0.96924199555411861</v>
      </c>
    </row>
    <row r="29" spans="1:8" ht="15" customHeight="1" x14ac:dyDescent="0.25">
      <c r="A29" s="42">
        <v>2038</v>
      </c>
      <c r="B29" s="42">
        <v>20</v>
      </c>
      <c r="C29" s="43">
        <v>0.3603999134660974</v>
      </c>
      <c r="D29" s="43">
        <v>0.82123029138140868</v>
      </c>
      <c r="E29" s="43">
        <v>13.939514243029262</v>
      </c>
      <c r="F29" s="42" t="s">
        <v>95</v>
      </c>
      <c r="G29" s="44">
        <v>13.0419</v>
      </c>
      <c r="H29" s="45">
        <v>0.99653878744074376</v>
      </c>
    </row>
    <row r="30" spans="1:8" ht="15" customHeight="1" x14ac:dyDescent="0.25">
      <c r="A30" s="42">
        <v>2039</v>
      </c>
      <c r="B30" s="42">
        <v>21</v>
      </c>
      <c r="C30" s="43">
        <v>0.35201370462072151</v>
      </c>
      <c r="D30" s="43">
        <v>0.83765489720903685</v>
      </c>
      <c r="E30" s="43">
        <v>14.777169140238298</v>
      </c>
      <c r="F30" s="42" t="s">
        <v>96</v>
      </c>
      <c r="G30" s="44">
        <v>14.1210754</v>
      </c>
      <c r="H30" s="45">
        <v>1.0468114019284211</v>
      </c>
    </row>
    <row r="31" spans="1:8" ht="15" customHeight="1" x14ac:dyDescent="0.25">
      <c r="A31" s="42">
        <v>2040</v>
      </c>
      <c r="B31" s="42">
        <v>22</v>
      </c>
      <c r="C31" s="43">
        <v>0.34382263594095175</v>
      </c>
      <c r="D31" s="43">
        <v>0.85440799515321764</v>
      </c>
      <c r="E31" s="43">
        <v>15.631577135391515</v>
      </c>
      <c r="F31" s="42" t="s">
        <v>96</v>
      </c>
      <c r="G31" s="44">
        <v>14.918324353999999</v>
      </c>
      <c r="H31" s="45">
        <v>1.0751985965739619</v>
      </c>
    </row>
    <row r="32" spans="1:8" ht="15" customHeight="1" x14ac:dyDescent="0.25">
      <c r="A32" s="42">
        <v>2041</v>
      </c>
      <c r="B32" s="42">
        <v>23</v>
      </c>
      <c r="C32" s="43">
        <v>0.33582216667602299</v>
      </c>
      <c r="D32" s="43">
        <v>0.87149615505628197</v>
      </c>
      <c r="E32" s="43">
        <v>16.503073290447798</v>
      </c>
      <c r="F32" s="42" t="s">
        <v>96</v>
      </c>
      <c r="G32" s="44">
        <v>15.72354579754</v>
      </c>
      <c r="H32" s="45">
        <v>1.1038760704592747</v>
      </c>
    </row>
    <row r="33" spans="1:8" ht="15" customHeight="1" x14ac:dyDescent="0.25">
      <c r="A33" s="42">
        <v>2042</v>
      </c>
      <c r="B33" s="42">
        <v>24</v>
      </c>
      <c r="C33" s="43">
        <v>0.32800786173469643</v>
      </c>
      <c r="D33" s="43">
        <v>0.88892607815740765</v>
      </c>
      <c r="E33" s="43">
        <v>17.391999368605205</v>
      </c>
      <c r="F33" s="42" t="s">
        <v>96</v>
      </c>
      <c r="G33" s="44">
        <v>16.536819455515399</v>
      </c>
      <c r="H33" s="45">
        <v>1.1328697988333412</v>
      </c>
    </row>
    <row r="34" spans="1:8" ht="15" customHeight="1" x14ac:dyDescent="0.25">
      <c r="A34" s="42">
        <v>2043</v>
      </c>
      <c r="B34" s="42">
        <v>25</v>
      </c>
      <c r="C34" s="43">
        <v>0.32037538922664982</v>
      </c>
      <c r="D34" s="43">
        <v>0.90670459972055584</v>
      </c>
      <c r="E34" s="43">
        <v>18.298703968325761</v>
      </c>
      <c r="F34" s="42" t="s">
        <v>96</v>
      </c>
      <c r="G34" s="44">
        <v>17.3582258500706</v>
      </c>
      <c r="H34" s="45">
        <v>1.1622022179676732</v>
      </c>
    </row>
    <row r="35" spans="1:8" ht="15" customHeight="1" x14ac:dyDescent="0.25">
      <c r="A35" s="42">
        <v>2044</v>
      </c>
      <c r="B35" s="42">
        <v>26</v>
      </c>
      <c r="C35" s="43">
        <v>0.31292051806107712</v>
      </c>
      <c r="D35" s="43">
        <v>0.92483869171496702</v>
      </c>
      <c r="E35" s="43">
        <v>19.223542660040728</v>
      </c>
      <c r="F35" s="42" t="s">
        <v>97</v>
      </c>
      <c r="G35" s="44">
        <v>18.5832342718011</v>
      </c>
      <c r="H35" s="45">
        <v>1.2178036163920174</v>
      </c>
    </row>
    <row r="36" spans="1:8" ht="15" customHeight="1" x14ac:dyDescent="0.25">
      <c r="A36" s="42">
        <v>2045</v>
      </c>
      <c r="B36" s="42">
        <v>27</v>
      </c>
      <c r="C36" s="43">
        <v>0.30563911560116697</v>
      </c>
      <c r="D36" s="43">
        <v>0.94333546554926639</v>
      </c>
      <c r="E36" s="43">
        <v>20.166878125589996</v>
      </c>
      <c r="F36" s="42" t="s">
        <v>97</v>
      </c>
      <c r="G36" s="44">
        <v>19.439366514519101</v>
      </c>
      <c r="H36" s="45">
        <v>1.2485234126430311</v>
      </c>
    </row>
    <row r="37" spans="1:8" ht="15" customHeight="1" x14ac:dyDescent="0.25">
      <c r="A37" s="42">
        <v>2046</v>
      </c>
      <c r="B37" s="42">
        <v>28</v>
      </c>
      <c r="C37" s="43">
        <v>0.29852714537315933</v>
      </c>
      <c r="D37" s="43">
        <v>0.96220217486025172</v>
      </c>
      <c r="E37" s="43">
        <v>21.129080300450248</v>
      </c>
      <c r="F37" s="42" t="s">
        <v>97</v>
      </c>
      <c r="G37" s="44">
        <v>20.3040600796643</v>
      </c>
      <c r="H37" s="45">
        <v>1.2796425181816</v>
      </c>
    </row>
    <row r="38" spans="1:8" ht="15" customHeight="1" x14ac:dyDescent="0.25">
      <c r="A38" s="42">
        <v>2047</v>
      </c>
      <c r="B38" s="42">
        <v>29</v>
      </c>
      <c r="C38" s="43">
        <v>0.2915806648287107</v>
      </c>
      <c r="D38" s="43">
        <v>0.98144621835745682</v>
      </c>
      <c r="E38" s="43">
        <v>22.110526518807706</v>
      </c>
      <c r="F38" s="42" t="s">
        <v>97</v>
      </c>
      <c r="G38" s="44">
        <v>21.177400580460901</v>
      </c>
      <c r="H38" s="45">
        <v>1.3111749490993359</v>
      </c>
    </row>
    <row r="39" spans="1:8" ht="15" customHeight="1" x14ac:dyDescent="0.25">
      <c r="A39" s="42">
        <v>2048</v>
      </c>
      <c r="B39" s="42">
        <v>30</v>
      </c>
      <c r="C39" s="43">
        <v>0.28479582315932678</v>
      </c>
      <c r="D39" s="43">
        <v>1.0010751427246061</v>
      </c>
      <c r="E39" s="43">
        <v>23.111601661532312</v>
      </c>
      <c r="F39" s="42" t="s">
        <v>97</v>
      </c>
      <c r="G39" s="44">
        <v>22.059474486265501</v>
      </c>
      <c r="H39" s="45">
        <v>1.343133360354424</v>
      </c>
    </row>
    <row r="40" spans="1:8" ht="15" customHeight="1" x14ac:dyDescent="0.25">
      <c r="A40" s="42">
        <v>2049</v>
      </c>
      <c r="B40" s="42">
        <v>31</v>
      </c>
      <c r="C40" s="43">
        <v>0.27816885916165218</v>
      </c>
      <c r="D40" s="43">
        <v>1.0210966455790982</v>
      </c>
      <c r="E40" s="43">
        <v>24.132698307111411</v>
      </c>
      <c r="F40" s="42" t="s">
        <v>98</v>
      </c>
      <c r="G40" s="44">
        <v>23.4386748573224</v>
      </c>
      <c r="H40" s="45">
        <v>1.4047958427583447</v>
      </c>
    </row>
    <row r="41" spans="1:8" ht="15" customHeight="1" x14ac:dyDescent="0.25">
      <c r="A41" s="42">
        <v>2050</v>
      </c>
      <c r="B41" s="42">
        <v>32</v>
      </c>
      <c r="C41" s="43">
        <v>0.27169609915243242</v>
      </c>
      <c r="D41" s="43">
        <v>1.0415185784906802</v>
      </c>
      <c r="E41" s="43">
        <v>25.174216885602092</v>
      </c>
      <c r="F41" s="42" t="s">
        <v>98</v>
      </c>
      <c r="G41" s="44">
        <v>24.357623205895599</v>
      </c>
      <c r="H41" s="45">
        <v>1.4383385864595417</v>
      </c>
    </row>
    <row r="42" spans="1:8" ht="15" customHeight="1" x14ac:dyDescent="0.25">
      <c r="A42" s="42">
        <v>2051</v>
      </c>
      <c r="B42" s="42">
        <v>33</v>
      </c>
      <c r="C42" s="43">
        <v>0.26537395493199378</v>
      </c>
      <c r="D42" s="43">
        <v>1.0623489500604939</v>
      </c>
      <c r="E42" s="43">
        <v>26.236565835662585</v>
      </c>
      <c r="F42" s="42" t="s">
        <v>98</v>
      </c>
      <c r="G42" s="44">
        <v>25.2857610379546</v>
      </c>
      <c r="H42" s="45">
        <v>1.4723488240158928</v>
      </c>
    </row>
    <row r="43" spans="1:8" ht="15" customHeight="1" x14ac:dyDescent="0.25">
      <c r="A43" s="42">
        <v>2052</v>
      </c>
      <c r="B43" s="42">
        <v>34</v>
      </c>
      <c r="C43" s="43">
        <v>0.25919892179511028</v>
      </c>
      <c r="D43" s="43">
        <v>1.0835959290617039</v>
      </c>
      <c r="E43" s="43">
        <v>27.32016176472429</v>
      </c>
      <c r="F43" s="42" t="s">
        <v>98</v>
      </c>
      <c r="G43" s="44">
        <v>26.223180248334099</v>
      </c>
      <c r="H43" s="45">
        <v>1.5068357640949042</v>
      </c>
    </row>
    <row r="44" spans="1:8" ht="15" customHeight="1" x14ac:dyDescent="0.25">
      <c r="A44" s="42">
        <v>2053</v>
      </c>
      <c r="B44" s="42">
        <v>35</v>
      </c>
      <c r="C44" s="43">
        <v>0.25316757658815719</v>
      </c>
      <c r="D44" s="43">
        <v>1.1052678476429381</v>
      </c>
      <c r="E44" s="43">
        <v>28.425429612367228</v>
      </c>
      <c r="F44" s="42" t="s">
        <v>98</v>
      </c>
      <c r="G44" s="44">
        <v>27.1699736508175</v>
      </c>
      <c r="H44" s="45">
        <v>1.5418079984553859</v>
      </c>
    </row>
    <row r="45" spans="1:8" ht="15" customHeight="1" x14ac:dyDescent="0.25">
      <c r="A45" s="42">
        <v>2054</v>
      </c>
      <c r="B45" s="42">
        <v>36</v>
      </c>
      <c r="C45" s="43">
        <v>0.24727657581147214</v>
      </c>
      <c r="D45" s="43">
        <v>1.1273732045957969</v>
      </c>
      <c r="E45" s="43">
        <v>29.552802816963027</v>
      </c>
      <c r="F45" s="42" t="s">
        <v>98</v>
      </c>
      <c r="G45" s="44">
        <v>28.126234987325599</v>
      </c>
      <c r="H45" s="45">
        <v>1.5772735867938557</v>
      </c>
    </row>
    <row r="46" spans="1:8" ht="15" customHeight="1" x14ac:dyDescent="0.25">
      <c r="A46" s="42">
        <v>2055</v>
      </c>
      <c r="B46" s="42">
        <v>37</v>
      </c>
      <c r="C46" s="43">
        <v>0.2415226537658734</v>
      </c>
      <c r="D46" s="43">
        <v>1.1499206686877128</v>
      </c>
      <c r="E46" s="43">
        <v>30.70272348565074</v>
      </c>
      <c r="F46" s="42" t="s">
        <v>98</v>
      </c>
      <c r="G46" s="44">
        <v>29.0920589371989</v>
      </c>
      <c r="H46" s="45">
        <v>1.6132401281430351</v>
      </c>
    </row>
    <row r="47" spans="1:8" ht="15" customHeight="1" x14ac:dyDescent="0.25">
      <c r="A47" s="42">
        <v>2056</v>
      </c>
      <c r="B47" s="42">
        <v>38</v>
      </c>
      <c r="C47" s="43">
        <v>0.23590262074230664</v>
      </c>
      <c r="D47" s="43">
        <v>1.172919082061467</v>
      </c>
      <c r="E47" s="43">
        <v>31.875642567712205</v>
      </c>
      <c r="F47" s="42" t="s">
        <v>98</v>
      </c>
      <c r="G47" s="44">
        <v>30.067541126570902</v>
      </c>
      <c r="H47" s="45">
        <v>1.6497148213065296</v>
      </c>
    </row>
    <row r="48" spans="1:8" ht="15" customHeight="1" x14ac:dyDescent="0.25">
      <c r="A48" s="42">
        <v>2057</v>
      </c>
      <c r="B48" s="42">
        <v>39</v>
      </c>
      <c r="C48" s="43">
        <v>0.23041336125361755</v>
      </c>
      <c r="D48" s="43">
        <v>1.1963774637026963</v>
      </c>
      <c r="E48" s="43">
        <v>33.072020031414901</v>
      </c>
      <c r="F48" s="42" t="s">
        <v>98</v>
      </c>
      <c r="G48" s="44">
        <v>31.052778137836601</v>
      </c>
      <c r="H48" s="45">
        <v>1.6867045163038388</v>
      </c>
    </row>
    <row r="49" spans="1:8" ht="15" customHeight="1" x14ac:dyDescent="0.25">
      <c r="A49" s="42">
        <v>2058</v>
      </c>
      <c r="B49" s="42">
        <v>40</v>
      </c>
      <c r="C49" s="43">
        <v>0.22505183230746906</v>
      </c>
      <c r="D49" s="43">
        <v>1.2203050129767503</v>
      </c>
      <c r="E49" s="43">
        <v>34.292325044391653</v>
      </c>
      <c r="F49" s="42" t="s">
        <v>98</v>
      </c>
      <c r="G49" s="44">
        <v>32.047867519215004</v>
      </c>
      <c r="H49" s="45">
        <v>1.7242157584040434</v>
      </c>
    </row>
    <row r="50" spans="1:8" ht="15" customHeight="1" x14ac:dyDescent="0.25">
      <c r="A50" s="42">
        <v>2059</v>
      </c>
      <c r="B50" s="42">
        <v>41</v>
      </c>
      <c r="C50" s="43">
        <v>0.21981506171944695</v>
      </c>
      <c r="D50" s="43">
        <v>1.2447111132362854</v>
      </c>
      <c r="E50" s="43">
        <v>35.537036157627938</v>
      </c>
      <c r="F50" s="42" t="s">
        <v>98</v>
      </c>
      <c r="G50" s="44">
        <v>33.052907794407098</v>
      </c>
      <c r="H50" s="45">
        <v>1.7622548260179738</v>
      </c>
    </row>
    <row r="51" spans="1:8" ht="15" customHeight="1" x14ac:dyDescent="0.25">
      <c r="A51" s="42">
        <v>2060</v>
      </c>
      <c r="B51" s="42">
        <v>42</v>
      </c>
      <c r="C51" s="43">
        <v>0.21470014646541788</v>
      </c>
      <c r="D51" s="43">
        <v>1.2696053355010111</v>
      </c>
      <c r="E51" s="43">
        <v>36.80664149312895</v>
      </c>
      <c r="F51" s="42" t="s">
        <v>98</v>
      </c>
      <c r="G51" s="44">
        <v>34.067998472351199</v>
      </c>
      <c r="H51" s="45">
        <v>1.800827763476184</v>
      </c>
    </row>
    <row r="52" spans="1:8" ht="15" customHeight="1" x14ac:dyDescent="0.25">
      <c r="A52" s="42">
        <v>2061</v>
      </c>
      <c r="B52" s="42">
        <v>43</v>
      </c>
      <c r="C52" s="43">
        <v>0.20970425107222659</v>
      </c>
      <c r="D52" s="43">
        <v>1.2949974422110313</v>
      </c>
      <c r="E52" s="43">
        <v>38.101638935339984</v>
      </c>
      <c r="F52" s="42" t="s">
        <v>98</v>
      </c>
      <c r="G52" s="44">
        <v>35.093240057074702</v>
      </c>
      <c r="H52" s="45">
        <v>1.8399404095281207</v>
      </c>
    </row>
    <row r="53" spans="1:8" ht="15" customHeight="1" x14ac:dyDescent="0.25">
      <c r="A53" s="42">
        <v>2062</v>
      </c>
      <c r="B53" s="42">
        <v>44</v>
      </c>
      <c r="C53" s="43">
        <v>0.20482460604584038</v>
      </c>
      <c r="D53" s="43">
        <v>1.3208973910552519</v>
      </c>
      <c r="E53" s="43">
        <v>39.422536326395239</v>
      </c>
      <c r="F53" s="42" t="s">
        <v>98</v>
      </c>
      <c r="G53" s="44">
        <v>36.128734057645403</v>
      </c>
      <c r="H53" s="45">
        <v>1.8795984222456159</v>
      </c>
    </row>
    <row r="54" spans="1:8" ht="15" customHeight="1" x14ac:dyDescent="0.25">
      <c r="A54" s="42">
        <v>2063</v>
      </c>
      <c r="B54" s="42">
        <v>45</v>
      </c>
      <c r="C54" s="43">
        <v>0.20005850633606936</v>
      </c>
      <c r="D54" s="43">
        <v>1.347315338876357</v>
      </c>
      <c r="E54" s="43">
        <v>40.769851665271595</v>
      </c>
      <c r="F54" s="42" t="s">
        <v>98</v>
      </c>
      <c r="G54" s="44">
        <v>37.174582998221901</v>
      </c>
      <c r="H54" s="45">
        <v>1.9198073008916015</v>
      </c>
    </row>
    <row r="55" spans="1:8" ht="15" customHeight="1" x14ac:dyDescent="0.25">
      <c r="A55" s="101"/>
      <c r="B55" s="101"/>
      <c r="C55" s="101"/>
      <c r="D55" s="101"/>
      <c r="E55" s="101"/>
      <c r="F55" s="101"/>
      <c r="G55" s="101"/>
      <c r="H55" s="101"/>
    </row>
    <row r="56" spans="1:8" ht="15" customHeight="1" x14ac:dyDescent="0.25">
      <c r="A56" s="46"/>
      <c r="B56" s="98" t="s">
        <v>99</v>
      </c>
      <c r="C56" s="98"/>
      <c r="D56" s="98"/>
      <c r="E56" s="47">
        <v>4.4299999999999999E-2</v>
      </c>
      <c r="F56" s="99"/>
      <c r="G56" s="99"/>
      <c r="H56" s="99"/>
    </row>
    <row r="57" spans="1:8" ht="15" customHeight="1" x14ac:dyDescent="0.25">
      <c r="A57" s="46"/>
      <c r="B57" s="98" t="s">
        <v>100</v>
      </c>
      <c r="C57" s="98"/>
      <c r="D57" s="98"/>
      <c r="E57" s="47">
        <v>4.4299999999999999E-2</v>
      </c>
      <c r="F57" s="99"/>
      <c r="G57" s="99"/>
      <c r="H57" s="99"/>
    </row>
    <row r="58" spans="1:8" ht="15" customHeight="1" x14ac:dyDescent="0.25">
      <c r="A58" s="46"/>
      <c r="B58" s="98" t="s">
        <v>101</v>
      </c>
      <c r="C58" s="98"/>
      <c r="D58" s="98"/>
      <c r="E58" s="47">
        <v>0</v>
      </c>
      <c r="F58" s="99"/>
      <c r="G58" s="99"/>
      <c r="H58" s="99"/>
    </row>
    <row r="59" spans="1:8" ht="15" customHeight="1" x14ac:dyDescent="0.25">
      <c r="A59" s="46"/>
      <c r="B59" s="98" t="s">
        <v>102</v>
      </c>
      <c r="C59" s="98"/>
      <c r="D59" s="98"/>
      <c r="E59" s="47">
        <v>0.02</v>
      </c>
      <c r="F59" s="100" t="s">
        <v>103</v>
      </c>
      <c r="G59" s="100"/>
      <c r="H59" s="100"/>
    </row>
  </sheetData>
  <mergeCells count="14">
    <mergeCell ref="A1:H1"/>
    <mergeCell ref="A2:H2"/>
    <mergeCell ref="A3:H3"/>
    <mergeCell ref="A4:H4"/>
    <mergeCell ref="A5:H5"/>
    <mergeCell ref="B58:D58"/>
    <mergeCell ref="F58:H58"/>
    <mergeCell ref="B59:D59"/>
    <mergeCell ref="F59:H59"/>
    <mergeCell ref="A55:H55"/>
    <mergeCell ref="B56:D56"/>
    <mergeCell ref="F56:H56"/>
    <mergeCell ref="B57:D57"/>
    <mergeCell ref="F57:H57"/>
  </mergeCells>
  <pageMargins left="0" right="0" top="0" bottom="0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9F7096B5E224447A49FE94E6D9CB9D5" ma:contentTypeVersion="76" ma:contentTypeDescription="" ma:contentTypeScope="" ma:versionID="843c5341f18ec5b14f5395aff5a16e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2018-11-30T08:00:00+00:00</OpenedDate>
    <SignificantOrder xmlns="dc463f71-b30c-4ab2-9473-d307f9d35888">false</SignificantOrder>
    <Date1 xmlns="dc463f71-b30c-4ab2-9473-d307f9d35888">2020-05-29T07:00:00+00:00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180990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B53B3C0-8342-4807-99ED-86EC54AC3946}"/>
</file>

<file path=customXml/itemProps2.xml><?xml version="1.0" encoding="utf-8"?>
<ds:datastoreItem xmlns:ds="http://schemas.openxmlformats.org/officeDocument/2006/customXml" ds:itemID="{5EBBCC16-80CA-4AD8-9748-F6BC5C7EE0AB}"/>
</file>

<file path=customXml/itemProps3.xml><?xml version="1.0" encoding="utf-8"?>
<ds:datastoreItem xmlns:ds="http://schemas.openxmlformats.org/officeDocument/2006/customXml" ds:itemID="{6425C6D2-44BB-43D9-BD25-60B342616A59}"/>
</file>

<file path=customXml/itemProps4.xml><?xml version="1.0" encoding="utf-8"?>
<ds:datastoreItem xmlns:ds="http://schemas.openxmlformats.org/officeDocument/2006/customXml" ds:itemID="{BC544F4F-CFD2-4123-ADB8-59D5F398F4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Total First Year</vt:lpstr>
      <vt:lpstr>APP 2885</vt:lpstr>
      <vt:lpstr>JR_PAGE_ANCHOR_0_1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2020-04-06T21:56:41Z</dcterms:created>
  <dcterms:modified xsi:type="dcterms:W3CDTF">2020-04-30T22:49:12Z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0x0101006E56B4D1795A2E4DB2F0B01679ED314A0099F7096B5E224447A49FE94E6D9CB9D5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