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4520" windowHeight="14580" tabRatio="762"/>
  </bookViews>
  <sheets>
    <sheet name="Revenue Requirement" sheetId="1" r:id="rId1"/>
    <sheet name="Tracking Accounts" sheetId="2" r:id="rId2"/>
    <sheet name="Interest Review for Jan 2019" sheetId="6" r:id="rId3"/>
    <sheet name="Conv F and COC UE-180282" sheetId="5" r:id="rId4"/>
    <sheet name="Interest for 2019 Period" sheetId="11" r:id="rId5"/>
    <sheet name="Interest 2018 Rate" sheetId="12" r:id="rId6"/>
  </sheets>
  <externalReferences>
    <externalReference r:id="rId7"/>
    <externalReference r:id="rId8"/>
    <externalReference r:id="rId9"/>
  </externalReferences>
  <definedNames>
    <definedName name="_Testyear">'[1]KJB-6,13 Cmn Adj'!$B$7</definedName>
    <definedName name="k_FITrate" localSheetId="5">'[2]Conv F and COC UE-180282'!$L$20</definedName>
    <definedName name="k_FITrate" localSheetId="4">'[3]Conv Factor'!$L$20</definedName>
    <definedName name="k_FITrate" localSheetId="2">'[3]Conv Factor'!$L$20</definedName>
    <definedName name="k_FITrate">'Conv F and COC UE-180282'!$L$20</definedName>
    <definedName name="_xlnm.Print_Area" localSheetId="0">'Revenue Requirement'!$A$1:$D$16</definedName>
  </definedNames>
  <calcPr calcId="145621"/>
</workbook>
</file>

<file path=xl/calcChain.xml><?xml version="1.0" encoding="utf-8"?>
<calcChain xmlns="http://schemas.openxmlformats.org/spreadsheetml/2006/main">
  <c r="B18" i="11" l="1"/>
  <c r="B17" i="11"/>
  <c r="B16" i="11"/>
  <c r="B15" i="11"/>
  <c r="B14" i="11"/>
  <c r="B13" i="11"/>
  <c r="B12" i="11"/>
  <c r="B11" i="11"/>
  <c r="B10" i="11"/>
  <c r="B9" i="11"/>
  <c r="B8" i="11"/>
  <c r="B7" i="11"/>
  <c r="D23" i="12"/>
  <c r="D22" i="12"/>
  <c r="D21" i="12"/>
  <c r="D20" i="12"/>
  <c r="D19" i="12"/>
  <c r="D18" i="12"/>
  <c r="D17" i="12"/>
  <c r="D16" i="12"/>
  <c r="D15" i="12"/>
  <c r="D14" i="12"/>
  <c r="D13" i="12"/>
  <c r="D19" i="11" l="1"/>
  <c r="B43" i="12"/>
  <c r="C43" i="12" s="1"/>
  <c r="C38" i="12"/>
  <c r="C35" i="12"/>
  <c r="C33" i="12"/>
  <c r="H11" i="12"/>
  <c r="C11" i="12"/>
  <c r="D11" i="12" s="1"/>
  <c r="D10" i="12"/>
  <c r="E11" i="12" s="1"/>
  <c r="B3" i="12"/>
  <c r="C2" i="12"/>
  <c r="C3" i="12" s="1"/>
  <c r="C12" i="12" l="1"/>
  <c r="B23" i="12" s="1"/>
  <c r="B5" i="11" s="1"/>
  <c r="C34" i="12"/>
  <c r="C39" i="12"/>
  <c r="C41" i="12"/>
  <c r="C31" i="12"/>
  <c r="C37" i="12"/>
  <c r="C42" i="12"/>
  <c r="H12" i="12"/>
  <c r="I11" i="12"/>
  <c r="B13" i="12"/>
  <c r="D12" i="12"/>
  <c r="C32" i="12"/>
  <c r="C36" i="12"/>
  <c r="B18" i="12" s="1"/>
  <c r="C40" i="12"/>
  <c r="B14" i="12" l="1"/>
  <c r="C14" i="12" s="1"/>
  <c r="B15" i="12"/>
  <c r="B17" i="12"/>
  <c r="B19" i="12"/>
  <c r="B20" i="12"/>
  <c r="B21" i="12"/>
  <c r="B22" i="12"/>
  <c r="B16" i="12"/>
  <c r="B24" i="12"/>
  <c r="B6" i="11" s="1"/>
  <c r="C13" i="12"/>
  <c r="E13" i="12"/>
  <c r="J11" i="12"/>
  <c r="E12" i="12"/>
  <c r="E26" i="12" s="1"/>
  <c r="G22" i="12"/>
  <c r="G18" i="12"/>
  <c r="G14" i="12"/>
  <c r="H13" i="12"/>
  <c r="G21" i="12"/>
  <c r="G17" i="12"/>
  <c r="G13" i="12"/>
  <c r="G24" i="12"/>
  <c r="G20" i="12"/>
  <c r="G16" i="12"/>
  <c r="G23" i="12"/>
  <c r="G19" i="12"/>
  <c r="G15" i="12"/>
  <c r="I12" i="12"/>
  <c r="H14" i="12" l="1"/>
  <c r="I13" i="12"/>
  <c r="C15" i="12"/>
  <c r="J12" i="12"/>
  <c r="J26" i="12" s="1"/>
  <c r="C16" i="12" l="1"/>
  <c r="H15" i="12"/>
  <c r="I14" i="12"/>
  <c r="J13" i="12"/>
  <c r="E14" i="12"/>
  <c r="C17" i="12" l="1"/>
  <c r="J15" i="12"/>
  <c r="J14" i="12"/>
  <c r="H16" i="12"/>
  <c r="I15" i="12"/>
  <c r="E15" i="12"/>
  <c r="H17" i="12" l="1"/>
  <c r="I16" i="12"/>
  <c r="C18" i="12"/>
  <c r="E16" i="12"/>
  <c r="C19" i="12" l="1"/>
  <c r="E18" i="12"/>
  <c r="E17" i="12"/>
  <c r="J16" i="12"/>
  <c r="H18" i="12"/>
  <c r="I17" i="12"/>
  <c r="J17" i="12" l="1"/>
  <c r="H19" i="12"/>
  <c r="I18" i="12"/>
  <c r="C20" i="12"/>
  <c r="E19" i="12"/>
  <c r="C21" i="12" l="1"/>
  <c r="H20" i="12"/>
  <c r="I19" i="12"/>
  <c r="J18" i="12"/>
  <c r="C22" i="12" l="1"/>
  <c r="H21" i="12"/>
  <c r="I20" i="12"/>
  <c r="E20" i="12"/>
  <c r="J19" i="12"/>
  <c r="C23" i="12" l="1"/>
  <c r="E22" i="12"/>
  <c r="J20" i="12"/>
  <c r="H22" i="12"/>
  <c r="I21" i="12"/>
  <c r="E21" i="12"/>
  <c r="H23" i="12" l="1"/>
  <c r="I22" i="12"/>
  <c r="C24" i="12"/>
  <c r="E23" i="12"/>
  <c r="J21" i="12"/>
  <c r="D24" i="12" l="1"/>
  <c r="E24" i="12" s="1"/>
  <c r="E28" i="12" s="1"/>
  <c r="H24" i="12"/>
  <c r="I24" i="12" s="1"/>
  <c r="I23" i="12"/>
  <c r="J22" i="12"/>
  <c r="J24" i="12" l="1"/>
  <c r="J23" i="12"/>
  <c r="J28" i="12" l="1"/>
  <c r="M4" i="6"/>
  <c r="G4" i="11" l="1"/>
  <c r="F4" i="11"/>
  <c r="E4" i="11"/>
  <c r="D4" i="11"/>
  <c r="F15" i="11"/>
  <c r="G15" i="11"/>
  <c r="F16" i="11"/>
  <c r="G16" i="11"/>
  <c r="F17" i="11"/>
  <c r="G17" i="11"/>
  <c r="F18" i="11"/>
  <c r="G18" i="11"/>
  <c r="C5" i="11"/>
  <c r="C6" i="11" s="1"/>
  <c r="C7" i="11" s="1"/>
  <c r="C8" i="11" s="1"/>
  <c r="C9" i="11" l="1"/>
  <c r="D8" i="11"/>
  <c r="C10" i="11" l="1"/>
  <c r="D9" i="11"/>
  <c r="C37" i="11"/>
  <c r="C36" i="11"/>
  <c r="C35" i="11"/>
  <c r="C34" i="11"/>
  <c r="C33" i="11"/>
  <c r="C32" i="11"/>
  <c r="C31" i="11"/>
  <c r="C30" i="11"/>
  <c r="C29" i="11"/>
  <c r="C28" i="11"/>
  <c r="C38" i="11" s="1"/>
  <c r="C27" i="11"/>
  <c r="C26" i="11"/>
  <c r="B38" i="11"/>
  <c r="D5" i="11"/>
  <c r="M16" i="6"/>
  <c r="M15" i="6"/>
  <c r="C17" i="6"/>
  <c r="C16" i="6"/>
  <c r="C15" i="6"/>
  <c r="C4" i="11"/>
  <c r="G6" i="11"/>
  <c r="G7" i="11"/>
  <c r="G8" i="11"/>
  <c r="G9" i="11"/>
  <c r="G10" i="11"/>
  <c r="G11" i="11"/>
  <c r="G12" i="11"/>
  <c r="G13" i="11"/>
  <c r="G14" i="11"/>
  <c r="G5" i="11"/>
  <c r="F14" i="11"/>
  <c r="F13" i="11"/>
  <c r="F12" i="11"/>
  <c r="F11" i="11"/>
  <c r="F10" i="11"/>
  <c r="F9" i="11"/>
  <c r="F8" i="11"/>
  <c r="F7" i="11"/>
  <c r="F6" i="11"/>
  <c r="D7" i="11"/>
  <c r="F5" i="11"/>
  <c r="E5" i="11"/>
  <c r="M6" i="6"/>
  <c r="M7" i="6"/>
  <c r="M8" i="6"/>
  <c r="M9" i="6"/>
  <c r="M10" i="6"/>
  <c r="M11" i="6"/>
  <c r="M12" i="6"/>
  <c r="M13" i="6"/>
  <c r="M14" i="6"/>
  <c r="M5" i="6"/>
  <c r="C6" i="6"/>
  <c r="C7" i="6"/>
  <c r="C8" i="6"/>
  <c r="C9" i="6"/>
  <c r="C10" i="6"/>
  <c r="C11" i="6"/>
  <c r="C12" i="6"/>
  <c r="C13" i="6"/>
  <c r="C14" i="6"/>
  <c r="C5" i="6"/>
  <c r="J9" i="1"/>
  <c r="J10" i="1"/>
  <c r="J12" i="1"/>
  <c r="J14" i="1"/>
  <c r="J15" i="1"/>
  <c r="I10" i="1"/>
  <c r="I14" i="1"/>
  <c r="I9" i="1"/>
  <c r="C11" i="11" l="1"/>
  <c r="D10" i="11"/>
  <c r="D6" i="11"/>
  <c r="E6" i="11" s="1"/>
  <c r="H6" i="11" s="1"/>
  <c r="H5" i="11"/>
  <c r="H20" i="11" s="1"/>
  <c r="G58" i="2" s="1"/>
  <c r="E7" i="11"/>
  <c r="C12" i="11" l="1"/>
  <c r="D11" i="11"/>
  <c r="H7" i="11"/>
  <c r="E8" i="11"/>
  <c r="H8" i="11" s="1"/>
  <c r="C13" i="11" l="1"/>
  <c r="D12" i="11"/>
  <c r="E9" i="11"/>
  <c r="H9" i="11" s="1"/>
  <c r="C14" i="11" l="1"/>
  <c r="D13" i="11"/>
  <c r="E10" i="11"/>
  <c r="H10" i="11" s="1"/>
  <c r="C15" i="11" l="1"/>
  <c r="D14" i="11"/>
  <c r="E11" i="11"/>
  <c r="H11" i="11" s="1"/>
  <c r="C16" i="11" l="1"/>
  <c r="D15" i="11"/>
  <c r="E15" i="11" s="1"/>
  <c r="E12" i="11"/>
  <c r="H12" i="11" s="1"/>
  <c r="C17" i="11" l="1"/>
  <c r="D16" i="11"/>
  <c r="E16" i="11" s="1"/>
  <c r="H16" i="11" s="1"/>
  <c r="E13" i="11"/>
  <c r="H13" i="11" s="1"/>
  <c r="D17" i="11" l="1"/>
  <c r="E17" i="11" s="1"/>
  <c r="H17" i="11" s="1"/>
  <c r="C18" i="11"/>
  <c r="E14" i="11"/>
  <c r="D18" i="11" l="1"/>
  <c r="E18" i="11" s="1"/>
  <c r="H18" i="11" s="1"/>
  <c r="H14" i="11"/>
  <c r="H15" i="11"/>
  <c r="H22" i="11" l="1"/>
  <c r="B11" i="1" s="1"/>
  <c r="I11" i="1" s="1"/>
  <c r="P16" i="6" l="1"/>
  <c r="P15" i="6"/>
  <c r="P14" i="6"/>
  <c r="P13" i="6"/>
  <c r="P12" i="6"/>
  <c r="P11" i="6"/>
  <c r="P10" i="6"/>
  <c r="P9" i="6"/>
  <c r="P8" i="6"/>
  <c r="P7" i="6"/>
  <c r="P6" i="6"/>
  <c r="P5" i="6"/>
  <c r="E19" i="6" l="1"/>
  <c r="E6" i="6"/>
  <c r="E7" i="6"/>
  <c r="E8" i="6"/>
  <c r="E9" i="6"/>
  <c r="E10" i="6"/>
  <c r="E11" i="6"/>
  <c r="E12" i="6"/>
  <c r="E13" i="6"/>
  <c r="E14" i="6"/>
  <c r="E15" i="6"/>
  <c r="E16" i="6"/>
  <c r="E5" i="6"/>
  <c r="D38" i="5"/>
  <c r="E34" i="5"/>
  <c r="D37" i="5"/>
  <c r="C35" i="5"/>
  <c r="N19" i="6"/>
  <c r="Q19" i="6" s="1"/>
  <c r="S19" i="6" s="1"/>
  <c r="M19" i="6"/>
  <c r="D19" i="6"/>
  <c r="G19" i="6" s="1"/>
  <c r="I19" i="6" s="1"/>
  <c r="C19" i="6"/>
  <c r="R17" i="6"/>
  <c r="H17" i="6"/>
  <c r="N16" i="6"/>
  <c r="K16" i="6"/>
  <c r="D16" i="6"/>
  <c r="S15" i="6"/>
  <c r="N15" i="6"/>
  <c r="K15" i="6"/>
  <c r="D15" i="6"/>
  <c r="K14" i="6"/>
  <c r="K13" i="6"/>
  <c r="K12" i="6"/>
  <c r="K11" i="6"/>
  <c r="K10" i="6"/>
  <c r="K9" i="6"/>
  <c r="K8" i="6"/>
  <c r="K7" i="6"/>
  <c r="L6" i="6"/>
  <c r="L7" i="6" s="1"/>
  <c r="K6" i="6"/>
  <c r="B6" i="6"/>
  <c r="D6" i="6" s="1"/>
  <c r="L5" i="6"/>
  <c r="K5" i="6"/>
  <c r="D5" i="6"/>
  <c r="N4" i="6"/>
  <c r="C4" i="6"/>
  <c r="D4" i="6" s="1"/>
  <c r="G5" i="6" l="1"/>
  <c r="I5" i="6" s="1"/>
  <c r="C38" i="5"/>
  <c r="E38" i="5" s="1"/>
  <c r="C37" i="5"/>
  <c r="C39" i="5" s="1"/>
  <c r="E33" i="5"/>
  <c r="Q16" i="6"/>
  <c r="S16" i="6" s="1"/>
  <c r="L8" i="6"/>
  <c r="N7" i="6"/>
  <c r="G6" i="6"/>
  <c r="I6" i="6" s="1"/>
  <c r="G16" i="6"/>
  <c r="I16" i="6" s="1"/>
  <c r="B7" i="6"/>
  <c r="N6" i="6"/>
  <c r="N5" i="6"/>
  <c r="Q5" i="6" s="1"/>
  <c r="Q7" i="6" l="1"/>
  <c r="S7" i="6" s="1"/>
  <c r="E37" i="5"/>
  <c r="E39" i="5" s="1"/>
  <c r="E35" i="5"/>
  <c r="S5" i="6"/>
  <c r="N8" i="6"/>
  <c r="Q8" i="6" s="1"/>
  <c r="S8" i="6" s="1"/>
  <c r="L9" i="6"/>
  <c r="B8" i="6"/>
  <c r="D7" i="6"/>
  <c r="G7" i="6" s="1"/>
  <c r="Q6" i="6"/>
  <c r="S6" i="6" s="1"/>
  <c r="I7" i="6" l="1"/>
  <c r="B9" i="6"/>
  <c r="D8" i="6"/>
  <c r="G8" i="6" s="1"/>
  <c r="L10" i="6"/>
  <c r="N9" i="6"/>
  <c r="Q9" i="6" s="1"/>
  <c r="I8" i="6" l="1"/>
  <c r="S9" i="6"/>
  <c r="B10" i="6"/>
  <c r="D9" i="6"/>
  <c r="G9" i="6" s="1"/>
  <c r="I9" i="6" s="1"/>
  <c r="L11" i="6"/>
  <c r="N10" i="6"/>
  <c r="Q10" i="6" s="1"/>
  <c r="S10" i="6" s="1"/>
  <c r="L12" i="6" l="1"/>
  <c r="N11" i="6"/>
  <c r="Q11" i="6" s="1"/>
  <c r="D10" i="6"/>
  <c r="G10" i="6" s="1"/>
  <c r="I10" i="6" s="1"/>
  <c r="B11" i="6"/>
  <c r="S11" i="6" l="1"/>
  <c r="D11" i="6"/>
  <c r="G11" i="6" s="1"/>
  <c r="I11" i="6" s="1"/>
  <c r="B12" i="6"/>
  <c r="L13" i="6"/>
  <c r="N12" i="6"/>
  <c r="Q12" i="6" s="1"/>
  <c r="S12" i="6" s="1"/>
  <c r="N13" i="6" l="1"/>
  <c r="Q13" i="6" s="1"/>
  <c r="S13" i="6" s="1"/>
  <c r="L14" i="6"/>
  <c r="B13" i="6"/>
  <c r="D12" i="6"/>
  <c r="G12" i="6" s="1"/>
  <c r="I12" i="6" s="1"/>
  <c r="B14" i="6" l="1"/>
  <c r="D13" i="6"/>
  <c r="G13" i="6" s="1"/>
  <c r="I13" i="6" s="1"/>
  <c r="N14" i="6"/>
  <c r="Q14" i="6" s="1"/>
  <c r="S48" i="6"/>
  <c r="S14" i="6" l="1"/>
  <c r="S17" i="6" s="1"/>
  <c r="S20" i="6" s="1"/>
  <c r="M45" i="2" s="1"/>
  <c r="Q17" i="6"/>
  <c r="I48" i="6"/>
  <c r="D14" i="6"/>
  <c r="G14" i="6" s="1"/>
  <c r="I14" i="6" l="1"/>
  <c r="I17" i="6" s="1"/>
  <c r="I20" i="6" s="1"/>
  <c r="E45" i="2" s="1"/>
  <c r="G17" i="6"/>
  <c r="B21" i="5" l="1"/>
  <c r="B20" i="5"/>
  <c r="B19" i="5"/>
  <c r="B15" i="5"/>
  <c r="E15" i="5" l="1"/>
  <c r="E17" i="5" s="1"/>
  <c r="E19" i="5" s="1"/>
  <c r="E20" i="5" s="1"/>
  <c r="E21" i="5" l="1"/>
  <c r="N45" i="2" l="1"/>
  <c r="B10" i="1" l="1"/>
  <c r="B9" i="1"/>
  <c r="M51" i="2" l="1"/>
  <c r="L51" i="2"/>
  <c r="N50" i="2"/>
  <c r="N49" i="2"/>
  <c r="N48" i="2"/>
  <c r="N47" i="2"/>
  <c r="N46" i="2"/>
  <c r="N44" i="2"/>
  <c r="N43" i="2"/>
  <c r="N42" i="2"/>
  <c r="N41" i="2"/>
  <c r="N40" i="2"/>
  <c r="N39" i="2"/>
  <c r="N38" i="2"/>
  <c r="N37" i="2"/>
  <c r="N36" i="2"/>
  <c r="N35" i="2"/>
  <c r="N34" i="2"/>
  <c r="E51" i="2"/>
  <c r="D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G35" i="2" s="1"/>
  <c r="F34" i="2"/>
  <c r="N51" i="2" l="1"/>
  <c r="O35" i="2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G36" i="2"/>
  <c r="G37" i="2" s="1"/>
  <c r="G38" i="2" s="1"/>
  <c r="G39" i="2" s="1"/>
  <c r="G40" i="2" s="1"/>
  <c r="G41" i="2" s="1"/>
  <c r="G42" i="2" s="1"/>
  <c r="G43" i="2" s="1"/>
  <c r="G44" i="2" s="1"/>
  <c r="G45" i="2" s="1"/>
  <c r="F51" i="2"/>
  <c r="G60" i="2" l="1"/>
  <c r="O46" i="2"/>
  <c r="O47" i="2" s="1"/>
  <c r="O48" i="2" s="1"/>
  <c r="O49" i="2" s="1"/>
  <c r="O50" i="2" s="1"/>
  <c r="O51" i="2" s="1"/>
  <c r="G46" i="2"/>
  <c r="G47" i="2" s="1"/>
  <c r="G48" i="2" s="1"/>
  <c r="G49" i="2" s="1"/>
  <c r="G50" i="2" s="1"/>
  <c r="G51" i="2" s="1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O9" i="2" s="1"/>
  <c r="F19" i="2"/>
  <c r="F18" i="2"/>
  <c r="F17" i="2"/>
  <c r="F16" i="2"/>
  <c r="F15" i="2"/>
  <c r="F14" i="2"/>
  <c r="F13" i="2"/>
  <c r="F12" i="2"/>
  <c r="F11" i="2"/>
  <c r="F10" i="2"/>
  <c r="F9" i="2"/>
  <c r="F8" i="2"/>
  <c r="B12" i="1" l="1"/>
  <c r="I12" i="1" s="1"/>
  <c r="O10" i="2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F20" i="2"/>
  <c r="F21" i="2"/>
  <c r="F22" i="2"/>
  <c r="F23" i="2"/>
  <c r="F24" i="2"/>
  <c r="G9" i="2"/>
  <c r="G10" i="2" s="1"/>
  <c r="G11" i="2" s="1"/>
  <c r="G12" i="2" s="1"/>
  <c r="G13" i="2" s="1"/>
  <c r="G14" i="2" s="1"/>
  <c r="G15" i="2" s="1"/>
  <c r="G16" i="2" s="1"/>
  <c r="G17" i="2" s="1"/>
  <c r="G18" i="2" s="1"/>
  <c r="G19" i="2" l="1"/>
  <c r="G20" i="2" s="1"/>
  <c r="G21" i="2" s="1"/>
  <c r="G22" i="2" s="1"/>
  <c r="G23" i="2" s="1"/>
  <c r="G24" i="2" s="1"/>
  <c r="G25" i="2" s="1"/>
  <c r="C9" i="1" l="1"/>
  <c r="B14" i="1" l="1"/>
  <c r="C11" i="1" l="1"/>
  <c r="J11" i="1" s="1"/>
  <c r="B13" i="1" l="1"/>
  <c r="I13" i="1" s="1"/>
  <c r="C13" i="1"/>
  <c r="D9" i="1" l="1"/>
  <c r="J13" i="1"/>
  <c r="B15" i="1"/>
  <c r="I15" i="1" s="1"/>
  <c r="D11" i="1"/>
  <c r="D13" i="1" l="1"/>
</calcChain>
</file>

<file path=xl/comments1.xml><?xml version="1.0" encoding="utf-8"?>
<comments xmlns="http://schemas.openxmlformats.org/spreadsheetml/2006/main">
  <authors>
    <author>NC</author>
  </authors>
  <commentList>
    <comment ref="C4" authorId="0">
      <text>
        <r>
          <rPr>
            <sz val="9"/>
            <color indexed="81"/>
            <rFont val="Tahoma"/>
            <family val="2"/>
          </rPr>
          <t xml:space="preserve">
This balance uses 2017 FIT at 35%
</t>
        </r>
      </text>
    </comment>
    <comment ref="M4" authorId="0">
      <text>
        <r>
          <rPr>
            <sz val="9"/>
            <color indexed="81"/>
            <rFont val="Tahoma"/>
            <family val="2"/>
          </rPr>
          <t xml:space="preserve">
This balance uses 2017 FIT at 35%
</t>
        </r>
      </text>
    </comment>
  </commentList>
</comments>
</file>

<file path=xl/sharedStrings.xml><?xml version="1.0" encoding="utf-8"?>
<sst xmlns="http://schemas.openxmlformats.org/spreadsheetml/2006/main" count="200" uniqueCount="109">
  <si>
    <t>Gross up for revenue sensitive items</t>
  </si>
  <si>
    <t>Over / under pass back of proceeds from prior rate period</t>
  </si>
  <si>
    <t>Over / under pass back of interest from prior rate period</t>
  </si>
  <si>
    <t>Revenue Requirement</t>
  </si>
  <si>
    <t>Description</t>
  </si>
  <si>
    <t>New net proceeds to be passed back</t>
  </si>
  <si>
    <t>Period</t>
  </si>
  <si>
    <t>Debit</t>
  </si>
  <si>
    <t>Credit</t>
  </si>
  <si>
    <t>Balance</t>
  </si>
  <si>
    <t>Cumulative balance</t>
  </si>
  <si>
    <t>Balance Carryforward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</si>
  <si>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</si>
  <si>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</si>
  <si>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</si>
  <si>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</si>
  <si>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</si>
  <si>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</si>
  <si>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</si>
  <si>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</si>
  <si>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</si>
  <si>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</si>
  <si>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</si>
  <si>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</si>
  <si>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</si>
  <si>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</si>
  <si>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</si>
  <si>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</si>
  <si>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Total</t>
  </si>
  <si>
    <t>Exected Amortization of RECs for November and December 2017</t>
  </si>
  <si>
    <t>PUGET SOUND ENERGY-ELECTRIC</t>
  </si>
  <si>
    <t>CONVERSION FACTOR</t>
  </si>
  <si>
    <t>COMMISSION BASIS REPORT</t>
  </si>
  <si>
    <t>LINE</t>
  </si>
  <si>
    <t>NO.</t>
  </si>
  <si>
    <t>DESCRIPTION</t>
  </si>
  <si>
    <t>RATE</t>
  </si>
  <si>
    <t>BAD DEBTS</t>
  </si>
  <si>
    <t>ANNUAL FILING FEE</t>
  </si>
  <si>
    <t>SUM OF TAXES OTHER</t>
  </si>
  <si>
    <t>25400291 Proceeds Already Set in Rates - Currently Amortizing</t>
  </si>
  <si>
    <t>25400221 REC Current Proceeds Not in Rates</t>
  </si>
  <si>
    <t>Revenue Requirement for Schedule 137</t>
  </si>
  <si>
    <t>REC</t>
  </si>
  <si>
    <t>Sched 137</t>
  </si>
  <si>
    <t>Allocation b/w</t>
  </si>
  <si>
    <t>Prin and Int</t>
  </si>
  <si>
    <t>25400301 Interest on RECs IN RATES</t>
  </si>
  <si>
    <t>25400311 Interest on RECs NOT In Rates</t>
  </si>
  <si>
    <t>REC's 2018 Actuals for 2019 rates</t>
  </si>
  <si>
    <t>To Be Effective January 1, 2019</t>
  </si>
  <si>
    <t>FOR THE TWELVE MONTHS ENDED SEPTEMBER 30, 2016</t>
  </si>
  <si>
    <t>Tax Reform 17GRC Filing in UE-180282</t>
  </si>
  <si>
    <t>True-up for Interest rate per UE-180282 Dec 19, 2017 thru Oct 2018</t>
  </si>
  <si>
    <t>Interest Review for REC proceeds in and not-yet-in rates:  Account # 25400221 and 25400291</t>
  </si>
  <si>
    <t>Date</t>
  </si>
  <si>
    <t>Accumulated DFIT</t>
  </si>
  <si>
    <t>Proceeds net of DFIT</t>
  </si>
  <si>
    <t>Interest %</t>
  </si>
  <si>
    <t>FIT Grossup Factor</t>
  </si>
  <si>
    <t>Monthly Interest on 25400221 S/B CR to 25400311 DR to 43100181</t>
  </si>
  <si>
    <t>Actually Recorded to 25400311</t>
  </si>
  <si>
    <t>Difference S/B recorded to 25400301</t>
  </si>
  <si>
    <t>Net Balance</t>
  </si>
  <si>
    <t>Monthly Interest on 25400291 S/B  CR to 25400301 DR to 43100141</t>
  </si>
  <si>
    <t>Actually Recorded to 25400301</t>
  </si>
  <si>
    <t>Proceeds Not in Rates</t>
  </si>
  <si>
    <t>Proceeds in Rates</t>
  </si>
  <si>
    <t>(a)</t>
  </si>
  <si>
    <t>PRO FORMA COST OF CAPITAL</t>
  </si>
  <si>
    <t>GENERAL RATE CASE</t>
  </si>
  <si>
    <t>PRO FORMA</t>
  </si>
  <si>
    <t>COST</t>
  </si>
  <si>
    <t>COST OF</t>
  </si>
  <si>
    <t>CAPITAL %</t>
  </si>
  <si>
    <t>%</t>
  </si>
  <si>
    <t>CAPITAL</t>
  </si>
  <si>
    <t>SHORT &amp; LONG TERM DEBT</t>
  </si>
  <si>
    <t>EQUITY</t>
  </si>
  <si>
    <t>TOTAL COST OF CAPITAL</t>
  </si>
  <si>
    <t>AFTER TAX DEBT</t>
  </si>
  <si>
    <t>TOTAL AFTER TAX COST OF CAPITAL</t>
  </si>
  <si>
    <t>Interest true-up to be recorded in Jan 2019 represents the higher interest accrual owed to customers due to Cost of Capital authorized in UE-180292.</t>
  </si>
  <si>
    <t>After Tax Rate of Return</t>
  </si>
  <si>
    <t>Grossed up for FIT</t>
  </si>
  <si>
    <t>RECs</t>
  </si>
  <si>
    <t>Month</t>
  </si>
  <si>
    <t>Amortization</t>
  </si>
  <si>
    <t>Proceeds</t>
  </si>
  <si>
    <t>Net of DFIT</t>
  </si>
  <si>
    <t>Interest</t>
  </si>
  <si>
    <t>Shape</t>
  </si>
  <si>
    <t>Load F18</t>
  </si>
  <si>
    <t>Delivered</t>
  </si>
  <si>
    <t>New interest to be passed back</t>
  </si>
  <si>
    <t>Expected Interest Accruals for November and December 2018 unamortized balance of proceeds:</t>
  </si>
  <si>
    <t>Total Interest from 2018 not currently in rates or net un/over amortized  in rates:</t>
  </si>
  <si>
    <t>1 minus FIT rate</t>
  </si>
  <si>
    <t>Based on actual balance using authorized ROR and FIT rate</t>
  </si>
  <si>
    <r>
      <t xml:space="preserve">Balance Proceeds </t>
    </r>
    <r>
      <rPr>
        <sz val="11"/>
        <color rgb="FF0000FF"/>
        <rFont val="Calibri"/>
        <family val="2"/>
      </rPr>
      <t>Not In Rates</t>
    </r>
    <r>
      <rPr>
        <sz val="11"/>
        <color theme="1"/>
        <rFont val="Calibri"/>
        <family val="2"/>
        <scheme val="minor"/>
      </rPr>
      <t xml:space="preserve"> 25400221</t>
    </r>
  </si>
  <si>
    <r>
      <t xml:space="preserve">Balance Proceeds </t>
    </r>
    <r>
      <rPr>
        <sz val="11"/>
        <color rgb="FF0000FF"/>
        <rFont val="Calibri"/>
        <family val="2"/>
      </rPr>
      <t>In Rates</t>
    </r>
    <r>
      <rPr>
        <sz val="11"/>
        <color theme="1"/>
        <rFont val="Calibri"/>
        <family val="2"/>
        <scheme val="minor"/>
      </rPr>
      <t xml:space="preserve"> 25400291</t>
    </r>
  </si>
  <si>
    <t>Difference S/B recorded to 25400311</t>
  </si>
  <si>
    <t>Bio Gas</t>
  </si>
  <si>
    <t>Load</t>
  </si>
  <si>
    <t>diff</t>
  </si>
  <si>
    <t>Originally filed</t>
  </si>
  <si>
    <t>Carry-over Oct 2018</t>
  </si>
  <si>
    <t>Pre-Tax Reform</t>
  </si>
  <si>
    <t>Post Tax Reform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</si>
</sst>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.000000_);[Red]\(#,##0.000000\)"/>
    <numFmt numFmtId="165" formatCode="&quot;PAGE&quot;\ 0.00"/>
    <numFmt numFmtId="166" formatCode="0.000000"/>
    <numFmt numFmtId="167" formatCode="0.0000%"/>
    <numFmt numFmtId="168" formatCode="_(* #,##0_);_(* \(#,##0\);_(* &quot;-&quot;??_);_(@_)"/>
    <numFmt numFmtId="169" formatCode="_(&quot;$&quot;* #,##0_);_(&quot;$&quot;* \(#,##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rgb="FFFF0000"/>
      <name val="Calibri"/>
      <family val="2"/>
      <scheme val="minor"/>
    </font>
    <font>
      <b/>
      <i/>
      <sz val="10"/>
      <color rgb="FF0000FF"/>
      <name val="Times New Roman"/>
      <family val="1"/>
    </font>
    <font>
      <b/>
      <sz val="10"/>
      <color rgb="FFFF0000"/>
      <name val="Times New Roman"/>
      <family val="1"/>
    </font>
    <font>
      <sz val="11"/>
      <color rgb="FF0000FF"/>
      <name val="Calibri"/>
      <family val="2"/>
      <scheme val="minor"/>
    </font>
    <font>
      <sz val="11"/>
      <color rgb="FF0000FF"/>
      <name val="Calibri"/>
      <family val="2"/>
    </font>
    <font>
      <sz val="8"/>
      <name val="Arial"/>
      <family val="2"/>
    </font>
    <font>
      <sz val="9"/>
      <color indexed="8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" fillId="0" borderId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0" applyNumberFormat="1"/>
    <xf numFmtId="41" fontId="0" fillId="0" borderId="0" xfId="0" applyNumberFormat="1"/>
    <xf numFmtId="42" fontId="0" fillId="0" borderId="0" xfId="0" applyNumberFormat="1"/>
    <xf numFmtId="41" fontId="0" fillId="0" borderId="11" xfId="0" applyNumberFormat="1" applyBorder="1"/>
    <xf numFmtId="42" fontId="0" fillId="0" borderId="12" xfId="0" applyNumberFormat="1" applyBorder="1"/>
    <xf numFmtId="0" fontId="18" fillId="33" borderId="13" xfId="44" applyFont="1" applyFill="1" applyBorder="1"/>
    <xf numFmtId="4" fontId="18" fillId="0" borderId="0" xfId="43" applyNumberFormat="1" applyFont="1" applyFill="1" applyBorder="1" applyAlignment="1">
      <alignment horizontal="right"/>
    </xf>
    <xf numFmtId="0" fontId="0" fillId="0" borderId="17" xfId="0" applyBorder="1"/>
    <xf numFmtId="4" fontId="18" fillId="0" borderId="0" xfId="43" applyNumberFormat="1" applyFont="1" applyBorder="1" applyAlignment="1">
      <alignment horizontal="right"/>
    </xf>
    <xf numFmtId="0" fontId="0" fillId="0" borderId="16" xfId="0" applyBorder="1"/>
    <xf numFmtId="0" fontId="18" fillId="0" borderId="0" xfId="43" applyFont="1" applyBorder="1"/>
    <xf numFmtId="0" fontId="0" fillId="0" borderId="15" xfId="0" applyBorder="1"/>
    <xf numFmtId="0" fontId="0" fillId="0" borderId="18" xfId="0" applyBorder="1"/>
    <xf numFmtId="0" fontId="0" fillId="0" borderId="14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18" fillId="33" borderId="13" xfId="43" applyFont="1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8" fillId="0" borderId="0" xfId="44" applyFont="1" applyBorder="1"/>
    <xf numFmtId="4" fontId="18" fillId="0" borderId="0" xfId="44" applyNumberFormat="1" applyFont="1" applyBorder="1" applyAlignment="1">
      <alignment horizontal="right"/>
    </xf>
    <xf numFmtId="0" fontId="19" fillId="0" borderId="0" xfId="45" applyFont="1" applyBorder="1"/>
    <xf numFmtId="4" fontId="19" fillId="0" borderId="0" xfId="45" applyNumberFormat="1" applyFont="1" applyBorder="1" applyAlignment="1">
      <alignment horizontal="right"/>
    </xf>
    <xf numFmtId="0" fontId="0" fillId="0" borderId="0" xfId="0" applyAlignment="1">
      <alignment horizontal="left" wrapText="1"/>
    </xf>
    <xf numFmtId="0" fontId="20" fillId="0" borderId="0" xfId="0" applyNumberFormat="1" applyFont="1" applyFill="1" applyAlignment="1"/>
    <xf numFmtId="165" fontId="20" fillId="0" borderId="0" xfId="0" applyNumberFormat="1" applyFont="1" applyFill="1" applyBorder="1" applyAlignment="1">
      <alignment horizontal="right"/>
    </xf>
    <xf numFmtId="0" fontId="20" fillId="0" borderId="0" xfId="0" applyNumberFormat="1" applyFont="1" applyFill="1" applyAlignment="1" applyProtection="1">
      <alignment horizontal="centerContinuous"/>
      <protection locked="0"/>
    </xf>
    <xf numFmtId="0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Border="1" applyAlignment="1">
      <alignment horizontal="centerContinuous"/>
    </xf>
    <xf numFmtId="0" fontId="20" fillId="0" borderId="0" xfId="0" applyNumberFormat="1" applyFont="1" applyFill="1" applyAlignment="1">
      <alignment horizontal="center"/>
    </xf>
    <xf numFmtId="0" fontId="20" fillId="0" borderId="10" xfId="0" applyNumberFormat="1" applyFont="1" applyFill="1" applyBorder="1" applyAlignment="1">
      <alignment horizontal="center"/>
    </xf>
    <xf numFmtId="0" fontId="20" fillId="0" borderId="10" xfId="0" applyNumberFormat="1" applyFont="1" applyFill="1" applyBorder="1" applyAlignment="1" applyProtection="1">
      <protection locked="0"/>
    </xf>
    <xf numFmtId="0" fontId="20" fillId="0" borderId="10" xfId="0" applyNumberFormat="1" applyFont="1" applyFill="1" applyBorder="1" applyAlignment="1"/>
    <xf numFmtId="0" fontId="20" fillId="0" borderId="10" xfId="0" applyNumberFormat="1" applyFont="1" applyFill="1" applyBorder="1" applyAlignment="1">
      <alignment horizontal="right"/>
    </xf>
    <xf numFmtId="0" fontId="21" fillId="0" borderId="0" xfId="0" applyNumberFormat="1" applyFont="1" applyFill="1" applyAlignment="1"/>
    <xf numFmtId="0" fontId="21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left"/>
    </xf>
    <xf numFmtId="166" fontId="21" fillId="0" borderId="0" xfId="0" applyNumberFormat="1" applyFont="1" applyFill="1" applyAlignment="1"/>
    <xf numFmtId="167" fontId="21" fillId="0" borderId="0" xfId="0" applyNumberFormat="1" applyFont="1" applyFill="1" applyAlignment="1"/>
    <xf numFmtId="166" fontId="21" fillId="0" borderId="10" xfId="0" applyNumberFormat="1" applyFont="1" applyFill="1" applyBorder="1" applyAlignment="1"/>
    <xf numFmtId="166" fontId="21" fillId="0" borderId="0" xfId="0" applyNumberFormat="1" applyFont="1" applyFill="1" applyBorder="1" applyAlignment="1"/>
    <xf numFmtId="0" fontId="19" fillId="33" borderId="13" xfId="45" applyFont="1" applyFill="1" applyBorder="1"/>
    <xf numFmtId="43" fontId="0" fillId="0" borderId="0" xfId="0" applyNumberFormat="1"/>
    <xf numFmtId="10" fontId="0" fillId="0" borderId="0" xfId="1" applyNumberFormat="1" applyFont="1"/>
    <xf numFmtId="9" fontId="0" fillId="0" borderId="22" xfId="0" applyNumberFormat="1" applyBorder="1"/>
    <xf numFmtId="0" fontId="22" fillId="0" borderId="0" xfId="0" applyFont="1"/>
    <xf numFmtId="4" fontId="0" fillId="0" borderId="0" xfId="0" applyNumberFormat="1" applyAlignment="1">
      <alignment horizontal="right" vertical="top"/>
    </xf>
    <xf numFmtId="0" fontId="0" fillId="0" borderId="0" xfId="0" applyNumberFormat="1" applyFont="1" applyFill="1" applyAlignment="1"/>
    <xf numFmtId="9" fontId="23" fillId="35" borderId="0" xfId="0" applyNumberFormat="1" applyFont="1" applyFill="1" applyAlignment="1"/>
    <xf numFmtId="166" fontId="23" fillId="35" borderId="12" xfId="0" applyNumberFormat="1" applyFont="1" applyFill="1" applyBorder="1" applyAlignment="1" applyProtection="1">
      <protection locked="0"/>
    </xf>
    <xf numFmtId="0" fontId="18" fillId="36" borderId="0" xfId="43" applyFont="1" applyFill="1" applyBorder="1"/>
    <xf numFmtId="4" fontId="18" fillId="36" borderId="0" xfId="43" applyNumberFormat="1" applyFont="1" applyFill="1" applyBorder="1" applyAlignment="1">
      <alignment horizontal="right"/>
    </xf>
    <xf numFmtId="0" fontId="18" fillId="36" borderId="0" xfId="44" applyFont="1" applyFill="1" applyBorder="1"/>
    <xf numFmtId="4" fontId="18" fillId="36" borderId="0" xfId="44" applyNumberFormat="1" applyFont="1" applyFill="1" applyBorder="1" applyAlignment="1">
      <alignment horizontal="right"/>
    </xf>
    <xf numFmtId="0" fontId="16" fillId="0" borderId="0" xfId="0" applyFont="1"/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3" fontId="0" fillId="0" borderId="0" xfId="49" applyFont="1"/>
    <xf numFmtId="168" fontId="0" fillId="0" borderId="0" xfId="49" applyNumberFormat="1" applyFont="1"/>
    <xf numFmtId="43" fontId="0" fillId="0" borderId="0" xfId="49" applyFont="1" applyFill="1" applyAlignment="1">
      <alignment horizontal="center" vertical="center" wrapText="1"/>
    </xf>
    <xf numFmtId="17" fontId="0" fillId="0" borderId="0" xfId="0" applyNumberFormat="1"/>
    <xf numFmtId="43" fontId="0" fillId="0" borderId="0" xfId="49" applyNumberFormat="1" applyFont="1"/>
    <xf numFmtId="43" fontId="1" fillId="0" borderId="0" xfId="48" applyFont="1" applyAlignment="1">
      <alignment horizontal="right" vertical="top"/>
    </xf>
    <xf numFmtId="43" fontId="1" fillId="34" borderId="0" xfId="48" applyFont="1" applyFill="1" applyAlignment="1">
      <alignment horizontal="right" vertical="top"/>
    </xf>
    <xf numFmtId="43" fontId="0" fillId="0" borderId="0" xfId="49" applyFont="1" applyFill="1"/>
    <xf numFmtId="43" fontId="0" fillId="34" borderId="0" xfId="49" applyFont="1" applyFill="1"/>
    <xf numFmtId="4" fontId="0" fillId="0" borderId="0" xfId="0" applyNumberFormat="1"/>
    <xf numFmtId="43" fontId="0" fillId="34" borderId="12" xfId="0" applyNumberFormat="1" applyFill="1" applyBorder="1"/>
    <xf numFmtId="43" fontId="14" fillId="0" borderId="0" xfId="0" applyNumberFormat="1" applyFont="1" applyAlignment="1">
      <alignment horizontal="center"/>
    </xf>
    <xf numFmtId="43" fontId="0" fillId="0" borderId="0" xfId="0" applyNumberFormat="1" applyBorder="1"/>
    <xf numFmtId="0" fontId="14" fillId="0" borderId="0" xfId="0" applyFont="1"/>
    <xf numFmtId="43" fontId="0" fillId="36" borderId="0" xfId="0" applyNumberFormat="1" applyFill="1"/>
    <xf numFmtId="43" fontId="14" fillId="0" borderId="0" xfId="0" applyNumberFormat="1" applyFont="1" applyAlignment="1">
      <alignment horizontal="right"/>
    </xf>
    <xf numFmtId="0" fontId="21" fillId="0" borderId="0" xfId="0" applyNumberFormat="1" applyFont="1" applyFill="1" applyAlignment="1">
      <alignment horizontal="centerContinuous"/>
    </xf>
    <xf numFmtId="0" fontId="24" fillId="0" borderId="0" xfId="0" applyNumberFormat="1" applyFont="1" applyFill="1" applyAlignment="1">
      <alignment horizontal="centerContinuous"/>
    </xf>
    <xf numFmtId="0" fontId="21" fillId="0" borderId="0" xfId="0" applyNumberFormat="1" applyFont="1" applyFill="1" applyAlignment="1" applyProtection="1">
      <protection locked="0"/>
    </xf>
    <xf numFmtId="0" fontId="20" fillId="0" borderId="10" xfId="0" applyNumberFormat="1" applyFont="1" applyFill="1" applyBorder="1" applyAlignment="1">
      <alignment horizontal="left"/>
    </xf>
    <xf numFmtId="0" fontId="21" fillId="0" borderId="0" xfId="0" applyNumberFormat="1" applyFont="1" applyFill="1" applyAlignment="1">
      <alignment horizontal="fill"/>
    </xf>
    <xf numFmtId="10" fontId="21" fillId="0" borderId="0" xfId="0" applyNumberFormat="1" applyFont="1" applyFill="1" applyBorder="1" applyAlignment="1"/>
    <xf numFmtId="10" fontId="21" fillId="0" borderId="11" xfId="0" applyNumberFormat="1" applyFont="1" applyFill="1" applyBorder="1" applyAlignment="1"/>
    <xf numFmtId="0" fontId="21" fillId="0" borderId="11" xfId="0" applyNumberFormat="1" applyFont="1" applyFill="1" applyBorder="1" applyAlignment="1"/>
    <xf numFmtId="0" fontId="21" fillId="0" borderId="0" xfId="0" applyNumberFormat="1" applyFont="1" applyFill="1" applyBorder="1" applyAlignment="1"/>
    <xf numFmtId="10" fontId="21" fillId="0" borderId="0" xfId="0" applyNumberFormat="1" applyFont="1" applyFill="1" applyAlignment="1"/>
    <xf numFmtId="10" fontId="23" fillId="35" borderId="0" xfId="0" applyNumberFormat="1" applyFont="1" applyFill="1" applyBorder="1" applyAlignment="1"/>
    <xf numFmtId="10" fontId="23" fillId="35" borderId="11" xfId="0" applyNumberFormat="1" applyFont="1" applyFill="1" applyBorder="1" applyAlignment="1"/>
    <xf numFmtId="168" fontId="0" fillId="0" borderId="22" xfId="0" applyNumberFormat="1" applyBorder="1"/>
    <xf numFmtId="10" fontId="0" fillId="0" borderId="0" xfId="0" applyNumberFormat="1"/>
    <xf numFmtId="10" fontId="0" fillId="0" borderId="10" xfId="0" applyNumberFormat="1" applyBorder="1" applyAlignment="1">
      <alignment horizontal="centerContinuous"/>
    </xf>
    <xf numFmtId="0" fontId="0" fillId="0" borderId="10" xfId="0" applyBorder="1" applyAlignment="1">
      <alignment horizontal="centerContinuous"/>
    </xf>
    <xf numFmtId="14" fontId="0" fillId="0" borderId="0" xfId="0" applyNumberFormat="1" applyAlignment="1">
      <alignment horizontal="left"/>
    </xf>
    <xf numFmtId="41" fontId="0" fillId="0" borderId="0" xfId="49" applyNumberFormat="1" applyFont="1"/>
    <xf numFmtId="42" fontId="0" fillId="0" borderId="0" xfId="0" applyNumberFormat="1" applyBorder="1"/>
    <xf numFmtId="0" fontId="0" fillId="0" borderId="0" xfId="0" applyBorder="1" applyAlignment="1">
      <alignment horizontal="center"/>
    </xf>
    <xf numFmtId="168" fontId="0" fillId="0" borderId="0" xfId="0" applyNumberFormat="1"/>
    <xf numFmtId="9" fontId="0" fillId="0" borderId="0" xfId="1" applyFont="1"/>
    <xf numFmtId="168" fontId="0" fillId="0" borderId="12" xfId="0" applyNumberFormat="1" applyBorder="1"/>
    <xf numFmtId="9" fontId="0" fillId="0" borderId="12" xfId="1" applyFont="1" applyBorder="1"/>
    <xf numFmtId="9" fontId="0" fillId="0" borderId="0" xfId="1" applyFont="1" applyBorder="1"/>
    <xf numFmtId="0" fontId="19" fillId="37" borderId="0" xfId="45" applyFont="1" applyFill="1" applyBorder="1"/>
    <xf numFmtId="4" fontId="19" fillId="37" borderId="0" xfId="45" applyNumberFormat="1" applyFont="1" applyFill="1" applyBorder="1" applyAlignment="1">
      <alignment horizontal="right"/>
    </xf>
    <xf numFmtId="4" fontId="18" fillId="37" borderId="0" xfId="43" applyNumberFormat="1" applyFont="1" applyFill="1" applyBorder="1" applyAlignment="1">
      <alignment horizontal="right"/>
    </xf>
    <xf numFmtId="0" fontId="0" fillId="37" borderId="0" xfId="0" applyFill="1"/>
    <xf numFmtId="42" fontId="0" fillId="37" borderId="0" xfId="0" applyNumberFormat="1" applyFill="1"/>
    <xf numFmtId="0" fontId="0" fillId="36" borderId="12" xfId="0" applyFill="1" applyBorder="1"/>
    <xf numFmtId="169" fontId="0" fillId="36" borderId="12" xfId="0" applyNumberFormat="1" applyFill="1" applyBorder="1"/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5" fillId="0" borderId="23" xfId="0" applyFont="1" applyBorder="1" applyAlignment="1">
      <alignment horizontal="centerContinuous"/>
    </xf>
    <xf numFmtId="0" fontId="25" fillId="0" borderId="24" xfId="0" applyFont="1" applyBorder="1" applyAlignment="1">
      <alignment horizontal="centerContinuous"/>
    </xf>
    <xf numFmtId="0" fontId="25" fillId="0" borderId="25" xfId="0" applyFont="1" applyBorder="1" applyAlignment="1">
      <alignment horizontal="centerContinuous"/>
    </xf>
    <xf numFmtId="14" fontId="0" fillId="36" borderId="0" xfId="0" applyNumberFormat="1" applyFill="1" applyAlignment="1">
      <alignment horizontal="left"/>
    </xf>
    <xf numFmtId="41" fontId="0" fillId="36" borderId="0" xfId="49" applyNumberFormat="1" applyFont="1" applyFill="1"/>
    <xf numFmtId="0" fontId="27" fillId="37" borderId="0" xfId="45" applyFont="1" applyFill="1" applyBorder="1"/>
    <xf numFmtId="9" fontId="0" fillId="0" borderId="0" xfId="0" applyNumberFormat="1"/>
    <xf numFmtId="0" fontId="0" fillId="34" borderId="0" xfId="0" applyFill="1" applyAlignment="1">
      <alignment horizontal="center"/>
    </xf>
    <xf numFmtId="0" fontId="0" fillId="34" borderId="0" xfId="0" applyFill="1"/>
    <xf numFmtId="0" fontId="0" fillId="34" borderId="10" xfId="0" applyFill="1" applyBorder="1" applyAlignment="1">
      <alignment horizontal="center"/>
    </xf>
    <xf numFmtId="42" fontId="0" fillId="34" borderId="0" xfId="0" applyNumberFormat="1" applyFill="1"/>
    <xf numFmtId="41" fontId="0" fillId="34" borderId="0" xfId="0" applyNumberFormat="1" applyFill="1"/>
    <xf numFmtId="41" fontId="0" fillId="34" borderId="11" xfId="0" applyNumberFormat="1" applyFill="1" applyBorder="1"/>
    <xf numFmtId="164" fontId="0" fillId="34" borderId="0" xfId="0" applyNumberFormat="1" applyFill="1"/>
    <xf numFmtId="42" fontId="0" fillId="34" borderId="12" xfId="0" applyNumberFormat="1" applyFill="1" applyBorder="1"/>
  </cellXfs>
  <cellStyles count="50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9" builtinId="3"/>
    <cellStyle name="Comma 10" xfId="48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15 2" xfId="46"/>
    <cellStyle name="Normal 125" xfId="45"/>
    <cellStyle name="Normal 126" xfId="47"/>
    <cellStyle name="Normal 129" xfId="44"/>
    <cellStyle name="Normal 2" xfId="43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CCFF33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29</xdr:row>
      <xdr:rowOff>133350</xdr:rowOff>
    </xdr:from>
    <xdr:to>
      <xdr:col>7</xdr:col>
      <xdr:colOff>666112</xdr:colOff>
      <xdr:row>48</xdr:row>
      <xdr:rowOff>18612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6838950"/>
          <a:ext cx="5104762" cy="3504762"/>
        </a:xfrm>
        <a:prstGeom prst="rect">
          <a:avLst/>
        </a:prstGeom>
      </xdr:spPr>
    </xdr:pic>
    <xdr:clientData/>
  </xdr:twoCellAnchor>
  <xdr:twoCellAnchor editAs="oneCell">
    <xdr:from>
      <xdr:col>10</xdr:col>
      <xdr:colOff>266700</xdr:colOff>
      <xdr:row>29</xdr:row>
      <xdr:rowOff>142875</xdr:rowOff>
    </xdr:from>
    <xdr:to>
      <xdr:col>17</xdr:col>
      <xdr:colOff>675635</xdr:colOff>
      <xdr:row>48</xdr:row>
      <xdr:rowOff>37661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53350" y="6848475"/>
          <a:ext cx="5123810" cy="35142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2018\2018%20Tax%20Reform%20WP\RevReq%20WP\%23Electric%20Model%20Tax%20Reform%202017%20GRC%20(SETTLEMEN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free\AppData\Local\Microsoft\Windows\Temporary%20Internet%20Files\Content.Outlook\C6JWTBX4\Copy%20of%20RVSD%20Schedule%20137%20REC%20Rev%20Req%202019%20Workpaper-k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Schedules\Schedule%20137%20-%20REC%20Revenues%20(2012%20and%20forward)\Jan%202019%20rate\Dirty%20Set%20Schedule%20137%20REC%20Rev%20Req%202019%20Workpap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/>
      <sheetData sheetId="2"/>
      <sheetData sheetId="3"/>
      <sheetData sheetId="4">
        <row r="7">
          <cell r="B7" t="str">
            <v>FOR THE TWELVE MONTHS ENDED SEPTEMBER 30, 2016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Requirement"/>
      <sheetName val="Tracking Accounts"/>
      <sheetName val="Interest Review for Jan 2019"/>
      <sheetName val="Conv F and COC UE-180282"/>
      <sheetName val="Interest 2019 Rate"/>
      <sheetName val="Interest 2018 Rate"/>
    </sheetNames>
    <sheetDataSet>
      <sheetData sheetId="0"/>
      <sheetData sheetId="1"/>
      <sheetData sheetId="2"/>
      <sheetData sheetId="3"/>
      <sheetData sheetId="4">
        <row r="1">
          <cell r="B1">
            <v>6.9699999999999998E-2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Requirement"/>
      <sheetName val="Tracking Accounts"/>
      <sheetName val="Conv Factor"/>
      <sheetName val="Interest Review for Jan 2019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A2" workbookViewId="0">
      <selection activeCell="B12" sqref="B12"/>
    </sheetView>
  </sheetViews>
  <sheetFormatPr defaultRowHeight="15" x14ac:dyDescent="0.25"/>
  <cols>
    <col min="1" max="1" width="53" bestFit="1" customWidth="1"/>
    <col min="2" max="2" width="14.140625" customWidth="1"/>
    <col min="3" max="3" width="14" bestFit="1" customWidth="1"/>
    <col min="4" max="4" width="14.140625" bestFit="1" customWidth="1"/>
    <col min="6" max="7" width="12.28515625" bestFit="1" customWidth="1"/>
    <col min="9" max="10" width="9.7109375" bestFit="1" customWidth="1"/>
  </cols>
  <sheetData>
    <row r="1" spans="1:10" x14ac:dyDescent="0.25">
      <c r="A1" t="s">
        <v>42</v>
      </c>
    </row>
    <row r="2" spans="1:10" x14ac:dyDescent="0.25">
      <c r="A2" t="s">
        <v>50</v>
      </c>
    </row>
    <row r="6" spans="1:10" x14ac:dyDescent="0.25">
      <c r="B6" s="1" t="s">
        <v>43</v>
      </c>
      <c r="F6" s="122" t="s">
        <v>105</v>
      </c>
      <c r="G6" s="122"/>
      <c r="H6" s="123"/>
      <c r="I6" s="123"/>
      <c r="J6" s="123"/>
    </row>
    <row r="7" spans="1:10" x14ac:dyDescent="0.25">
      <c r="A7" s="2" t="s">
        <v>4</v>
      </c>
      <c r="B7" s="2" t="s">
        <v>44</v>
      </c>
      <c r="D7" s="1" t="s">
        <v>45</v>
      </c>
      <c r="F7" s="124" t="s">
        <v>44</v>
      </c>
      <c r="G7" s="124"/>
      <c r="H7" s="123"/>
      <c r="I7" s="123"/>
      <c r="J7" s="123"/>
    </row>
    <row r="8" spans="1:10" x14ac:dyDescent="0.25">
      <c r="D8" s="1" t="s">
        <v>46</v>
      </c>
      <c r="F8" s="123"/>
      <c r="G8" s="123"/>
      <c r="H8" s="123"/>
      <c r="I8" s="123" t="s">
        <v>104</v>
      </c>
      <c r="J8" s="123" t="s">
        <v>104</v>
      </c>
    </row>
    <row r="9" spans="1:10" x14ac:dyDescent="0.25">
      <c r="A9" t="s">
        <v>5</v>
      </c>
      <c r="B9" s="5">
        <f>'Tracking Accounts'!G18</f>
        <v>-1162059.0500000003</v>
      </c>
      <c r="C9" s="5">
        <f>+B9+B10</f>
        <v>-1277936.2200000002</v>
      </c>
      <c r="D9" s="47">
        <f>+C9/C13</f>
        <v>0.90498887852712773</v>
      </c>
      <c r="F9" s="125">
        <v>-1162059.0500000003</v>
      </c>
      <c r="G9" s="125">
        <v>-1277936.2200000002</v>
      </c>
      <c r="H9" s="123"/>
      <c r="I9" s="125">
        <f>+B9-F9</f>
        <v>0</v>
      </c>
      <c r="J9" s="125">
        <f>+C9-G9</f>
        <v>0</v>
      </c>
    </row>
    <row r="10" spans="1:10" x14ac:dyDescent="0.25">
      <c r="A10" t="s">
        <v>1</v>
      </c>
      <c r="B10" s="4">
        <f>'Tracking Accounts'!O18</f>
        <v>-115877.16999999995</v>
      </c>
      <c r="D10" s="47"/>
      <c r="F10" s="126">
        <v>-115877.16999999995</v>
      </c>
      <c r="G10" s="126"/>
      <c r="H10" s="123"/>
      <c r="I10" s="125">
        <f t="shared" ref="I10:J15" si="0">+B10-F10</f>
        <v>0</v>
      </c>
      <c r="J10" s="125">
        <f t="shared" si="0"/>
        <v>0</v>
      </c>
    </row>
    <row r="11" spans="1:10" x14ac:dyDescent="0.25">
      <c r="A11" t="s">
        <v>94</v>
      </c>
      <c r="B11" s="4">
        <f>+'Interest for 2019 Period'!H22</f>
        <v>-40250.496935935</v>
      </c>
      <c r="C11" s="4">
        <f>+B11+B12</f>
        <v>-134165.35419817717</v>
      </c>
      <c r="D11" s="47">
        <f>+C11/C13</f>
        <v>9.5011121472872259E-2</v>
      </c>
      <c r="F11" s="126">
        <v>-33107.044323345101</v>
      </c>
      <c r="G11" s="126">
        <v>-112614.83502794735</v>
      </c>
      <c r="H11" s="123"/>
      <c r="I11" s="125">
        <f t="shared" si="0"/>
        <v>-7143.4526125898992</v>
      </c>
      <c r="J11" s="125">
        <f t="shared" si="0"/>
        <v>-21550.519170229818</v>
      </c>
    </row>
    <row r="12" spans="1:10" x14ac:dyDescent="0.25">
      <c r="A12" t="s">
        <v>2</v>
      </c>
      <c r="B12" s="4">
        <f>+'Tracking Accounts'!G60</f>
        <v>-93914.857262242178</v>
      </c>
      <c r="F12" s="126">
        <v>-79507.790704602259</v>
      </c>
      <c r="G12" s="126"/>
      <c r="H12" s="123"/>
      <c r="I12" s="125">
        <f t="shared" si="0"/>
        <v>-14407.066557639919</v>
      </c>
      <c r="J12" s="125">
        <f t="shared" si="0"/>
        <v>0</v>
      </c>
    </row>
    <row r="13" spans="1:10" x14ac:dyDescent="0.25">
      <c r="B13" s="6">
        <f>SUM(B9:B12)</f>
        <v>-1412101.5741981773</v>
      </c>
      <c r="C13" s="92">
        <f>SUM(C9:C12)</f>
        <v>-1412101.5741981773</v>
      </c>
      <c r="D13" s="48">
        <f>SUM(D9:D12)</f>
        <v>1</v>
      </c>
      <c r="F13" s="127">
        <v>-1390551.0550279478</v>
      </c>
      <c r="G13" s="127">
        <v>-1390551.0550279475</v>
      </c>
      <c r="H13" s="123"/>
      <c r="I13" s="125">
        <f t="shared" si="0"/>
        <v>-21550.519170229556</v>
      </c>
      <c r="J13" s="125">
        <f t="shared" si="0"/>
        <v>-21550.519170229789</v>
      </c>
    </row>
    <row r="14" spans="1:10" x14ac:dyDescent="0.25">
      <c r="A14" t="s">
        <v>0</v>
      </c>
      <c r="B14" s="3">
        <f>'Conv F and COC UE-180282'!E19</f>
        <v>0.95238599999999995</v>
      </c>
      <c r="F14" s="128">
        <v>0.95238599999999995</v>
      </c>
      <c r="G14" s="128"/>
      <c r="H14" s="123"/>
      <c r="I14" s="125">
        <f t="shared" si="0"/>
        <v>0</v>
      </c>
      <c r="J14" s="125">
        <f t="shared" si="0"/>
        <v>0</v>
      </c>
    </row>
    <row r="15" spans="1:10" ht="15.75" thickBot="1" x14ac:dyDescent="0.3">
      <c r="A15" t="s">
        <v>3</v>
      </c>
      <c r="B15" s="7">
        <f>B13/B14</f>
        <v>-1482698.7946044749</v>
      </c>
      <c r="F15" s="129">
        <v>-1460070.8694037374</v>
      </c>
      <c r="G15" s="129"/>
      <c r="H15" s="123"/>
      <c r="I15" s="125">
        <f t="shared" si="0"/>
        <v>-22627.925200737547</v>
      </c>
      <c r="J15" s="125">
        <f t="shared" si="0"/>
        <v>0</v>
      </c>
    </row>
    <row r="16" spans="1:10" ht="15.75" thickTop="1" x14ac:dyDescent="0.25"/>
  </sheetData>
  <pageMargins left="0.7" right="0.7" top="0.75" bottom="0.75" header="0.3" footer="0.3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zoomScaleNormal="100" workbookViewId="0">
      <pane ySplit="1" topLeftCell="A27" activePane="bottomLeft" state="frozen"/>
      <selection activeCell="B12" sqref="B12:H14"/>
      <selection pane="bottomLeft" activeCell="G60" sqref="G60"/>
    </sheetView>
  </sheetViews>
  <sheetFormatPr defaultRowHeight="15" x14ac:dyDescent="0.25"/>
  <cols>
    <col min="3" max="3" width="47.7109375" customWidth="1"/>
    <col min="4" max="4" width="11.140625" bestFit="1" customWidth="1"/>
    <col min="5" max="5" width="11.7109375" bestFit="1" customWidth="1"/>
    <col min="6" max="6" width="20.140625" customWidth="1"/>
    <col min="7" max="7" width="17.28515625" bestFit="1" customWidth="1"/>
    <col min="11" max="11" width="47.85546875" customWidth="1"/>
    <col min="12" max="12" width="10.28515625" bestFit="1" customWidth="1"/>
    <col min="13" max="14" width="10.7109375" bestFit="1" customWidth="1"/>
    <col min="15" max="15" width="17.28515625" bestFit="1" customWidth="1"/>
  </cols>
  <sheetData>
    <row r="1" spans="2:16" x14ac:dyDescent="0.25">
      <c r="B1" s="49" t="s">
        <v>49</v>
      </c>
    </row>
    <row r="4" spans="2:16" x14ac:dyDescent="0.25">
      <c r="B4" s="16"/>
      <c r="C4" s="14"/>
      <c r="D4" s="14"/>
      <c r="E4" s="14"/>
      <c r="F4" s="14"/>
      <c r="G4" s="14"/>
      <c r="H4" s="12"/>
      <c r="J4" s="16"/>
      <c r="K4" s="14"/>
      <c r="L4" s="14"/>
      <c r="M4" s="14"/>
      <c r="N4" s="14"/>
      <c r="O4" s="14"/>
      <c r="P4" s="12"/>
    </row>
    <row r="5" spans="2:16" x14ac:dyDescent="0.25">
      <c r="B5" s="10"/>
      <c r="C5" s="18" t="s">
        <v>41</v>
      </c>
      <c r="D5" s="17"/>
      <c r="E5" s="17"/>
      <c r="F5" s="17"/>
      <c r="G5" s="17"/>
      <c r="H5" s="15"/>
      <c r="J5" s="10"/>
      <c r="K5" s="17" t="s">
        <v>40</v>
      </c>
      <c r="L5" s="17"/>
      <c r="M5" s="17"/>
      <c r="N5" s="17"/>
      <c r="O5" s="17"/>
      <c r="P5" s="15"/>
    </row>
    <row r="6" spans="2:16" x14ac:dyDescent="0.25">
      <c r="B6" s="10"/>
      <c r="C6" s="17"/>
      <c r="D6" s="17"/>
      <c r="E6" s="17"/>
      <c r="F6" s="17"/>
      <c r="G6" s="17"/>
      <c r="H6" s="15"/>
      <c r="J6" s="10"/>
      <c r="K6" s="17"/>
      <c r="L6" s="17"/>
      <c r="M6" s="17"/>
      <c r="N6" s="17"/>
      <c r="O6" s="17"/>
      <c r="P6" s="15"/>
    </row>
    <row r="7" spans="2:16" x14ac:dyDescent="0.25">
      <c r="B7" s="10"/>
      <c r="C7" s="19" t="s">
        <v>6</v>
      </c>
      <c r="D7" s="19" t="s">
        <v>7</v>
      </c>
      <c r="E7" s="19" t="s">
        <v>8</v>
      </c>
      <c r="F7" s="19" t="s">
        <v>9</v>
      </c>
      <c r="G7" s="19" t="s">
        <v>10</v>
      </c>
      <c r="H7" s="15"/>
      <c r="J7" s="10"/>
      <c r="K7" s="8" t="s">
        <v>6</v>
      </c>
      <c r="L7" s="8" t="s">
        <v>7</v>
      </c>
      <c r="M7" s="8" t="s">
        <v>8</v>
      </c>
      <c r="N7" s="8" t="s">
        <v>9</v>
      </c>
      <c r="O7" s="8" t="s">
        <v>10</v>
      </c>
      <c r="P7" s="15"/>
    </row>
    <row r="8" spans="2:16" x14ac:dyDescent="0.25">
      <c r="B8" s="10"/>
      <c r="C8" s="13" t="s">
        <v>11</v>
      </c>
      <c r="D8" s="11">
        <v>0</v>
      </c>
      <c r="E8" s="11">
        <v>0</v>
      </c>
      <c r="F8" s="11">
        <f t="shared" ref="F8:F24" si="0">+D8-E8</f>
        <v>0</v>
      </c>
      <c r="G8" s="11">
        <v>-1196228.01</v>
      </c>
      <c r="H8" s="15"/>
      <c r="J8" s="10"/>
      <c r="K8" s="23" t="s">
        <v>11</v>
      </c>
      <c r="L8" s="24">
        <v>0</v>
      </c>
      <c r="M8" s="24">
        <v>0</v>
      </c>
      <c r="N8" s="24">
        <v>0</v>
      </c>
      <c r="O8" s="50">
        <v>15030.31</v>
      </c>
      <c r="P8" s="15"/>
    </row>
    <row r="9" spans="2:16" x14ac:dyDescent="0.25">
      <c r="B9" s="10"/>
      <c r="C9" s="13" t="s">
        <v>12</v>
      </c>
      <c r="D9" s="11">
        <v>574403.23</v>
      </c>
      <c r="E9" s="11">
        <v>0</v>
      </c>
      <c r="F9" s="11">
        <f t="shared" si="0"/>
        <v>574403.23</v>
      </c>
      <c r="G9" s="11">
        <f t="shared" ref="G9:G24" si="1">+G8+F9</f>
        <v>-621824.78</v>
      </c>
      <c r="H9" s="15"/>
      <c r="J9" s="10"/>
      <c r="K9" s="23" t="s">
        <v>12</v>
      </c>
      <c r="L9" s="24">
        <v>56312.39</v>
      </c>
      <c r="M9" s="24">
        <v>571754.31999999995</v>
      </c>
      <c r="N9" s="11">
        <f t="shared" ref="N9:N24" si="2">+L9-M9</f>
        <v>-515441.92999999993</v>
      </c>
      <c r="O9" s="11">
        <f t="shared" ref="O9:O24" si="3">+O8+N9</f>
        <v>-500411.61999999994</v>
      </c>
      <c r="P9" s="15"/>
    </row>
    <row r="10" spans="2:16" x14ac:dyDescent="0.25">
      <c r="B10" s="10"/>
      <c r="C10" s="13" t="s">
        <v>13</v>
      </c>
      <c r="D10" s="11">
        <v>1728.98</v>
      </c>
      <c r="E10" s="11">
        <v>135695</v>
      </c>
      <c r="F10" s="11">
        <f t="shared" si="0"/>
        <v>-133966.01999999999</v>
      </c>
      <c r="G10" s="11">
        <f t="shared" si="1"/>
        <v>-755790.8</v>
      </c>
      <c r="H10" s="15"/>
      <c r="J10" s="10"/>
      <c r="K10" s="23" t="s">
        <v>13</v>
      </c>
      <c r="L10" s="24">
        <v>85003.75</v>
      </c>
      <c r="M10" s="24">
        <v>34102.449999999997</v>
      </c>
      <c r="N10" s="11">
        <f t="shared" si="2"/>
        <v>50901.3</v>
      </c>
      <c r="O10" s="11">
        <f t="shared" si="3"/>
        <v>-449510.31999999995</v>
      </c>
      <c r="P10" s="15"/>
    </row>
    <row r="11" spans="2:16" x14ac:dyDescent="0.25">
      <c r="B11" s="10"/>
      <c r="C11" s="13" t="s">
        <v>14</v>
      </c>
      <c r="D11" s="11">
        <v>1228.05</v>
      </c>
      <c r="E11" s="11">
        <v>72000</v>
      </c>
      <c r="F11" s="11">
        <f t="shared" si="0"/>
        <v>-70771.95</v>
      </c>
      <c r="G11" s="11">
        <f t="shared" si="1"/>
        <v>-826562.75</v>
      </c>
      <c r="H11" s="15"/>
      <c r="J11" s="10"/>
      <c r="K11" s="23" t="s">
        <v>14</v>
      </c>
      <c r="L11" s="24">
        <v>81601.47</v>
      </c>
      <c r="M11" s="24">
        <v>32161.98</v>
      </c>
      <c r="N11" s="11">
        <f t="shared" si="2"/>
        <v>49439.490000000005</v>
      </c>
      <c r="O11" s="11">
        <f t="shared" si="3"/>
        <v>-400070.82999999996</v>
      </c>
      <c r="P11" s="15"/>
    </row>
    <row r="12" spans="2:16" x14ac:dyDescent="0.25">
      <c r="B12" s="10"/>
      <c r="C12" s="13" t="s">
        <v>15</v>
      </c>
      <c r="D12" s="11">
        <v>2374.9299999999998</v>
      </c>
      <c r="E12" s="11">
        <v>90000</v>
      </c>
      <c r="F12" s="11">
        <f t="shared" si="0"/>
        <v>-87625.07</v>
      </c>
      <c r="G12" s="11">
        <f t="shared" si="1"/>
        <v>-914187.82000000007</v>
      </c>
      <c r="H12" s="15"/>
      <c r="J12" s="10"/>
      <c r="K12" s="23" t="s">
        <v>15</v>
      </c>
      <c r="L12" s="24">
        <v>72971.429999999993</v>
      </c>
      <c r="M12" s="24">
        <v>29490.29</v>
      </c>
      <c r="N12" s="11">
        <f t="shared" si="2"/>
        <v>43481.139999999992</v>
      </c>
      <c r="O12" s="11">
        <f t="shared" si="3"/>
        <v>-356589.68999999994</v>
      </c>
      <c r="P12" s="15"/>
    </row>
    <row r="13" spans="2:16" x14ac:dyDescent="0.25">
      <c r="B13" s="10"/>
      <c r="C13" s="13" t="s">
        <v>16</v>
      </c>
      <c r="D13" s="11">
        <v>1229.5899999999999</v>
      </c>
      <c r="E13" s="11">
        <v>0</v>
      </c>
      <c r="F13" s="11">
        <f t="shared" si="0"/>
        <v>1229.5899999999999</v>
      </c>
      <c r="G13" s="11">
        <f t="shared" si="1"/>
        <v>-912958.2300000001</v>
      </c>
      <c r="H13" s="15"/>
      <c r="J13" s="10"/>
      <c r="K13" s="23" t="s">
        <v>16</v>
      </c>
      <c r="L13" s="24">
        <v>65597.64</v>
      </c>
      <c r="M13" s="24">
        <v>26647.33</v>
      </c>
      <c r="N13" s="11">
        <f t="shared" si="2"/>
        <v>38950.31</v>
      </c>
      <c r="O13" s="11">
        <f t="shared" si="3"/>
        <v>-317639.37999999995</v>
      </c>
      <c r="P13" s="15"/>
    </row>
    <row r="14" spans="2:16" x14ac:dyDescent="0.25">
      <c r="B14" s="10"/>
      <c r="C14" s="13" t="s">
        <v>17</v>
      </c>
      <c r="D14" s="11">
        <v>13203.09</v>
      </c>
      <c r="E14" s="11">
        <v>0</v>
      </c>
      <c r="F14" s="11">
        <f t="shared" si="0"/>
        <v>13203.09</v>
      </c>
      <c r="G14" s="11">
        <f t="shared" si="1"/>
        <v>-899755.14000000013</v>
      </c>
      <c r="H14" s="15"/>
      <c r="J14" s="10"/>
      <c r="K14" s="23" t="s">
        <v>17</v>
      </c>
      <c r="L14" s="24">
        <v>63381.94</v>
      </c>
      <c r="M14" s="24">
        <v>25140.44</v>
      </c>
      <c r="N14" s="11">
        <f t="shared" si="2"/>
        <v>38241.5</v>
      </c>
      <c r="O14" s="11">
        <f t="shared" si="3"/>
        <v>-279397.87999999995</v>
      </c>
      <c r="P14" s="15"/>
    </row>
    <row r="15" spans="2:16" x14ac:dyDescent="0.25">
      <c r="B15" s="10"/>
      <c r="C15" s="13" t="s">
        <v>18</v>
      </c>
      <c r="D15" s="11">
        <v>6075.21</v>
      </c>
      <c r="E15" s="11">
        <v>142992.5</v>
      </c>
      <c r="F15" s="11">
        <f t="shared" si="0"/>
        <v>-136917.29</v>
      </c>
      <c r="G15" s="11">
        <f t="shared" si="1"/>
        <v>-1036672.4300000002</v>
      </c>
      <c r="H15" s="15"/>
      <c r="J15" s="10"/>
      <c r="K15" s="23" t="s">
        <v>18</v>
      </c>
      <c r="L15" s="24">
        <v>67793.91</v>
      </c>
      <c r="M15" s="24">
        <v>25325.29</v>
      </c>
      <c r="N15" s="11">
        <f t="shared" si="2"/>
        <v>42468.62</v>
      </c>
      <c r="O15" s="11">
        <f t="shared" si="3"/>
        <v>-236929.25999999995</v>
      </c>
      <c r="P15" s="15"/>
    </row>
    <row r="16" spans="2:16" x14ac:dyDescent="0.25">
      <c r="B16" s="10"/>
      <c r="C16" s="13" t="s">
        <v>19</v>
      </c>
      <c r="D16" s="11">
        <v>9841.09</v>
      </c>
      <c r="E16" s="11">
        <v>0</v>
      </c>
      <c r="F16" s="11">
        <f t="shared" si="0"/>
        <v>9841.09</v>
      </c>
      <c r="G16" s="11">
        <f t="shared" si="1"/>
        <v>-1026831.3400000002</v>
      </c>
      <c r="H16" s="15"/>
      <c r="J16" s="10"/>
      <c r="K16" s="23" t="s">
        <v>19</v>
      </c>
      <c r="L16" s="24">
        <v>69227.179999999993</v>
      </c>
      <c r="M16" s="24">
        <v>28725.759999999998</v>
      </c>
      <c r="N16" s="11">
        <f t="shared" si="2"/>
        <v>40501.42</v>
      </c>
      <c r="O16" s="11">
        <f t="shared" si="3"/>
        <v>-196427.83999999997</v>
      </c>
      <c r="P16" s="15"/>
    </row>
    <row r="17" spans="2:16" x14ac:dyDescent="0.25">
      <c r="B17" s="10"/>
      <c r="C17" s="13" t="s">
        <v>20</v>
      </c>
      <c r="D17" s="11">
        <v>9294.19</v>
      </c>
      <c r="E17" s="11">
        <v>0</v>
      </c>
      <c r="F17" s="11">
        <f t="shared" si="0"/>
        <v>9294.19</v>
      </c>
      <c r="G17" s="11">
        <f t="shared" si="1"/>
        <v>-1017537.1500000003</v>
      </c>
      <c r="H17" s="15"/>
      <c r="J17" s="10"/>
      <c r="K17" s="23" t="s">
        <v>20</v>
      </c>
      <c r="L17" s="24">
        <v>63704.45</v>
      </c>
      <c r="M17" s="24">
        <v>26526.26</v>
      </c>
      <c r="N17" s="11">
        <f t="shared" si="2"/>
        <v>37178.19</v>
      </c>
      <c r="O17" s="11">
        <f t="shared" si="3"/>
        <v>-159249.64999999997</v>
      </c>
      <c r="P17" s="15"/>
    </row>
    <row r="18" spans="2:16" x14ac:dyDescent="0.25">
      <c r="B18" s="10"/>
      <c r="C18" s="54" t="s">
        <v>21</v>
      </c>
      <c r="D18" s="55">
        <v>145638.1</v>
      </c>
      <c r="E18" s="55">
        <v>290160</v>
      </c>
      <c r="F18" s="55">
        <f t="shared" si="0"/>
        <v>-144521.9</v>
      </c>
      <c r="G18" s="55">
        <f t="shared" si="1"/>
        <v>-1162059.0500000003</v>
      </c>
      <c r="H18" s="15"/>
      <c r="J18" s="10"/>
      <c r="K18" s="56" t="s">
        <v>21</v>
      </c>
      <c r="L18" s="57">
        <v>67301.440000000002</v>
      </c>
      <c r="M18" s="57">
        <v>23928.959999999999</v>
      </c>
      <c r="N18" s="55">
        <f t="shared" si="2"/>
        <v>43372.480000000003</v>
      </c>
      <c r="O18" s="55">
        <f t="shared" si="3"/>
        <v>-115877.16999999995</v>
      </c>
      <c r="P18" s="15"/>
    </row>
    <row r="19" spans="2:16" x14ac:dyDescent="0.25">
      <c r="B19" s="10"/>
      <c r="C19" s="13" t="s">
        <v>22</v>
      </c>
      <c r="D19" s="11"/>
      <c r="E19" s="11"/>
      <c r="F19" s="11">
        <f t="shared" si="0"/>
        <v>0</v>
      </c>
      <c r="G19" s="11">
        <f t="shared" si="1"/>
        <v>-1162059.0500000003</v>
      </c>
      <c r="H19" s="15"/>
      <c r="J19" s="10"/>
      <c r="K19" s="23" t="s">
        <v>22</v>
      </c>
      <c r="L19" s="24"/>
      <c r="M19" s="24"/>
      <c r="N19" s="11">
        <f t="shared" si="2"/>
        <v>0</v>
      </c>
      <c r="O19" s="11">
        <f t="shared" si="3"/>
        <v>-115877.16999999995</v>
      </c>
      <c r="P19" s="15"/>
    </row>
    <row r="20" spans="2:16" x14ac:dyDescent="0.25">
      <c r="B20" s="10"/>
      <c r="C20" s="13" t="s">
        <v>23</v>
      </c>
      <c r="D20" s="11"/>
      <c r="E20" s="11"/>
      <c r="F20" s="11">
        <f t="shared" si="0"/>
        <v>0</v>
      </c>
      <c r="G20" s="11">
        <f t="shared" si="1"/>
        <v>-1162059.0500000003</v>
      </c>
      <c r="H20" s="15"/>
      <c r="J20" s="10"/>
      <c r="K20" s="23" t="s">
        <v>23</v>
      </c>
      <c r="L20" s="24"/>
      <c r="M20" s="24"/>
      <c r="N20" s="11">
        <f t="shared" si="2"/>
        <v>0</v>
      </c>
      <c r="O20" s="11">
        <f t="shared" si="3"/>
        <v>-115877.16999999995</v>
      </c>
      <c r="P20" s="15"/>
    </row>
    <row r="21" spans="2:16" x14ac:dyDescent="0.25">
      <c r="B21" s="10"/>
      <c r="C21" s="13" t="s">
        <v>24</v>
      </c>
      <c r="D21" s="11"/>
      <c r="E21" s="11"/>
      <c r="F21" s="11">
        <f t="shared" si="0"/>
        <v>0</v>
      </c>
      <c r="G21" s="11">
        <f t="shared" si="1"/>
        <v>-1162059.0500000003</v>
      </c>
      <c r="H21" s="15"/>
      <c r="J21" s="10"/>
      <c r="K21" s="23" t="s">
        <v>24</v>
      </c>
      <c r="L21" s="24"/>
      <c r="M21" s="24"/>
      <c r="N21" s="11">
        <f t="shared" si="2"/>
        <v>0</v>
      </c>
      <c r="O21" s="11">
        <f t="shared" si="3"/>
        <v>-115877.16999999995</v>
      </c>
      <c r="P21" s="15"/>
    </row>
    <row r="22" spans="2:16" x14ac:dyDescent="0.25">
      <c r="B22" s="10"/>
      <c r="C22" s="13" t="s">
        <v>25</v>
      </c>
      <c r="D22" s="11"/>
      <c r="E22" s="11"/>
      <c r="F22" s="11">
        <f t="shared" si="0"/>
        <v>0</v>
      </c>
      <c r="G22" s="11">
        <f t="shared" si="1"/>
        <v>-1162059.0500000003</v>
      </c>
      <c r="H22" s="15"/>
      <c r="J22" s="10"/>
      <c r="K22" s="23" t="s">
        <v>25</v>
      </c>
      <c r="L22" s="24"/>
      <c r="M22" s="24"/>
      <c r="N22" s="11">
        <f t="shared" si="2"/>
        <v>0</v>
      </c>
      <c r="O22" s="11">
        <f t="shared" si="3"/>
        <v>-115877.16999999995</v>
      </c>
      <c r="P22" s="15"/>
    </row>
    <row r="23" spans="2:16" x14ac:dyDescent="0.25">
      <c r="B23" s="10"/>
      <c r="C23" s="13" t="s">
        <v>26</v>
      </c>
      <c r="D23" s="11"/>
      <c r="E23" s="11"/>
      <c r="F23" s="11">
        <f t="shared" si="0"/>
        <v>0</v>
      </c>
      <c r="G23" s="11">
        <f t="shared" si="1"/>
        <v>-1162059.0500000003</v>
      </c>
      <c r="H23" s="15"/>
      <c r="J23" s="10"/>
      <c r="K23" s="23" t="s">
        <v>26</v>
      </c>
      <c r="L23" s="24"/>
      <c r="M23" s="24"/>
      <c r="N23" s="11">
        <f t="shared" si="2"/>
        <v>0</v>
      </c>
      <c r="O23" s="11">
        <f t="shared" si="3"/>
        <v>-115877.16999999995</v>
      </c>
      <c r="P23" s="15"/>
    </row>
    <row r="24" spans="2:16" x14ac:dyDescent="0.25">
      <c r="B24" s="10"/>
      <c r="C24" s="13" t="s">
        <v>27</v>
      </c>
      <c r="D24" s="11"/>
      <c r="E24" s="11"/>
      <c r="F24" s="11">
        <f t="shared" si="0"/>
        <v>0</v>
      </c>
      <c r="G24" s="11">
        <f t="shared" si="1"/>
        <v>-1162059.0500000003</v>
      </c>
      <c r="H24" s="15"/>
      <c r="J24" s="10"/>
      <c r="K24" s="23" t="s">
        <v>27</v>
      </c>
      <c r="L24" s="24"/>
      <c r="M24" s="24"/>
      <c r="N24" s="11">
        <f t="shared" si="2"/>
        <v>0</v>
      </c>
      <c r="O24" s="11">
        <f t="shared" si="3"/>
        <v>-115877.16999999995</v>
      </c>
      <c r="P24" s="15"/>
    </row>
    <row r="25" spans="2:16" x14ac:dyDescent="0.25">
      <c r="B25" s="10"/>
      <c r="C25" s="13" t="s">
        <v>28</v>
      </c>
      <c r="D25" s="11"/>
      <c r="E25" s="11"/>
      <c r="F25" s="11"/>
      <c r="G25" s="11">
        <f>+G24</f>
        <v>-1162059.0500000003</v>
      </c>
      <c r="H25" s="15"/>
      <c r="J25" s="10"/>
      <c r="K25" s="23" t="s">
        <v>28</v>
      </c>
      <c r="L25" s="11"/>
      <c r="M25" s="11"/>
      <c r="N25" s="11"/>
      <c r="O25" s="11">
        <f>+O24</f>
        <v>-115877.16999999995</v>
      </c>
      <c r="P25" s="15"/>
    </row>
    <row r="26" spans="2:16" x14ac:dyDescent="0.25">
      <c r="B26" s="10"/>
      <c r="C26" s="17"/>
      <c r="D26" s="17"/>
      <c r="E26" s="17"/>
      <c r="F26" s="17"/>
      <c r="G26" s="17"/>
      <c r="H26" s="15"/>
      <c r="J26" s="10"/>
      <c r="K26" s="17"/>
      <c r="L26" s="17"/>
      <c r="M26" s="17"/>
      <c r="N26" s="17"/>
      <c r="O26" s="17"/>
      <c r="P26" s="15"/>
    </row>
    <row r="27" spans="2:16" x14ac:dyDescent="0.25">
      <c r="B27" s="10"/>
      <c r="C27" s="17" t="s">
        <v>29</v>
      </c>
      <c r="D27" s="17"/>
      <c r="E27" s="17"/>
      <c r="F27" s="17"/>
      <c r="G27" s="9">
        <v>0</v>
      </c>
      <c r="H27" s="15"/>
      <c r="J27" s="10"/>
      <c r="K27" s="17" t="s">
        <v>29</v>
      </c>
      <c r="L27" s="17"/>
      <c r="M27" s="17"/>
      <c r="N27" s="17"/>
      <c r="O27" s="9">
        <v>0</v>
      </c>
      <c r="P27" s="15"/>
    </row>
    <row r="28" spans="2:16" x14ac:dyDescent="0.25">
      <c r="B28" s="20"/>
      <c r="C28" s="21"/>
      <c r="D28" s="21"/>
      <c r="E28" s="21"/>
      <c r="F28" s="21"/>
      <c r="G28" s="21"/>
      <c r="H28" s="22"/>
      <c r="J28" s="20"/>
      <c r="K28" s="21"/>
      <c r="L28" s="21"/>
      <c r="M28" s="21"/>
      <c r="N28" s="21"/>
      <c r="O28" s="21"/>
      <c r="P28" s="22"/>
    </row>
    <row r="30" spans="2:16" x14ac:dyDescent="0.25">
      <c r="B30" s="16"/>
      <c r="C30" s="14"/>
      <c r="D30" s="14"/>
      <c r="E30" s="14"/>
      <c r="F30" s="14"/>
      <c r="G30" s="14"/>
      <c r="H30" s="12"/>
      <c r="J30" s="16"/>
      <c r="K30" s="14"/>
      <c r="L30" s="14"/>
      <c r="M30" s="14"/>
      <c r="N30" s="14"/>
      <c r="O30" s="14"/>
      <c r="P30" s="12"/>
    </row>
    <row r="31" spans="2:16" x14ac:dyDescent="0.25">
      <c r="B31" s="10"/>
      <c r="C31" s="17" t="s">
        <v>48</v>
      </c>
      <c r="D31" s="17"/>
      <c r="E31" s="17"/>
      <c r="F31" s="17"/>
      <c r="G31" s="17"/>
      <c r="H31" s="15"/>
      <c r="J31" s="10"/>
      <c r="K31" s="17" t="s">
        <v>47</v>
      </c>
      <c r="L31" s="17"/>
      <c r="M31" s="17"/>
      <c r="N31" s="17"/>
      <c r="O31" s="17"/>
      <c r="P31" s="15"/>
    </row>
    <row r="32" spans="2:16" x14ac:dyDescent="0.25">
      <c r="B32" s="10"/>
      <c r="C32" s="17"/>
      <c r="D32" s="17"/>
      <c r="E32" s="17"/>
      <c r="F32" s="17"/>
      <c r="G32" s="17"/>
      <c r="H32" s="15"/>
      <c r="J32" s="10"/>
      <c r="K32" s="17"/>
      <c r="L32" s="17"/>
      <c r="M32" s="17"/>
      <c r="N32" s="17"/>
      <c r="O32" s="17"/>
      <c r="P32" s="15"/>
    </row>
    <row r="33" spans="2:16" x14ac:dyDescent="0.25">
      <c r="B33" s="10"/>
      <c r="C33" s="45" t="s">
        <v>6</v>
      </c>
      <c r="D33" s="45" t="s">
        <v>7</v>
      </c>
      <c r="E33" s="45" t="s">
        <v>8</v>
      </c>
      <c r="F33" s="45" t="s">
        <v>9</v>
      </c>
      <c r="G33" s="45" t="s">
        <v>10</v>
      </c>
      <c r="H33" s="15"/>
      <c r="J33" s="10"/>
      <c r="K33" s="45" t="s">
        <v>6</v>
      </c>
      <c r="L33" s="45" t="s">
        <v>7</v>
      </c>
      <c r="M33" s="45" t="s">
        <v>8</v>
      </c>
      <c r="N33" s="45" t="s">
        <v>9</v>
      </c>
      <c r="O33" s="45" t="s">
        <v>10</v>
      </c>
      <c r="P33" s="15"/>
    </row>
    <row r="34" spans="2:16" x14ac:dyDescent="0.25">
      <c r="B34" s="10"/>
      <c r="C34" s="25" t="s">
        <v>11</v>
      </c>
      <c r="D34" s="26">
        <v>0</v>
      </c>
      <c r="E34" s="26">
        <v>0</v>
      </c>
      <c r="F34" s="11">
        <f t="shared" ref="F34:F50" si="4">+D34-E34</f>
        <v>0</v>
      </c>
      <c r="G34" s="26">
        <v>-41961.24</v>
      </c>
      <c r="H34" s="15"/>
      <c r="J34" s="10"/>
      <c r="K34" s="25" t="s">
        <v>11</v>
      </c>
      <c r="L34" s="26">
        <v>0</v>
      </c>
      <c r="M34" s="26">
        <v>0</v>
      </c>
      <c r="N34" s="11">
        <f t="shared" ref="N34:N50" si="5">+L34-M34</f>
        <v>0</v>
      </c>
      <c r="O34" s="26">
        <v>-28669.360000000001</v>
      </c>
      <c r="P34" s="15"/>
    </row>
    <row r="35" spans="2:16" x14ac:dyDescent="0.25">
      <c r="B35" s="10"/>
      <c r="C35" s="25" t="s">
        <v>12</v>
      </c>
      <c r="D35" s="26">
        <v>31062.12</v>
      </c>
      <c r="E35" s="26">
        <v>5067.82</v>
      </c>
      <c r="F35" s="11">
        <f t="shared" si="4"/>
        <v>25994.3</v>
      </c>
      <c r="G35" s="11">
        <f t="shared" ref="G35:G50" si="6">+G34+F35</f>
        <v>-15966.939999999999</v>
      </c>
      <c r="H35" s="15"/>
      <c r="J35" s="10"/>
      <c r="K35" s="25" t="s">
        <v>12</v>
      </c>
      <c r="L35" s="26">
        <v>8621.75</v>
      </c>
      <c r="M35" s="26">
        <v>38540.839999999997</v>
      </c>
      <c r="N35" s="11">
        <f t="shared" si="5"/>
        <v>-29919.089999999997</v>
      </c>
      <c r="O35" s="11">
        <f t="shared" ref="O35:O50" si="7">+O34+N35</f>
        <v>-58588.45</v>
      </c>
      <c r="P35" s="15"/>
    </row>
    <row r="36" spans="2:16" x14ac:dyDescent="0.25">
      <c r="B36" s="10"/>
      <c r="C36" s="25" t="s">
        <v>13</v>
      </c>
      <c r="D36" s="26">
        <v>0</v>
      </c>
      <c r="E36" s="26">
        <v>3840.1</v>
      </c>
      <c r="F36" s="11">
        <f t="shared" si="4"/>
        <v>-3840.1</v>
      </c>
      <c r="G36" s="11">
        <f t="shared" si="6"/>
        <v>-19807.039999999997</v>
      </c>
      <c r="H36" s="15"/>
      <c r="J36" s="10"/>
      <c r="K36" s="25" t="s">
        <v>13</v>
      </c>
      <c r="L36" s="26">
        <v>13014.57</v>
      </c>
      <c r="M36" s="26">
        <v>7581.14</v>
      </c>
      <c r="N36" s="11">
        <f t="shared" si="5"/>
        <v>5433.4299999999994</v>
      </c>
      <c r="O36" s="11">
        <f t="shared" si="7"/>
        <v>-53155.02</v>
      </c>
      <c r="P36" s="15"/>
    </row>
    <row r="37" spans="2:16" x14ac:dyDescent="0.25">
      <c r="B37" s="10"/>
      <c r="C37" s="25" t="s">
        <v>14</v>
      </c>
      <c r="D37" s="26">
        <v>0</v>
      </c>
      <c r="E37" s="26">
        <v>4410.8100000000004</v>
      </c>
      <c r="F37" s="11">
        <f t="shared" si="4"/>
        <v>-4410.8100000000004</v>
      </c>
      <c r="G37" s="11">
        <f t="shared" si="6"/>
        <v>-24217.85</v>
      </c>
      <c r="H37" s="15"/>
      <c r="J37" s="10"/>
      <c r="K37" s="25" t="s">
        <v>14</v>
      </c>
      <c r="L37" s="26">
        <v>12493.65</v>
      </c>
      <c r="M37" s="26">
        <v>7004.35</v>
      </c>
      <c r="N37" s="11">
        <f t="shared" si="5"/>
        <v>5489.2999999999993</v>
      </c>
      <c r="O37" s="11">
        <f t="shared" si="7"/>
        <v>-47665.72</v>
      </c>
      <c r="P37" s="15"/>
    </row>
    <row r="38" spans="2:16" x14ac:dyDescent="0.25">
      <c r="B38" s="10"/>
      <c r="C38" s="25" t="s">
        <v>15</v>
      </c>
      <c r="D38" s="26">
        <v>0</v>
      </c>
      <c r="E38" s="26">
        <v>4852.34</v>
      </c>
      <c r="F38" s="11">
        <f t="shared" si="4"/>
        <v>-4852.34</v>
      </c>
      <c r="G38" s="11">
        <f t="shared" si="6"/>
        <v>-29070.19</v>
      </c>
      <c r="H38" s="15"/>
      <c r="J38" s="10"/>
      <c r="K38" s="25" t="s">
        <v>15</v>
      </c>
      <c r="L38" s="26">
        <v>11172.35</v>
      </c>
      <c r="M38" s="26">
        <v>6336.27</v>
      </c>
      <c r="N38" s="11">
        <f t="shared" si="5"/>
        <v>4836.08</v>
      </c>
      <c r="O38" s="11">
        <f t="shared" si="7"/>
        <v>-42829.64</v>
      </c>
      <c r="P38" s="15"/>
    </row>
    <row r="39" spans="2:16" x14ac:dyDescent="0.25">
      <c r="B39" s="10"/>
      <c r="C39" s="25" t="s">
        <v>16</v>
      </c>
      <c r="D39" s="26">
        <v>0</v>
      </c>
      <c r="E39" s="26">
        <v>5093.17</v>
      </c>
      <c r="F39" s="11">
        <f t="shared" si="4"/>
        <v>-5093.17</v>
      </c>
      <c r="G39" s="11">
        <f t="shared" si="6"/>
        <v>-34163.360000000001</v>
      </c>
      <c r="H39" s="15"/>
      <c r="J39" s="10"/>
      <c r="K39" s="25" t="s">
        <v>16</v>
      </c>
      <c r="L39" s="26">
        <v>10043.379999999999</v>
      </c>
      <c r="M39" s="26">
        <v>5671.23</v>
      </c>
      <c r="N39" s="11">
        <f t="shared" si="5"/>
        <v>4372.1499999999996</v>
      </c>
      <c r="O39" s="11">
        <f t="shared" si="7"/>
        <v>-38457.49</v>
      </c>
      <c r="P39" s="15"/>
    </row>
    <row r="40" spans="2:16" x14ac:dyDescent="0.25">
      <c r="B40" s="10"/>
      <c r="C40" s="25" t="s">
        <v>17</v>
      </c>
      <c r="D40" s="26">
        <v>0</v>
      </c>
      <c r="E40" s="26">
        <v>5093.17</v>
      </c>
      <c r="F40" s="11">
        <f t="shared" si="4"/>
        <v>-5093.17</v>
      </c>
      <c r="G40" s="11">
        <f t="shared" si="6"/>
        <v>-39256.53</v>
      </c>
      <c r="H40" s="15"/>
      <c r="J40" s="10"/>
      <c r="K40" s="25" t="s">
        <v>17</v>
      </c>
      <c r="L40" s="26">
        <v>9704.14</v>
      </c>
      <c r="M40" s="26">
        <v>5440.52</v>
      </c>
      <c r="N40" s="11">
        <f t="shared" si="5"/>
        <v>4263.619999999999</v>
      </c>
      <c r="O40" s="11">
        <f t="shared" si="7"/>
        <v>-34193.869999999995</v>
      </c>
      <c r="P40" s="15"/>
    </row>
    <row r="41" spans="2:16" x14ac:dyDescent="0.25">
      <c r="B41" s="10"/>
      <c r="C41" s="25" t="s">
        <v>18</v>
      </c>
      <c r="D41" s="26">
        <v>0</v>
      </c>
      <c r="E41" s="26">
        <v>5397.79</v>
      </c>
      <c r="F41" s="11">
        <f t="shared" si="4"/>
        <v>-5397.79</v>
      </c>
      <c r="G41" s="11">
        <f t="shared" si="6"/>
        <v>-44654.32</v>
      </c>
      <c r="H41" s="15"/>
      <c r="J41" s="10"/>
      <c r="K41" s="25" t="s">
        <v>18</v>
      </c>
      <c r="L41" s="26">
        <v>10379.64</v>
      </c>
      <c r="M41" s="26">
        <v>5028.66</v>
      </c>
      <c r="N41" s="11">
        <f t="shared" si="5"/>
        <v>5350.98</v>
      </c>
      <c r="O41" s="11">
        <f t="shared" si="7"/>
        <v>-28842.889999999996</v>
      </c>
      <c r="P41" s="15"/>
    </row>
    <row r="42" spans="2:16" x14ac:dyDescent="0.25">
      <c r="B42" s="10"/>
      <c r="C42" s="25" t="s">
        <v>19</v>
      </c>
      <c r="D42" s="26">
        <v>0</v>
      </c>
      <c r="E42" s="26">
        <v>5752.02</v>
      </c>
      <c r="F42" s="11">
        <f t="shared" si="4"/>
        <v>-5752.02</v>
      </c>
      <c r="G42" s="11">
        <f t="shared" si="6"/>
        <v>-50406.34</v>
      </c>
      <c r="H42" s="15"/>
      <c r="J42" s="10"/>
      <c r="K42" s="25" t="s">
        <v>19</v>
      </c>
      <c r="L42" s="26">
        <v>10599.08</v>
      </c>
      <c r="M42" s="26">
        <v>5318.01</v>
      </c>
      <c r="N42" s="11">
        <f t="shared" si="5"/>
        <v>5281.07</v>
      </c>
      <c r="O42" s="11">
        <f t="shared" si="7"/>
        <v>-23561.819999999996</v>
      </c>
      <c r="P42" s="15"/>
    </row>
    <row r="43" spans="2:16" x14ac:dyDescent="0.25">
      <c r="B43" s="10"/>
      <c r="C43" s="25" t="s">
        <v>20</v>
      </c>
      <c r="D43" s="26">
        <v>0</v>
      </c>
      <c r="E43" s="26">
        <v>5698.68</v>
      </c>
      <c r="F43" s="11">
        <f t="shared" si="4"/>
        <v>-5698.68</v>
      </c>
      <c r="G43" s="11">
        <f t="shared" si="6"/>
        <v>-56105.02</v>
      </c>
      <c r="H43" s="15"/>
      <c r="J43" s="10"/>
      <c r="K43" s="25" t="s">
        <v>20</v>
      </c>
      <c r="L43" s="26">
        <v>9753.52</v>
      </c>
      <c r="M43" s="26">
        <v>4764.72</v>
      </c>
      <c r="N43" s="11">
        <f t="shared" si="5"/>
        <v>4988.8</v>
      </c>
      <c r="O43" s="11">
        <f t="shared" si="7"/>
        <v>-18573.019999999997</v>
      </c>
      <c r="P43" s="15"/>
    </row>
    <row r="44" spans="2:16" x14ac:dyDescent="0.25">
      <c r="B44" s="10"/>
      <c r="C44" s="105" t="s">
        <v>21</v>
      </c>
      <c r="D44" s="106">
        <v>0</v>
      </c>
      <c r="E44" s="106">
        <v>6075.62</v>
      </c>
      <c r="F44" s="107">
        <f t="shared" si="4"/>
        <v>-6075.62</v>
      </c>
      <c r="G44" s="107">
        <f t="shared" si="6"/>
        <v>-62180.639999999999</v>
      </c>
      <c r="H44" s="15"/>
      <c r="J44" s="10"/>
      <c r="K44" s="105" t="s">
        <v>21</v>
      </c>
      <c r="L44" s="106">
        <v>10304.24</v>
      </c>
      <c r="M44" s="106">
        <v>4142.53</v>
      </c>
      <c r="N44" s="107">
        <f t="shared" si="5"/>
        <v>6161.71</v>
      </c>
      <c r="O44" s="107">
        <f t="shared" si="7"/>
        <v>-12411.309999999998</v>
      </c>
      <c r="P44" s="15"/>
    </row>
    <row r="45" spans="2:16" x14ac:dyDescent="0.25">
      <c r="B45" s="10"/>
      <c r="C45" s="120" t="s">
        <v>53</v>
      </c>
      <c r="D45" s="106">
        <v>0</v>
      </c>
      <c r="E45" s="106">
        <f>-'Interest Review for Jan 2019'!I20</f>
        <v>1753.2534111039063</v>
      </c>
      <c r="F45" s="107">
        <f t="shared" si="4"/>
        <v>-1753.2534111039063</v>
      </c>
      <c r="G45" s="107">
        <f t="shared" si="6"/>
        <v>-63933.893411103905</v>
      </c>
      <c r="H45" s="15"/>
      <c r="J45" s="10"/>
      <c r="K45" s="120" t="s">
        <v>53</v>
      </c>
      <c r="L45" s="106">
        <v>0</v>
      </c>
      <c r="M45" s="106">
        <f>-'Interest Review for Jan 2019'!S20</f>
        <v>3364.1078794609712</v>
      </c>
      <c r="N45" s="107">
        <f t="shared" si="5"/>
        <v>-3364.1078794609712</v>
      </c>
      <c r="O45" s="107">
        <f t="shared" si="7"/>
        <v>-15775.417879460969</v>
      </c>
      <c r="P45" s="15"/>
    </row>
    <row r="46" spans="2:16" x14ac:dyDescent="0.25">
      <c r="B46" s="10"/>
      <c r="C46" s="25"/>
      <c r="D46" s="26">
        <v>0</v>
      </c>
      <c r="E46" s="26">
        <v>0</v>
      </c>
      <c r="F46" s="11">
        <f t="shared" si="4"/>
        <v>0</v>
      </c>
      <c r="G46" s="11">
        <f t="shared" si="6"/>
        <v>-63933.893411103905</v>
      </c>
      <c r="H46" s="15"/>
      <c r="J46" s="10"/>
      <c r="K46" s="25"/>
      <c r="L46" s="26">
        <v>0</v>
      </c>
      <c r="M46" s="26">
        <v>0</v>
      </c>
      <c r="N46" s="11">
        <f t="shared" si="5"/>
        <v>0</v>
      </c>
      <c r="O46" s="11">
        <f t="shared" si="7"/>
        <v>-15775.417879460969</v>
      </c>
      <c r="P46" s="15"/>
    </row>
    <row r="47" spans="2:16" x14ac:dyDescent="0.25">
      <c r="B47" s="10"/>
      <c r="C47" s="25"/>
      <c r="D47" s="26">
        <v>0</v>
      </c>
      <c r="E47" s="26">
        <v>0</v>
      </c>
      <c r="F47" s="11">
        <f t="shared" si="4"/>
        <v>0</v>
      </c>
      <c r="G47" s="11">
        <f t="shared" si="6"/>
        <v>-63933.893411103905</v>
      </c>
      <c r="H47" s="15"/>
      <c r="J47" s="10"/>
      <c r="K47" s="25"/>
      <c r="L47" s="26">
        <v>0</v>
      </c>
      <c r="M47" s="26">
        <v>0</v>
      </c>
      <c r="N47" s="11">
        <f t="shared" si="5"/>
        <v>0</v>
      </c>
      <c r="O47" s="11">
        <f t="shared" si="7"/>
        <v>-15775.417879460969</v>
      </c>
      <c r="P47" s="15"/>
    </row>
    <row r="48" spans="2:16" x14ac:dyDescent="0.25">
      <c r="B48" s="10"/>
      <c r="C48" s="25"/>
      <c r="D48" s="26">
        <v>0</v>
      </c>
      <c r="E48" s="26">
        <v>0</v>
      </c>
      <c r="F48" s="11">
        <f t="shared" si="4"/>
        <v>0</v>
      </c>
      <c r="G48" s="11">
        <f t="shared" si="6"/>
        <v>-63933.893411103905</v>
      </c>
      <c r="H48" s="15"/>
      <c r="J48" s="10"/>
      <c r="K48" s="25"/>
      <c r="L48" s="26">
        <v>0</v>
      </c>
      <c r="M48" s="26">
        <v>0</v>
      </c>
      <c r="N48" s="11">
        <f t="shared" si="5"/>
        <v>0</v>
      </c>
      <c r="O48" s="11">
        <f t="shared" si="7"/>
        <v>-15775.417879460969</v>
      </c>
      <c r="P48" s="15"/>
    </row>
    <row r="49" spans="2:16" x14ac:dyDescent="0.25">
      <c r="B49" s="10"/>
      <c r="C49" s="25"/>
      <c r="D49" s="26">
        <v>0</v>
      </c>
      <c r="E49" s="26">
        <v>0</v>
      </c>
      <c r="F49" s="11">
        <f t="shared" si="4"/>
        <v>0</v>
      </c>
      <c r="G49" s="11">
        <f t="shared" si="6"/>
        <v>-63933.893411103905</v>
      </c>
      <c r="H49" s="15"/>
      <c r="J49" s="10"/>
      <c r="K49" s="25"/>
      <c r="L49" s="26">
        <v>0</v>
      </c>
      <c r="M49" s="26">
        <v>0</v>
      </c>
      <c r="N49" s="11">
        <f t="shared" si="5"/>
        <v>0</v>
      </c>
      <c r="O49" s="11">
        <f t="shared" si="7"/>
        <v>-15775.417879460969</v>
      </c>
      <c r="P49" s="15"/>
    </row>
    <row r="50" spans="2:16" x14ac:dyDescent="0.25">
      <c r="B50" s="10"/>
      <c r="C50" s="25"/>
      <c r="D50" s="26">
        <v>0</v>
      </c>
      <c r="E50" s="26">
        <v>0</v>
      </c>
      <c r="F50" s="11">
        <f t="shared" si="4"/>
        <v>0</v>
      </c>
      <c r="G50" s="11">
        <f t="shared" si="6"/>
        <v>-63933.893411103905</v>
      </c>
      <c r="H50" s="15"/>
      <c r="J50" s="10"/>
      <c r="K50" s="25"/>
      <c r="L50" s="26">
        <v>0</v>
      </c>
      <c r="M50" s="26">
        <v>0</v>
      </c>
      <c r="N50" s="11">
        <f t="shared" si="5"/>
        <v>0</v>
      </c>
      <c r="O50" s="11">
        <f t="shared" si="7"/>
        <v>-15775.417879460969</v>
      </c>
      <c r="P50" s="15"/>
    </row>
    <row r="51" spans="2:16" x14ac:dyDescent="0.25">
      <c r="B51" s="10"/>
      <c r="C51" s="25" t="s">
        <v>28</v>
      </c>
      <c r="D51" s="11">
        <f>SUM(D34:D50)</f>
        <v>31062.12</v>
      </c>
      <c r="E51" s="11">
        <f>SUM(E34:E50)</f>
        <v>53034.77341110391</v>
      </c>
      <c r="F51" s="11">
        <f>SUM(F34:F50)</f>
        <v>-21972.653411103907</v>
      </c>
      <c r="G51" s="11">
        <f>+G50</f>
        <v>-63933.893411103905</v>
      </c>
      <c r="H51" s="15"/>
      <c r="J51" s="10"/>
      <c r="K51" s="25" t="s">
        <v>28</v>
      </c>
      <c r="L51" s="11">
        <f>SUM(L34:L50)</f>
        <v>106086.32</v>
      </c>
      <c r="M51" s="11">
        <f>SUM(M34:M50)</f>
        <v>93192.377879460953</v>
      </c>
      <c r="N51" s="11">
        <f>SUM(N34:N50)</f>
        <v>12893.942120539028</v>
      </c>
      <c r="O51" s="11">
        <f>+O50</f>
        <v>-15775.417879460969</v>
      </c>
      <c r="P51" s="15"/>
    </row>
    <row r="52" spans="2:16" x14ac:dyDescent="0.25">
      <c r="B52" s="10"/>
      <c r="C52" s="25"/>
      <c r="D52" s="26"/>
      <c r="E52" s="26"/>
      <c r="F52" s="26"/>
      <c r="G52" s="26"/>
      <c r="H52" s="15"/>
      <c r="J52" s="10"/>
      <c r="K52" s="25"/>
      <c r="L52" s="26"/>
      <c r="M52" s="26"/>
      <c r="N52" s="26"/>
      <c r="O52" s="26"/>
      <c r="P52" s="15"/>
    </row>
    <row r="53" spans="2:16" x14ac:dyDescent="0.25">
      <c r="B53" s="10"/>
      <c r="C53" s="25"/>
      <c r="D53" s="26"/>
      <c r="E53" s="26"/>
      <c r="F53" s="26"/>
      <c r="G53" s="26"/>
      <c r="H53" s="15"/>
      <c r="J53" s="10"/>
      <c r="K53" s="25"/>
      <c r="L53" s="26"/>
      <c r="M53" s="26"/>
      <c r="N53" s="26"/>
      <c r="O53" s="26"/>
      <c r="P53" s="15"/>
    </row>
    <row r="54" spans="2:16" x14ac:dyDescent="0.25">
      <c r="B54" s="10"/>
      <c r="C54" s="25"/>
      <c r="D54" s="26"/>
      <c r="E54" s="26"/>
      <c r="F54" s="26"/>
      <c r="G54" s="26"/>
      <c r="H54" s="15"/>
      <c r="J54" s="10"/>
      <c r="K54" s="25"/>
      <c r="L54" s="26"/>
      <c r="M54" s="26"/>
      <c r="N54" s="26"/>
      <c r="O54" s="26"/>
      <c r="P54" s="15"/>
    </row>
    <row r="55" spans="2:16" x14ac:dyDescent="0.25">
      <c r="B55" s="10"/>
      <c r="C55" s="25"/>
      <c r="D55" s="26"/>
      <c r="E55" s="26"/>
      <c r="F55" s="26"/>
      <c r="G55" s="26"/>
      <c r="H55" s="15"/>
      <c r="J55" s="10"/>
      <c r="K55" s="25"/>
      <c r="L55" s="26"/>
      <c r="M55" s="26"/>
      <c r="N55" s="26"/>
      <c r="O55" s="26"/>
      <c r="P55" s="15"/>
    </row>
    <row r="56" spans="2:16" x14ac:dyDescent="0.25">
      <c r="B56" s="20"/>
      <c r="C56" s="21"/>
      <c r="D56" s="21"/>
      <c r="E56" s="21"/>
      <c r="F56" s="21"/>
      <c r="G56" s="21"/>
      <c r="H56" s="22"/>
      <c r="J56" s="20"/>
      <c r="K56" s="21"/>
      <c r="L56" s="21"/>
      <c r="M56" s="21"/>
      <c r="N56" s="21"/>
      <c r="O56" s="21"/>
      <c r="P56" s="22"/>
    </row>
    <row r="57" spans="2:16" x14ac:dyDescent="0.25">
      <c r="B57" s="17"/>
      <c r="C57" s="17"/>
      <c r="D57" s="17"/>
      <c r="E57" s="17"/>
      <c r="F57" s="17"/>
      <c r="G57" s="17"/>
      <c r="H57" s="17"/>
    </row>
    <row r="58" spans="2:16" x14ac:dyDescent="0.25">
      <c r="C58" s="105" t="s">
        <v>95</v>
      </c>
      <c r="D58" s="108"/>
      <c r="E58" s="108"/>
      <c r="F58" s="108"/>
      <c r="G58" s="109">
        <f>+'Interest for 2019 Period'!H20</f>
        <v>-14205.545971677313</v>
      </c>
    </row>
    <row r="60" spans="2:16" ht="15.75" thickBot="1" x14ac:dyDescent="0.3">
      <c r="C60" s="110" t="s">
        <v>96</v>
      </c>
      <c r="D60" s="110"/>
      <c r="E60" s="110"/>
      <c r="F60" s="110"/>
      <c r="G60" s="111">
        <f>+G45+G58+O45</f>
        <v>-93914.857262242178</v>
      </c>
    </row>
    <row r="61" spans="2:16" ht="15.75" thickTop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8"/>
  <sheetViews>
    <sheetView zoomScaleNormal="100" workbookViewId="0">
      <selection activeCell="G11" sqref="G11"/>
    </sheetView>
  </sheetViews>
  <sheetFormatPr defaultRowHeight="15" x14ac:dyDescent="0.25"/>
  <cols>
    <col min="1" max="1" width="9.7109375" customWidth="1"/>
    <col min="2" max="2" width="14" bestFit="1" customWidth="1"/>
    <col min="3" max="4" width="12.28515625" bestFit="1" customWidth="1"/>
    <col min="6" max="6" width="8.140625" bestFit="1" customWidth="1"/>
    <col min="7" max="7" width="11.7109375" customWidth="1"/>
    <col min="8" max="8" width="12.28515625" customWidth="1"/>
    <col min="9" max="9" width="14" bestFit="1" customWidth="1"/>
    <col min="10" max="10" width="8.7109375" bestFit="1" customWidth="1"/>
    <col min="12" max="12" width="12.28515625" bestFit="1" customWidth="1"/>
    <col min="13" max="13" width="9" bestFit="1" customWidth="1"/>
    <col min="14" max="14" width="12.28515625" bestFit="1" customWidth="1"/>
    <col min="15" max="15" width="8" bestFit="1" customWidth="1"/>
    <col min="16" max="16" width="8.7109375" customWidth="1"/>
    <col min="17" max="17" width="11.28515625" bestFit="1" customWidth="1"/>
    <col min="18" max="18" width="13.42578125" bestFit="1" customWidth="1"/>
    <col min="19" max="19" width="14" bestFit="1" customWidth="1"/>
  </cols>
  <sheetData>
    <row r="1" spans="1:19" ht="15.75" thickBot="1" x14ac:dyDescent="0.3">
      <c r="A1" s="58" t="s">
        <v>54</v>
      </c>
    </row>
    <row r="2" spans="1:19" ht="15.75" thickBot="1" x14ac:dyDescent="0.3">
      <c r="B2" s="115" t="s">
        <v>98</v>
      </c>
      <c r="C2" s="116"/>
      <c r="D2" s="116"/>
      <c r="E2" s="116"/>
      <c r="F2" s="116"/>
      <c r="G2" s="117"/>
      <c r="L2" s="115" t="s">
        <v>98</v>
      </c>
      <c r="M2" s="116"/>
      <c r="N2" s="116"/>
      <c r="O2" s="116"/>
      <c r="P2" s="116"/>
      <c r="Q2" s="117"/>
    </row>
    <row r="3" spans="1:19" s="59" customFormat="1" ht="105.75" thickBot="1" x14ac:dyDescent="0.3">
      <c r="A3" s="59" t="s">
        <v>55</v>
      </c>
      <c r="B3" s="112" t="s">
        <v>99</v>
      </c>
      <c r="C3" s="113" t="s">
        <v>56</v>
      </c>
      <c r="D3" s="113" t="s">
        <v>57</v>
      </c>
      <c r="E3" s="113" t="s">
        <v>58</v>
      </c>
      <c r="F3" s="113" t="s">
        <v>59</v>
      </c>
      <c r="G3" s="114" t="s">
        <v>60</v>
      </c>
      <c r="H3" s="60" t="s">
        <v>61</v>
      </c>
      <c r="I3" s="62" t="s">
        <v>101</v>
      </c>
      <c r="J3" s="63"/>
      <c r="L3" s="60" t="s">
        <v>100</v>
      </c>
      <c r="M3" s="61" t="s">
        <v>56</v>
      </c>
      <c r="N3" s="61" t="s">
        <v>63</v>
      </c>
      <c r="O3" s="61" t="s">
        <v>58</v>
      </c>
      <c r="P3" s="61" t="s">
        <v>59</v>
      </c>
      <c r="Q3" s="62" t="s">
        <v>64</v>
      </c>
      <c r="R3" s="60" t="s">
        <v>65</v>
      </c>
      <c r="S3" s="62" t="s">
        <v>62</v>
      </c>
    </row>
    <row r="4" spans="1:19" s="59" customFormat="1" x14ac:dyDescent="0.25">
      <c r="B4" s="64">
        <v>-1196228.01</v>
      </c>
      <c r="C4" s="65">
        <f>-B4*0.35</f>
        <v>418679.80349999998</v>
      </c>
      <c r="D4" s="46">
        <f>+B4+C4</f>
        <v>-777548.20650000009</v>
      </c>
      <c r="E4" s="47"/>
      <c r="F4" s="63"/>
      <c r="G4" s="63"/>
      <c r="H4" s="63"/>
      <c r="I4" s="63"/>
      <c r="J4" s="63"/>
      <c r="L4" s="64">
        <v>15030.31</v>
      </c>
      <c r="M4" s="65">
        <f>-L4*0.35</f>
        <v>-5260.6084999999994</v>
      </c>
      <c r="N4" s="46">
        <f>+L4+M4</f>
        <v>9769.7014999999992</v>
      </c>
      <c r="O4" s="47"/>
      <c r="P4" s="63"/>
      <c r="Q4" s="63"/>
      <c r="R4" s="66"/>
    </row>
    <row r="5" spans="1:19" x14ac:dyDescent="0.25">
      <c r="A5" s="67">
        <v>43101</v>
      </c>
      <c r="B5" s="64">
        <v>-621824.78</v>
      </c>
      <c r="C5" s="65">
        <f>-B5*0.21</f>
        <v>130583.2038</v>
      </c>
      <c r="D5" s="46">
        <f>+B5+C5</f>
        <v>-491241.57620000001</v>
      </c>
      <c r="E5" s="47">
        <f>+'Conv F and COC UE-180282'!$E$39</f>
        <v>6.9699999999999998E-2</v>
      </c>
      <c r="F5">
        <v>0.79</v>
      </c>
      <c r="G5" s="68">
        <f>(D5+D4)/2*E5/12/F5</f>
        <v>-4664.2746758539024</v>
      </c>
      <c r="H5" s="69">
        <v>-5067.8221521250007</v>
      </c>
      <c r="I5" s="70">
        <f>+G5-H5</f>
        <v>403.54747627109828</v>
      </c>
      <c r="J5" s="69"/>
      <c r="K5" s="67">
        <f>+A5</f>
        <v>43101</v>
      </c>
      <c r="L5" s="64">
        <f>+L4-515441.93</f>
        <v>-500411.62</v>
      </c>
      <c r="M5" s="65">
        <f>-L5*0.21</f>
        <v>105086.4402</v>
      </c>
      <c r="N5" s="46">
        <f>+L5+M5</f>
        <v>-395325.17979999998</v>
      </c>
      <c r="O5" s="47">
        <v>6.9699999999999998E-2</v>
      </c>
      <c r="P5">
        <f>F5</f>
        <v>0.79</v>
      </c>
      <c r="Q5" s="68">
        <f>(N5+N4)/2*O5/12/P5</f>
        <v>-1417.3637572526368</v>
      </c>
      <c r="R5" s="71">
        <v>-1064.95</v>
      </c>
      <c r="S5" s="70">
        <f>+Q5-R5</f>
        <v>-352.41375725263674</v>
      </c>
    </row>
    <row r="6" spans="1:19" x14ac:dyDescent="0.25">
      <c r="A6" s="67">
        <v>43132</v>
      </c>
      <c r="B6" s="64">
        <f>+B5-133966.02</f>
        <v>-755790.8</v>
      </c>
      <c r="C6" s="65">
        <f t="shared" ref="C6:C17" si="0">-B6*0.21</f>
        <v>158716.068</v>
      </c>
      <c r="D6" s="46">
        <f t="shared" ref="D6:D16" si="1">+B6+C6</f>
        <v>-597074.73200000008</v>
      </c>
      <c r="E6" s="47">
        <f>+'Conv F and COC UE-180282'!$E$39</f>
        <v>6.9699999999999998E-2</v>
      </c>
      <c r="F6">
        <v>0.79</v>
      </c>
      <c r="G6" s="68">
        <f>(D6+D5)/2*E6/12/F6</f>
        <v>-4000.8252469166664</v>
      </c>
      <c r="H6" s="69">
        <v>-3840.1034292500003</v>
      </c>
      <c r="I6" s="70">
        <f t="shared" ref="I6:I16" si="2">+G6-H6</f>
        <v>-160.72181766666608</v>
      </c>
      <c r="J6" s="69"/>
      <c r="K6" s="67">
        <f t="shared" ref="K6:K16" si="3">+A6</f>
        <v>43132</v>
      </c>
      <c r="L6" s="64">
        <f>+L5+50901.3</f>
        <v>-449510.32</v>
      </c>
      <c r="M6" s="65">
        <f t="shared" ref="M6:M16" si="4">-L6*0.21</f>
        <v>94397.167199999996</v>
      </c>
      <c r="N6" s="46">
        <f t="shared" ref="N6:N16" si="5">+L6+M6</f>
        <v>-355113.15280000004</v>
      </c>
      <c r="O6" s="47">
        <v>6.9699999999999998E-2</v>
      </c>
      <c r="P6">
        <f t="shared" ref="P6:P16" si="6">F6</f>
        <v>0.79</v>
      </c>
      <c r="Q6" s="68">
        <f>(N6+N5)/2*O6/12/P6</f>
        <v>-2758.7316340833336</v>
      </c>
      <c r="R6" s="71">
        <v>-2359.86</v>
      </c>
      <c r="S6" s="70">
        <f t="shared" ref="S6:S16" si="7">+Q6-R6</f>
        <v>-398.87163408333345</v>
      </c>
    </row>
    <row r="7" spans="1:19" x14ac:dyDescent="0.25">
      <c r="A7" s="67">
        <v>43160</v>
      </c>
      <c r="B7" s="64">
        <f>+B6-70771.95</f>
        <v>-826562.75</v>
      </c>
      <c r="C7" s="65">
        <f t="shared" si="0"/>
        <v>173578.17749999999</v>
      </c>
      <c r="D7" s="46">
        <f t="shared" si="1"/>
        <v>-652984.57250000001</v>
      </c>
      <c r="E7" s="47">
        <f>+'Conv F and COC UE-180282'!$E$39</f>
        <v>6.9699999999999998E-2</v>
      </c>
      <c r="F7">
        <v>0.79</v>
      </c>
      <c r="G7" s="68">
        <f t="shared" ref="G7:G16" si="8">(D7+D6)/2*E7/12/F7</f>
        <v>-4595.4184347916662</v>
      </c>
      <c r="H7" s="69">
        <v>-4410.8105206250011</v>
      </c>
      <c r="I7" s="70">
        <f t="shared" si="2"/>
        <v>-184.60791416666507</v>
      </c>
      <c r="J7" s="69"/>
      <c r="K7" s="67">
        <f t="shared" si="3"/>
        <v>43160</v>
      </c>
      <c r="L7" s="64">
        <f>+L6+49439.49</f>
        <v>-400070.83</v>
      </c>
      <c r="M7" s="65">
        <f t="shared" si="4"/>
        <v>84014.874299999996</v>
      </c>
      <c r="N7" s="46">
        <f t="shared" si="5"/>
        <v>-316055.95570000005</v>
      </c>
      <c r="O7" s="47">
        <v>6.9699999999999998E-2</v>
      </c>
      <c r="P7">
        <f t="shared" si="6"/>
        <v>0.79</v>
      </c>
      <c r="Q7" s="68">
        <f t="shared" ref="Q7:Q16" si="9">(N7+N6)/2*O7/12/P7</f>
        <v>-2467.3252564583336</v>
      </c>
      <c r="R7" s="71">
        <v>-2080.16</v>
      </c>
      <c r="S7" s="70">
        <f t="shared" si="7"/>
        <v>-387.16525645833372</v>
      </c>
    </row>
    <row r="8" spans="1:19" x14ac:dyDescent="0.25">
      <c r="A8" s="67">
        <v>43191</v>
      </c>
      <c r="B8" s="64">
        <f>+B7-87625.07</f>
        <v>-914187.82000000007</v>
      </c>
      <c r="C8" s="65">
        <f t="shared" si="0"/>
        <v>191979.44220000002</v>
      </c>
      <c r="D8" s="46">
        <f t="shared" si="1"/>
        <v>-722208.37780000002</v>
      </c>
      <c r="E8" s="47">
        <f>+'Conv F and COC UE-180282'!$E$39</f>
        <v>6.9699999999999998E-2</v>
      </c>
      <c r="F8">
        <v>0.79</v>
      </c>
      <c r="G8" s="68">
        <f t="shared" si="8"/>
        <v>-5055.4297803750005</v>
      </c>
      <c r="H8" s="69">
        <v>-4852.3422138750002</v>
      </c>
      <c r="I8" s="70">
        <f t="shared" si="2"/>
        <v>-203.08756650000032</v>
      </c>
      <c r="J8" s="69"/>
      <c r="K8" s="67">
        <f t="shared" si="3"/>
        <v>43191</v>
      </c>
      <c r="L8" s="64">
        <f>+L7+43481.14</f>
        <v>-356589.69</v>
      </c>
      <c r="M8" s="65">
        <f t="shared" si="4"/>
        <v>74883.834900000002</v>
      </c>
      <c r="N8" s="46">
        <f t="shared" si="5"/>
        <v>-281705.85509999999</v>
      </c>
      <c r="O8" s="47">
        <v>6.9699999999999998E-2</v>
      </c>
      <c r="P8">
        <f t="shared" si="6"/>
        <v>0.79</v>
      </c>
      <c r="Q8" s="68">
        <f t="shared" si="9"/>
        <v>-2197.4682601666668</v>
      </c>
      <c r="R8" s="71">
        <v>-1821.14</v>
      </c>
      <c r="S8" s="70">
        <f t="shared" si="7"/>
        <v>-376.32826016666672</v>
      </c>
    </row>
    <row r="9" spans="1:19" x14ac:dyDescent="0.25">
      <c r="A9" s="67">
        <v>43221</v>
      </c>
      <c r="B9" s="64">
        <f>+B8+1229.59</f>
        <v>-912958.2300000001</v>
      </c>
      <c r="C9" s="65">
        <f t="shared" si="0"/>
        <v>191721.22830000002</v>
      </c>
      <c r="D9" s="46">
        <f t="shared" si="1"/>
        <v>-721237.00170000014</v>
      </c>
      <c r="E9" s="47">
        <f>+'Conv F and COC UE-180282'!$E$39</f>
        <v>6.9699999999999998E-2</v>
      </c>
      <c r="F9">
        <v>0.79</v>
      </c>
      <c r="G9" s="68">
        <f t="shared" si="8"/>
        <v>-5306.3366535416681</v>
      </c>
      <c r="H9" s="69">
        <v>-5093.1696143750005</v>
      </c>
      <c r="I9" s="70">
        <f t="shared" si="2"/>
        <v>-213.16703916666756</v>
      </c>
      <c r="J9" s="69"/>
      <c r="K9" s="67">
        <f t="shared" si="3"/>
        <v>43221</v>
      </c>
      <c r="L9" s="64">
        <f>+L8+38950.31</f>
        <v>-317639.38</v>
      </c>
      <c r="M9" s="65">
        <f t="shared" si="4"/>
        <v>66704.269799999995</v>
      </c>
      <c r="N9" s="46">
        <f t="shared" si="5"/>
        <v>-250935.1102</v>
      </c>
      <c r="O9" s="47">
        <v>6.9699999999999998E-2</v>
      </c>
      <c r="P9">
        <f t="shared" si="6"/>
        <v>0.79</v>
      </c>
      <c r="Q9" s="68">
        <f t="shared" si="9"/>
        <v>-1958.0735907916669</v>
      </c>
      <c r="R9" s="71">
        <v>-1591.37</v>
      </c>
      <c r="S9" s="70">
        <f t="shared" si="7"/>
        <v>-366.70359079166701</v>
      </c>
    </row>
    <row r="10" spans="1:19" x14ac:dyDescent="0.25">
      <c r="A10" s="67">
        <v>43252</v>
      </c>
      <c r="B10" s="64">
        <f>+B9+13203.09</f>
        <v>-899755.14000000013</v>
      </c>
      <c r="C10" s="65">
        <f t="shared" si="0"/>
        <v>188948.57940000002</v>
      </c>
      <c r="D10" s="46">
        <f t="shared" si="1"/>
        <v>-710806.56060000008</v>
      </c>
      <c r="E10" s="47">
        <f>+'Conv F and COC UE-180282'!$E$39</f>
        <v>6.9699999999999998E-2</v>
      </c>
      <c r="F10">
        <v>0.79</v>
      </c>
      <c r="G10" s="68">
        <f t="shared" si="8"/>
        <v>-5264.4217453750016</v>
      </c>
      <c r="H10" s="69">
        <v>-5093.17</v>
      </c>
      <c r="I10" s="70">
        <f t="shared" si="2"/>
        <v>-171.25174537500152</v>
      </c>
      <c r="J10" s="69"/>
      <c r="K10" s="67">
        <f t="shared" si="3"/>
        <v>43252</v>
      </c>
      <c r="L10" s="64">
        <f>+L9+38241.5</f>
        <v>-279397.88</v>
      </c>
      <c r="M10" s="65">
        <f t="shared" si="4"/>
        <v>58673.554799999998</v>
      </c>
      <c r="N10" s="46">
        <f t="shared" si="5"/>
        <v>-220724.32520000002</v>
      </c>
      <c r="O10" s="47">
        <v>6.9699999999999998E-2</v>
      </c>
      <c r="P10">
        <f t="shared" si="6"/>
        <v>0.79</v>
      </c>
      <c r="Q10" s="68">
        <f t="shared" si="9"/>
        <v>-1733.89570925</v>
      </c>
      <c r="R10" s="71">
        <v>-1591.37</v>
      </c>
      <c r="S10" s="70">
        <f t="shared" si="7"/>
        <v>-142.52570925000009</v>
      </c>
    </row>
    <row r="11" spans="1:19" x14ac:dyDescent="0.25">
      <c r="A11" s="67">
        <v>43282</v>
      </c>
      <c r="B11" s="64">
        <f>+B10-136917.29</f>
        <v>-1036672.4300000002</v>
      </c>
      <c r="C11" s="65">
        <f t="shared" si="0"/>
        <v>217701.21030000004</v>
      </c>
      <c r="D11" s="46">
        <f t="shared" si="1"/>
        <v>-818971.21970000013</v>
      </c>
      <c r="E11" s="47">
        <f>+'Conv F and COC UE-180282'!$E$39</f>
        <v>6.9699999999999998E-2</v>
      </c>
      <c r="F11">
        <v>0.79</v>
      </c>
      <c r="G11" s="68">
        <f t="shared" si="8"/>
        <v>-5623.7084012083333</v>
      </c>
      <c r="H11" s="69">
        <v>-5397.79</v>
      </c>
      <c r="I11" s="70">
        <f t="shared" si="2"/>
        <v>-225.91840120833331</v>
      </c>
      <c r="J11" s="69"/>
      <c r="K11" s="67">
        <f t="shared" si="3"/>
        <v>43282</v>
      </c>
      <c r="L11" s="64">
        <f>+L10+42468.62</f>
        <v>-236929.26</v>
      </c>
      <c r="M11" s="65">
        <f t="shared" si="4"/>
        <v>49755.1446</v>
      </c>
      <c r="N11" s="46">
        <f t="shared" si="5"/>
        <v>-187174.11540000001</v>
      </c>
      <c r="O11" s="47">
        <v>6.9699999999999998E-2</v>
      </c>
      <c r="P11">
        <f t="shared" si="6"/>
        <v>0.79</v>
      </c>
      <c r="Q11" s="68">
        <f t="shared" si="9"/>
        <v>-1499.5000690833331</v>
      </c>
      <c r="R11" s="71">
        <v>-1151.21</v>
      </c>
      <c r="S11" s="70">
        <f t="shared" si="7"/>
        <v>-348.29006908333304</v>
      </c>
    </row>
    <row r="12" spans="1:19" x14ac:dyDescent="0.25">
      <c r="A12" s="67">
        <v>43313</v>
      </c>
      <c r="B12" s="64">
        <f>+B11+9841.09</f>
        <v>-1026831.3400000002</v>
      </c>
      <c r="C12" s="65">
        <f t="shared" si="0"/>
        <v>215634.58140000002</v>
      </c>
      <c r="D12" s="46">
        <f t="shared" si="1"/>
        <v>-811196.75860000018</v>
      </c>
      <c r="E12" s="47">
        <f>+'Conv F and COC UE-180282'!$E$39</f>
        <v>6.9699999999999998E-2</v>
      </c>
      <c r="F12">
        <v>0.79</v>
      </c>
      <c r="G12" s="68">
        <f t="shared" si="8"/>
        <v>-5992.7588653750008</v>
      </c>
      <c r="H12" s="69">
        <v>-5752.02</v>
      </c>
      <c r="I12" s="70">
        <f t="shared" si="2"/>
        <v>-240.73886537500039</v>
      </c>
      <c r="J12" s="69"/>
      <c r="K12" s="67">
        <f t="shared" si="3"/>
        <v>43313</v>
      </c>
      <c r="L12" s="71">
        <f>+L11+40501.42</f>
        <v>-196427.84000000003</v>
      </c>
      <c r="M12" s="65">
        <f t="shared" si="4"/>
        <v>41249.846400000002</v>
      </c>
      <c r="N12" s="46">
        <f t="shared" si="5"/>
        <v>-155177.99360000002</v>
      </c>
      <c r="O12" s="47">
        <v>6.9699999999999998E-2</v>
      </c>
      <c r="P12">
        <f t="shared" si="6"/>
        <v>0.79</v>
      </c>
      <c r="Q12" s="68">
        <f t="shared" si="9"/>
        <v>-1258.5412445833335</v>
      </c>
      <c r="R12" s="71">
        <v>-919.93</v>
      </c>
      <c r="S12" s="70">
        <f t="shared" si="7"/>
        <v>-338.61124458333359</v>
      </c>
    </row>
    <row r="13" spans="1:19" x14ac:dyDescent="0.25">
      <c r="A13" s="67">
        <v>43344</v>
      </c>
      <c r="B13" s="64">
        <f>+B12+9294.19</f>
        <v>-1017537.1500000003</v>
      </c>
      <c r="C13" s="65">
        <f t="shared" si="0"/>
        <v>213682.80150000006</v>
      </c>
      <c r="D13" s="46">
        <f t="shared" si="1"/>
        <v>-803854.3485000002</v>
      </c>
      <c r="E13" s="47">
        <f>+'Conv F and COC UE-180282'!$E$39</f>
        <v>6.9699999999999998E-2</v>
      </c>
      <c r="F13">
        <v>0.79</v>
      </c>
      <c r="G13" s="68">
        <f t="shared" si="8"/>
        <v>-5937.1868230416676</v>
      </c>
      <c r="H13" s="69">
        <v>-5698.68</v>
      </c>
      <c r="I13" s="70">
        <f t="shared" si="2"/>
        <v>-238.5068230416673</v>
      </c>
      <c r="J13" s="69"/>
      <c r="K13" s="67">
        <f t="shared" si="3"/>
        <v>43344</v>
      </c>
      <c r="L13" s="64">
        <f>+L12+37178.19</f>
        <v>-159249.65000000002</v>
      </c>
      <c r="M13" s="65">
        <f t="shared" si="4"/>
        <v>33442.426500000001</v>
      </c>
      <c r="N13" s="46">
        <f t="shared" si="5"/>
        <v>-125807.22350000002</v>
      </c>
      <c r="O13" s="47">
        <v>6.9699999999999998E-2</v>
      </c>
      <c r="P13">
        <f t="shared" si="6"/>
        <v>0.79</v>
      </c>
      <c r="Q13" s="68">
        <f t="shared" si="9"/>
        <v>-1032.9467105416668</v>
      </c>
      <c r="R13" s="71">
        <v>-703.4</v>
      </c>
      <c r="S13" s="70">
        <f t="shared" si="7"/>
        <v>-329.54671054166681</v>
      </c>
    </row>
    <row r="14" spans="1:19" x14ac:dyDescent="0.25">
      <c r="A14" s="67">
        <v>43374</v>
      </c>
      <c r="B14" s="72">
        <f>+B13-144521.9</f>
        <v>-1162059.0500000003</v>
      </c>
      <c r="C14" s="65">
        <f t="shared" si="0"/>
        <v>244032.40050000005</v>
      </c>
      <c r="D14" s="46">
        <f t="shared" si="1"/>
        <v>-918026.64950000029</v>
      </c>
      <c r="E14" s="47">
        <f>+'Conv F and COC UE-180282'!$E$39</f>
        <v>6.9699999999999998E-2</v>
      </c>
      <c r="F14">
        <v>0.79</v>
      </c>
      <c r="G14" s="68">
        <f t="shared" si="8"/>
        <v>-6329.9106308333357</v>
      </c>
      <c r="H14" s="69">
        <v>-6075.62</v>
      </c>
      <c r="I14" s="70">
        <f t="shared" si="2"/>
        <v>-254.29063083333585</v>
      </c>
      <c r="J14" s="69"/>
      <c r="K14" s="67">
        <f t="shared" si="3"/>
        <v>43374</v>
      </c>
      <c r="L14" s="72">
        <f>+L13+43372.48</f>
        <v>-115877.17000000001</v>
      </c>
      <c r="M14" s="65">
        <f t="shared" si="4"/>
        <v>24334.205700000002</v>
      </c>
      <c r="N14" s="46">
        <f t="shared" si="5"/>
        <v>-91542.964300000007</v>
      </c>
      <c r="O14" s="47">
        <v>6.9699999999999998E-2</v>
      </c>
      <c r="P14">
        <f t="shared" si="6"/>
        <v>0.79</v>
      </c>
      <c r="Q14" s="68">
        <f t="shared" si="9"/>
        <v>-799.01413974999991</v>
      </c>
      <c r="R14" s="71">
        <v>-478.87</v>
      </c>
      <c r="S14" s="70">
        <f t="shared" si="7"/>
        <v>-320.14413974999991</v>
      </c>
    </row>
    <row r="15" spans="1:19" x14ac:dyDescent="0.25">
      <c r="A15" s="67">
        <v>43405</v>
      </c>
      <c r="B15" s="71"/>
      <c r="C15" s="65">
        <f t="shared" si="0"/>
        <v>0</v>
      </c>
      <c r="D15" s="46">
        <f t="shared" si="1"/>
        <v>0</v>
      </c>
      <c r="E15" s="47">
        <f>+'Conv F and COC UE-180282'!$E$39</f>
        <v>6.9699999999999998E-2</v>
      </c>
      <c r="F15">
        <v>0.79</v>
      </c>
      <c r="G15" s="68"/>
      <c r="H15" s="69"/>
      <c r="I15" s="70"/>
      <c r="J15" s="69"/>
      <c r="K15" s="67">
        <f t="shared" si="3"/>
        <v>43405</v>
      </c>
      <c r="L15" s="64"/>
      <c r="M15" s="65">
        <f t="shared" si="4"/>
        <v>0</v>
      </c>
      <c r="N15" s="46">
        <f t="shared" si="5"/>
        <v>0</v>
      </c>
      <c r="O15" s="47">
        <v>6.9699999999999998E-2</v>
      </c>
      <c r="P15">
        <f t="shared" si="6"/>
        <v>0.79</v>
      </c>
      <c r="Q15" s="68"/>
      <c r="R15" s="64"/>
      <c r="S15" s="70">
        <f t="shared" si="7"/>
        <v>0</v>
      </c>
    </row>
    <row r="16" spans="1:19" x14ac:dyDescent="0.25">
      <c r="A16" s="67">
        <v>43435</v>
      </c>
      <c r="B16" s="71"/>
      <c r="C16" s="65">
        <f t="shared" si="0"/>
        <v>0</v>
      </c>
      <c r="D16" s="46">
        <f t="shared" si="1"/>
        <v>0</v>
      </c>
      <c r="E16" s="47">
        <f>+'Conv F and COC UE-180282'!$E$39</f>
        <v>6.9699999999999998E-2</v>
      </c>
      <c r="F16">
        <v>0.79</v>
      </c>
      <c r="G16" s="68">
        <f t="shared" si="8"/>
        <v>0</v>
      </c>
      <c r="H16" s="69"/>
      <c r="I16" s="70">
        <f t="shared" si="2"/>
        <v>0</v>
      </c>
      <c r="J16" s="69"/>
      <c r="K16" s="67">
        <f t="shared" si="3"/>
        <v>43435</v>
      </c>
      <c r="L16" s="64"/>
      <c r="M16" s="65">
        <f t="shared" si="4"/>
        <v>0</v>
      </c>
      <c r="N16" s="46">
        <f t="shared" si="5"/>
        <v>0</v>
      </c>
      <c r="O16" s="47">
        <v>6.9699999999999998E-2</v>
      </c>
      <c r="P16">
        <f t="shared" si="6"/>
        <v>0.79</v>
      </c>
      <c r="Q16" s="68">
        <f t="shared" si="9"/>
        <v>0</v>
      </c>
      <c r="R16" s="64"/>
      <c r="S16" s="70">
        <f t="shared" si="7"/>
        <v>0</v>
      </c>
    </row>
    <row r="17" spans="1:19" ht="15.75" thickBot="1" x14ac:dyDescent="0.3">
      <c r="A17" s="67"/>
      <c r="C17" s="65">
        <f t="shared" si="0"/>
        <v>0</v>
      </c>
      <c r="F17" s="73"/>
      <c r="G17" s="46">
        <f>SUM(G5:G16)</f>
        <v>-52770.271257312241</v>
      </c>
      <c r="H17" s="46">
        <f>SUM(H5:H16)</f>
        <v>-51281.527930250013</v>
      </c>
      <c r="I17" s="74">
        <f>SUM(I5:I16)</f>
        <v>-1488.7433270622391</v>
      </c>
      <c r="Q17" s="46">
        <f>SUM(Q5:Q16)</f>
        <v>-17122.860371960971</v>
      </c>
      <c r="R17" s="46">
        <f>SUM(R5:R16)</f>
        <v>-13762.259999999998</v>
      </c>
      <c r="S17" s="74">
        <f>SUM(S5:S16)</f>
        <v>-3360.6003719609712</v>
      </c>
    </row>
    <row r="18" spans="1:19" ht="15.75" thickTop="1" x14ac:dyDescent="0.25">
      <c r="A18" s="67">
        <v>43040</v>
      </c>
      <c r="D18" s="46">
        <v>-696154.94000000006</v>
      </c>
      <c r="H18" s="75"/>
      <c r="I18" s="46"/>
      <c r="K18" s="67">
        <v>43040</v>
      </c>
      <c r="N18" s="46">
        <v>-9768.9085000000014</v>
      </c>
      <c r="R18" s="75"/>
      <c r="S18" s="76"/>
    </row>
    <row r="19" spans="1:19" x14ac:dyDescent="0.25">
      <c r="A19" s="67">
        <v>43070</v>
      </c>
      <c r="B19" s="64">
        <v>-1196228.01</v>
      </c>
      <c r="C19" s="65">
        <f t="shared" ref="C19" si="10">-B19*0.35</f>
        <v>418679.80349999998</v>
      </c>
      <c r="D19" s="46">
        <f t="shared" ref="D19" si="11">+B19+C19</f>
        <v>-777548.20650000009</v>
      </c>
      <c r="E19" s="47">
        <f>+'Conv F and COC UE-180282'!$E$39</f>
        <v>6.9699999999999998E-2</v>
      </c>
      <c r="F19">
        <v>0.65</v>
      </c>
      <c r="G19" s="68">
        <f t="shared" ref="G19" si="12">(D19+D18)/2*E19/12/F19</f>
        <v>-6584.4300840416672</v>
      </c>
      <c r="H19" s="68">
        <v>-6319.92</v>
      </c>
      <c r="I19" s="70">
        <f t="shared" ref="I19" si="13">+G19-H19</f>
        <v>-264.51008404166714</v>
      </c>
      <c r="K19" s="67">
        <v>43070</v>
      </c>
      <c r="L19" s="64">
        <v>-15030.31</v>
      </c>
      <c r="M19" s="65">
        <f t="shared" ref="M19" si="14">-L19*0.35</f>
        <v>5260.6084999999994</v>
      </c>
      <c r="N19" s="46">
        <f t="shared" ref="N19" si="15">+L19+M19</f>
        <v>-9769.7014999999992</v>
      </c>
      <c r="O19" s="47">
        <v>6.9699999999999998E-2</v>
      </c>
      <c r="P19">
        <v>0.65</v>
      </c>
      <c r="Q19" s="68">
        <f t="shared" ref="Q19" si="16">(N19+N18)/2*O19/12/P19</f>
        <v>-87.297507499999995</v>
      </c>
      <c r="R19" s="68">
        <v>-83.79</v>
      </c>
      <c r="S19" s="70">
        <f t="shared" ref="S19" si="17">+Q19-R19</f>
        <v>-3.5075074999999885</v>
      </c>
    </row>
    <row r="20" spans="1:19" x14ac:dyDescent="0.25">
      <c r="H20" s="79" t="s">
        <v>68</v>
      </c>
      <c r="I20" s="78">
        <f>+I17+I19</f>
        <v>-1753.2534111039063</v>
      </c>
      <c r="R20" s="79" t="s">
        <v>68</v>
      </c>
      <c r="S20" s="78">
        <f>+S17+S19</f>
        <v>-3364.1078794609712</v>
      </c>
    </row>
    <row r="22" spans="1:19" x14ac:dyDescent="0.25">
      <c r="A22" s="79" t="s">
        <v>68</v>
      </c>
      <c r="B22" t="s">
        <v>82</v>
      </c>
    </row>
    <row r="24" spans="1:19" x14ac:dyDescent="0.25">
      <c r="A24" s="67"/>
    </row>
    <row r="25" spans="1:19" x14ac:dyDescent="0.25">
      <c r="A25" s="67"/>
    </row>
    <row r="26" spans="1:19" x14ac:dyDescent="0.25">
      <c r="A26" s="67"/>
    </row>
    <row r="27" spans="1:19" x14ac:dyDescent="0.25">
      <c r="A27" s="67"/>
    </row>
    <row r="28" spans="1:19" x14ac:dyDescent="0.25">
      <c r="A28" s="67"/>
      <c r="B28" s="77"/>
      <c r="F28" s="73"/>
    </row>
    <row r="29" spans="1:19" x14ac:dyDescent="0.25">
      <c r="A29" s="67"/>
      <c r="B29" t="s">
        <v>66</v>
      </c>
      <c r="L29" t="s">
        <v>67</v>
      </c>
    </row>
    <row r="30" spans="1:19" x14ac:dyDescent="0.25">
      <c r="A30" s="67"/>
      <c r="R30" s="64"/>
    </row>
    <row r="31" spans="1:19" x14ac:dyDescent="0.25">
      <c r="A31" s="67"/>
      <c r="R31" s="64"/>
    </row>
    <row r="32" spans="1:19" x14ac:dyDescent="0.25">
      <c r="R32" s="64"/>
    </row>
    <row r="33" spans="9:19" x14ac:dyDescent="0.25">
      <c r="R33" s="64"/>
    </row>
    <row r="48" spans="9:19" x14ac:dyDescent="0.25">
      <c r="I48" s="68">
        <f>+B14</f>
        <v>-1162059.0500000003</v>
      </c>
      <c r="S48" s="46">
        <f>+L14</f>
        <v>-115877.17000000001</v>
      </c>
    </row>
  </sheetData>
  <pageMargins left="0.7" right="0.7" top="0.75" bottom="0.75" header="0.3" footer="0.3"/>
  <pageSetup scale="57" fitToHeight="2" orientation="landscape" r:id="rId1"/>
  <rowBreaks count="1" manualBreakCount="1">
    <brk id="49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9" workbookViewId="0">
      <selection activeCell="F43" sqref="F43"/>
    </sheetView>
  </sheetViews>
  <sheetFormatPr defaultRowHeight="15" x14ac:dyDescent="0.25"/>
  <cols>
    <col min="1" max="1" width="5" bestFit="1" customWidth="1"/>
    <col min="2" max="2" width="61.7109375" bestFit="1" customWidth="1"/>
    <col min="3" max="3" width="11.85546875" bestFit="1" customWidth="1"/>
    <col min="4" max="4" width="7.28515625" bestFit="1" customWidth="1"/>
    <col min="5" max="5" width="27" bestFit="1" customWidth="1"/>
  </cols>
  <sheetData>
    <row r="1" spans="1:5" x14ac:dyDescent="0.25">
      <c r="A1" s="27"/>
      <c r="B1" s="27"/>
      <c r="C1" s="27"/>
      <c r="D1" s="27"/>
      <c r="E1" s="27"/>
    </row>
    <row r="2" spans="1:5" x14ac:dyDescent="0.25">
      <c r="A2" s="27"/>
      <c r="B2" s="27"/>
      <c r="C2" s="27"/>
      <c r="D2" s="27"/>
      <c r="E2" s="27"/>
    </row>
    <row r="3" spans="1:5" x14ac:dyDescent="0.25">
      <c r="A3" s="27"/>
      <c r="B3" s="27"/>
      <c r="C3" s="27"/>
      <c r="D3" s="27"/>
      <c r="E3" s="27"/>
    </row>
    <row r="4" spans="1:5" x14ac:dyDescent="0.25">
      <c r="A4" s="28"/>
      <c r="B4" s="28"/>
      <c r="C4" s="28"/>
      <c r="D4" s="28"/>
      <c r="E4" s="29" t="s">
        <v>52</v>
      </c>
    </row>
    <row r="5" spans="1:5" x14ac:dyDescent="0.25">
      <c r="A5" s="30" t="s">
        <v>30</v>
      </c>
      <c r="B5" s="31"/>
      <c r="C5" s="31"/>
      <c r="D5" s="31"/>
      <c r="E5" s="32"/>
    </row>
    <row r="6" spans="1:5" x14ac:dyDescent="0.25">
      <c r="A6" s="31" t="s">
        <v>31</v>
      </c>
      <c r="B6" s="31"/>
      <c r="C6" s="31"/>
      <c r="D6" s="31"/>
      <c r="E6" s="31"/>
    </row>
    <row r="7" spans="1:5" x14ac:dyDescent="0.25">
      <c r="A7" s="31" t="s">
        <v>51</v>
      </c>
      <c r="B7" s="31"/>
      <c r="C7" s="31"/>
      <c r="D7" s="31"/>
      <c r="E7" s="31"/>
    </row>
    <row r="8" spans="1:5" x14ac:dyDescent="0.25">
      <c r="A8" s="30" t="s">
        <v>32</v>
      </c>
      <c r="B8" s="31"/>
      <c r="C8" s="31"/>
      <c r="D8" s="31"/>
      <c r="E8" s="31"/>
    </row>
    <row r="9" spans="1:5" x14ac:dyDescent="0.25">
      <c r="A9" s="28"/>
      <c r="B9" s="28"/>
      <c r="C9" s="28"/>
      <c r="D9" s="28"/>
      <c r="E9" s="28"/>
    </row>
    <row r="10" spans="1:5" x14ac:dyDescent="0.25">
      <c r="A10" s="33" t="s">
        <v>33</v>
      </c>
      <c r="B10" s="28"/>
      <c r="C10" s="28"/>
      <c r="D10" s="28"/>
      <c r="E10" s="28"/>
    </row>
    <row r="11" spans="1:5" x14ac:dyDescent="0.25">
      <c r="A11" s="34" t="s">
        <v>34</v>
      </c>
      <c r="B11" s="35" t="s">
        <v>35</v>
      </c>
      <c r="C11" s="36"/>
      <c r="D11" s="36"/>
      <c r="E11" s="37" t="s">
        <v>36</v>
      </c>
    </row>
    <row r="12" spans="1:5" x14ac:dyDescent="0.25">
      <c r="A12" s="38"/>
      <c r="B12" s="38"/>
      <c r="C12" s="38"/>
      <c r="D12" s="38"/>
      <c r="E12" s="39"/>
    </row>
    <row r="13" spans="1:5" x14ac:dyDescent="0.25">
      <c r="A13" s="39">
        <v>1</v>
      </c>
      <c r="B13" s="40" t="s">
        <v>37</v>
      </c>
      <c r="C13" s="38"/>
      <c r="D13" s="38"/>
      <c r="E13" s="41">
        <v>7.1570000000000002E-3</v>
      </c>
    </row>
    <row r="14" spans="1:5" x14ac:dyDescent="0.25">
      <c r="A14" s="39">
        <v>2</v>
      </c>
      <c r="B14" s="40" t="s">
        <v>38</v>
      </c>
      <c r="C14" s="38"/>
      <c r="D14" s="38"/>
      <c r="E14" s="41">
        <v>2E-3</v>
      </c>
    </row>
    <row r="15" spans="1:5" x14ac:dyDescent="0.25">
      <c r="A15" s="39">
        <v>3</v>
      </c>
      <c r="B15" s="40" t="str">
        <f>"STATE UTILITY TAX ( "&amp;D15*100&amp;"% - ( LINE 1 * "&amp;D15*100&amp;"% )  )"</f>
        <v>STATE UTILITY TAX ( 3.8734% - ( LINE 1 * 3.8734% )  )</v>
      </c>
      <c r="C15" s="51"/>
      <c r="D15" s="42">
        <v>3.8733999999999998E-2</v>
      </c>
      <c r="E15" s="43">
        <f>ROUND(D15-(D15*E13),6)</f>
        <v>3.8456999999999998E-2</v>
      </c>
    </row>
    <row r="16" spans="1:5" x14ac:dyDescent="0.25">
      <c r="A16" s="39">
        <v>4</v>
      </c>
      <c r="B16" s="40"/>
      <c r="C16" s="38"/>
      <c r="D16" s="38"/>
      <c r="E16" s="44"/>
    </row>
    <row r="17" spans="1:5" x14ac:dyDescent="0.25">
      <c r="A17" s="39">
        <v>5</v>
      </c>
      <c r="B17" s="40" t="s">
        <v>39</v>
      </c>
      <c r="C17" s="38"/>
      <c r="D17" s="38"/>
      <c r="E17" s="41">
        <f>ROUND(SUM(E13:E15),6)</f>
        <v>4.7613999999999997E-2</v>
      </c>
    </row>
    <row r="18" spans="1:5" x14ac:dyDescent="0.25">
      <c r="A18" s="39">
        <v>6</v>
      </c>
      <c r="B18" s="38"/>
      <c r="C18" s="38"/>
      <c r="D18" s="38"/>
      <c r="E18" s="41"/>
    </row>
    <row r="19" spans="1:5" x14ac:dyDescent="0.25">
      <c r="A19" s="39">
        <v>7</v>
      </c>
      <c r="B19" s="38" t="str">
        <f>"CONVERSION FACTOR EXCLUDING FEDERAL INCOME TAX ( 1 - LINE "&amp;$I$17&amp;" )"</f>
        <v>CONVERSION FACTOR EXCLUDING FEDERAL INCOME TAX ( 1 - LINE  )</v>
      </c>
      <c r="C19" s="38"/>
      <c r="D19" s="38"/>
      <c r="E19" s="41">
        <f>ROUND(1-E17,6)</f>
        <v>0.95238599999999995</v>
      </c>
    </row>
    <row r="20" spans="1:5" ht="15.75" thickBot="1" x14ac:dyDescent="0.3">
      <c r="A20" s="39">
        <v>8</v>
      </c>
      <c r="B20" s="40" t="str">
        <f>"FEDERAL INCOME TAX ( LINE "&amp;A19&amp;"  * "&amp;k_FITrate*100&amp;"% )"</f>
        <v>FEDERAL INCOME TAX ( LINE 7  * 0% )</v>
      </c>
      <c r="C20" s="38"/>
      <c r="D20" s="52">
        <v>0.21</v>
      </c>
      <c r="E20" s="53">
        <f>ROUND((E19)*D20,6)</f>
        <v>0.20000100000000001</v>
      </c>
    </row>
    <row r="21" spans="1:5" ht="16.5" thickTop="1" thickBot="1" x14ac:dyDescent="0.3">
      <c r="A21" s="39">
        <v>9</v>
      </c>
      <c r="B21" s="40" t="str">
        <f>"CONVERSION FACTOR INCL FEDERAL INCOME TAX ( LINE "&amp;A19&amp;" - LINE "&amp;A20&amp;" ) "</f>
        <v xml:space="preserve">CONVERSION FACTOR INCL FEDERAL INCOME TAX ( LINE 7 - LINE 8 ) </v>
      </c>
      <c r="C21" s="38"/>
      <c r="D21" s="38"/>
      <c r="E21" s="53">
        <f>E19-E20</f>
        <v>0.75238499999999997</v>
      </c>
    </row>
    <row r="22" spans="1:5" ht="15.75" thickTop="1" x14ac:dyDescent="0.25"/>
    <row r="25" spans="1:5" x14ac:dyDescent="0.25">
      <c r="A25" s="30" t="s">
        <v>30</v>
      </c>
      <c r="B25" s="80"/>
      <c r="C25" s="31"/>
      <c r="D25" s="31"/>
      <c r="E25" s="31"/>
    </row>
    <row r="26" spans="1:5" x14ac:dyDescent="0.25">
      <c r="A26" s="81" t="s">
        <v>69</v>
      </c>
      <c r="B26" s="80"/>
      <c r="C26" s="31"/>
      <c r="D26" s="31"/>
      <c r="E26" s="31"/>
    </row>
    <row r="27" spans="1:5" x14ac:dyDescent="0.25">
      <c r="A27" s="31" t="s">
        <v>51</v>
      </c>
      <c r="B27" s="80"/>
      <c r="C27" s="31"/>
      <c r="D27" s="31"/>
      <c r="E27" s="31"/>
    </row>
    <row r="28" spans="1:5" x14ac:dyDescent="0.25">
      <c r="A28" s="30" t="s">
        <v>70</v>
      </c>
      <c r="B28" s="80"/>
      <c r="C28" s="31"/>
      <c r="D28" s="31"/>
      <c r="E28" s="31"/>
    </row>
    <row r="29" spans="1:5" x14ac:dyDescent="0.25">
      <c r="A29" s="82"/>
      <c r="B29" s="38"/>
      <c r="C29" s="38"/>
      <c r="D29" s="33"/>
      <c r="E29" s="33"/>
    </row>
    <row r="30" spans="1:5" x14ac:dyDescent="0.25">
      <c r="A30" s="33" t="s">
        <v>33</v>
      </c>
      <c r="B30" s="38"/>
      <c r="C30" s="33" t="s">
        <v>71</v>
      </c>
      <c r="D30" s="33" t="s">
        <v>72</v>
      </c>
      <c r="E30" s="33" t="s">
        <v>73</v>
      </c>
    </row>
    <row r="31" spans="1:5" x14ac:dyDescent="0.25">
      <c r="A31" s="34" t="s">
        <v>34</v>
      </c>
      <c r="B31" s="83" t="s">
        <v>35</v>
      </c>
      <c r="C31" s="34" t="s">
        <v>74</v>
      </c>
      <c r="D31" s="34" t="s">
        <v>75</v>
      </c>
      <c r="E31" s="34" t="s">
        <v>76</v>
      </c>
    </row>
    <row r="32" spans="1:5" x14ac:dyDescent="0.25">
      <c r="A32" s="84"/>
      <c r="B32" s="84"/>
      <c r="C32" s="84"/>
      <c r="D32" s="84"/>
      <c r="E32" s="84"/>
    </row>
    <row r="33" spans="1:5" x14ac:dyDescent="0.25">
      <c r="A33" s="39">
        <v>1</v>
      </c>
      <c r="B33" s="38" t="s">
        <v>77</v>
      </c>
      <c r="C33" s="85">
        <v>0.51500000000000001</v>
      </c>
      <c r="D33" s="85">
        <v>5.8058252427184473E-2</v>
      </c>
      <c r="E33" s="85">
        <f>ROUND(+C33*D33,4)</f>
        <v>2.9899999999999999E-2</v>
      </c>
    </row>
    <row r="34" spans="1:5" x14ac:dyDescent="0.25">
      <c r="A34" s="39">
        <v>2</v>
      </c>
      <c r="B34" s="38" t="s">
        <v>78</v>
      </c>
      <c r="C34" s="85">
        <v>0.48499999999999999</v>
      </c>
      <c r="D34" s="85">
        <v>9.5000000000000001E-2</v>
      </c>
      <c r="E34" s="85">
        <f>ROUND(+C34*D34,4)</f>
        <v>4.6100000000000002E-2</v>
      </c>
    </row>
    <row r="35" spans="1:5" x14ac:dyDescent="0.25">
      <c r="A35" s="39">
        <v>3</v>
      </c>
      <c r="B35" s="38" t="s">
        <v>79</v>
      </c>
      <c r="C35" s="86">
        <f>SUM(C33:C34)</f>
        <v>1</v>
      </c>
      <c r="D35" s="87"/>
      <c r="E35" s="86">
        <f>SUM(E33:E34)</f>
        <v>7.5999999999999998E-2</v>
      </c>
    </row>
    <row r="36" spans="1:5" x14ac:dyDescent="0.25">
      <c r="A36" s="39">
        <v>4</v>
      </c>
      <c r="B36" s="51"/>
      <c r="C36" s="38"/>
      <c r="D36" s="38"/>
      <c r="E36" s="88"/>
    </row>
    <row r="37" spans="1:5" x14ac:dyDescent="0.25">
      <c r="A37" s="39">
        <v>5</v>
      </c>
      <c r="B37" s="38" t="s">
        <v>80</v>
      </c>
      <c r="C37" s="89">
        <f>+C33</f>
        <v>0.51500000000000001</v>
      </c>
      <c r="D37" s="89">
        <f>+D33</f>
        <v>5.8058252427184473E-2</v>
      </c>
      <c r="E37" s="90">
        <f>ROUND(E33*0.79,4)</f>
        <v>2.3599999999999999E-2</v>
      </c>
    </row>
    <row r="38" spans="1:5" x14ac:dyDescent="0.25">
      <c r="A38" s="39">
        <v>6</v>
      </c>
      <c r="B38" s="38" t="s">
        <v>78</v>
      </c>
      <c r="C38" s="89">
        <f>+C34</f>
        <v>0.48499999999999999</v>
      </c>
      <c r="D38" s="89">
        <f>+D34</f>
        <v>9.5000000000000001E-2</v>
      </c>
      <c r="E38" s="85">
        <f>ROUND(C38*D38,4)</f>
        <v>4.6100000000000002E-2</v>
      </c>
    </row>
    <row r="39" spans="1:5" x14ac:dyDescent="0.25">
      <c r="A39" s="39">
        <v>7</v>
      </c>
      <c r="B39" s="38" t="s">
        <v>81</v>
      </c>
      <c r="C39" s="86">
        <f>SUM(C37:C38)</f>
        <v>1</v>
      </c>
      <c r="D39" s="87"/>
      <c r="E39" s="91">
        <f>SUM(E37:E38)</f>
        <v>6.9699999999999998E-2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1:I39"/>
  <sheetViews>
    <sheetView zoomScaleNormal="100" workbookViewId="0">
      <selection activeCell="D17" sqref="D17"/>
    </sheetView>
  </sheetViews>
  <sheetFormatPr defaultRowHeight="15" x14ac:dyDescent="0.25"/>
  <cols>
    <col min="1" max="1" width="9.7109375" customWidth="1"/>
    <col min="2" max="2" width="15.85546875" customWidth="1"/>
    <col min="3" max="3" width="14" bestFit="1" customWidth="1"/>
    <col min="4" max="4" width="12.28515625" bestFit="1" customWidth="1"/>
    <col min="5" max="5" width="14" bestFit="1" customWidth="1"/>
    <col min="7" max="7" width="8.140625" bestFit="1" customWidth="1"/>
    <col min="8" max="8" width="11.7109375" customWidth="1"/>
    <col min="9" max="9" width="8.7109375" bestFit="1" customWidth="1"/>
  </cols>
  <sheetData>
    <row r="1" spans="1:9" ht="15.75" thickBot="1" x14ac:dyDescent="0.3">
      <c r="A1" s="58" t="s">
        <v>54</v>
      </c>
      <c r="B1" s="58"/>
    </row>
    <row r="2" spans="1:9" ht="15.75" thickBot="1" x14ac:dyDescent="0.3">
      <c r="C2" s="115"/>
      <c r="D2" s="116"/>
      <c r="E2" s="116"/>
      <c r="F2" s="116"/>
      <c r="G2" s="116"/>
      <c r="H2" s="117"/>
    </row>
    <row r="3" spans="1:9" s="59" customFormat="1" ht="105.75" thickBot="1" x14ac:dyDescent="0.3">
      <c r="A3" s="59" t="s">
        <v>55</v>
      </c>
      <c r="B3" s="59" t="s">
        <v>87</v>
      </c>
      <c r="C3" s="112" t="s">
        <v>88</v>
      </c>
      <c r="D3" s="113" t="s">
        <v>56</v>
      </c>
      <c r="E3" s="113" t="s">
        <v>57</v>
      </c>
      <c r="F3" s="113" t="s">
        <v>58</v>
      </c>
      <c r="G3" s="113" t="s">
        <v>59</v>
      </c>
      <c r="H3" s="114" t="s">
        <v>60</v>
      </c>
      <c r="I3" s="63"/>
    </row>
    <row r="4" spans="1:9" s="59" customFormat="1" ht="45" x14ac:dyDescent="0.25">
      <c r="A4" s="59" t="s">
        <v>106</v>
      </c>
      <c r="C4" s="64">
        <f>+'Tracking Accounts'!G18+'Tracking Accounts'!O18</f>
        <v>-1277936.2200000002</v>
      </c>
      <c r="D4" s="65">
        <f t="shared" ref="D4:D19" si="0">-C4*0.21</f>
        <v>268366.60620000004</v>
      </c>
      <c r="E4" s="46">
        <f>+C4+D4</f>
        <v>-1009569.6138000002</v>
      </c>
      <c r="F4" s="47">
        <f>+'Conv F and COC UE-180282'!$E$39</f>
        <v>6.9699999999999998E-2</v>
      </c>
      <c r="G4" s="121">
        <f>1-'Conv F and COC UE-180282'!$D$20</f>
        <v>0.79</v>
      </c>
      <c r="H4" s="68"/>
      <c r="I4" s="63"/>
    </row>
    <row r="5" spans="1:9" x14ac:dyDescent="0.25">
      <c r="A5" s="67">
        <v>43405</v>
      </c>
      <c r="B5" s="4">
        <f>+'Interest 2018 Rate'!B23</f>
        <v>52775.254781643365</v>
      </c>
      <c r="C5" s="64">
        <f>+C4+B5</f>
        <v>-1225160.9652183568</v>
      </c>
      <c r="D5" s="65">
        <f t="shared" si="0"/>
        <v>257283.80269585492</v>
      </c>
      <c r="E5" s="46">
        <f>+C5+D5</f>
        <v>-967877.16252250189</v>
      </c>
      <c r="F5" s="47">
        <f>+'Conv F and COC UE-180282'!$E$39</f>
        <v>6.9699999999999998E-2</v>
      </c>
      <c r="G5" s="121">
        <f>1-'Conv F and COC UE-180282'!$D$20</f>
        <v>0.79</v>
      </c>
      <c r="H5" s="65">
        <f>(E5+E4)/2*F5/12/G5</f>
        <v>-7269.4114087383114</v>
      </c>
      <c r="I5" s="69"/>
    </row>
    <row r="6" spans="1:9" x14ac:dyDescent="0.25">
      <c r="A6" s="67">
        <v>43435</v>
      </c>
      <c r="B6" s="4">
        <f>+'Interest 2018 Rate'!B24</f>
        <v>61982.913068908056</v>
      </c>
      <c r="C6" s="64">
        <f t="shared" ref="C6:C18" si="1">+C5+B6</f>
        <v>-1163178.0521494488</v>
      </c>
      <c r="D6" s="65">
        <f t="shared" si="0"/>
        <v>244267.39095138424</v>
      </c>
      <c r="E6" s="46">
        <f t="shared" ref="E6:E18" si="2">+C6+D6</f>
        <v>-918910.66119806457</v>
      </c>
      <c r="F6" s="47">
        <f>+'Conv F and COC UE-180282'!$E$39</f>
        <v>6.9699999999999998E-2</v>
      </c>
      <c r="G6" s="121">
        <f>1-'Conv F and COC UE-180282'!$D$20</f>
        <v>0.79</v>
      </c>
      <c r="H6" s="65">
        <f>(E6+E5)/2*F6/12/G6</f>
        <v>-6936.1345629390016</v>
      </c>
      <c r="I6" s="69"/>
    </row>
    <row r="7" spans="1:9" x14ac:dyDescent="0.25">
      <c r="A7" s="67">
        <v>43466</v>
      </c>
      <c r="B7" s="65">
        <f>-$C$6*C26</f>
        <v>120028.8204412341</v>
      </c>
      <c r="C7" s="64">
        <f t="shared" si="1"/>
        <v>-1043149.2317082146</v>
      </c>
      <c r="D7" s="65">
        <f t="shared" si="0"/>
        <v>219061.33865872506</v>
      </c>
      <c r="E7" s="46">
        <f t="shared" si="2"/>
        <v>-824087.89304948959</v>
      </c>
      <c r="F7" s="47">
        <f>+'Conv F and COC UE-180282'!$E$39</f>
        <v>6.9699999999999998E-2</v>
      </c>
      <c r="G7" s="121">
        <f>1-'Conv F and COC UE-180282'!$D$20</f>
        <v>0.79</v>
      </c>
      <c r="H7" s="65">
        <f t="shared" ref="H7:H14" si="3">(E7+E6)/2*F7/12/G7</f>
        <v>-6407.5421535366304</v>
      </c>
      <c r="I7" s="69"/>
    </row>
    <row r="8" spans="1:9" x14ac:dyDescent="0.25">
      <c r="A8" s="67">
        <v>43497</v>
      </c>
      <c r="B8" s="65">
        <f t="shared" ref="B8:B18" si="4">-$C$6*C27</f>
        <v>103278.45264532878</v>
      </c>
      <c r="C8" s="64">
        <f t="shared" si="1"/>
        <v>-939870.77906288579</v>
      </c>
      <c r="D8" s="65">
        <f t="shared" si="0"/>
        <v>197372.863603206</v>
      </c>
      <c r="E8" s="46">
        <f t="shared" si="2"/>
        <v>-742497.91545967979</v>
      </c>
      <c r="F8" s="47">
        <f>+'Conv F and COC UE-180282'!$E$39</f>
        <v>6.9699999999999998E-2</v>
      </c>
      <c r="G8" s="121">
        <f>1-'Conv F and COC UE-180282'!$D$20</f>
        <v>0.79</v>
      </c>
      <c r="H8" s="65">
        <f t="shared" si="3"/>
        <v>-5759.0206146144046</v>
      </c>
      <c r="I8" s="69"/>
    </row>
    <row r="9" spans="1:9" x14ac:dyDescent="0.25">
      <c r="A9" s="67">
        <v>43525</v>
      </c>
      <c r="B9" s="65">
        <f t="shared" si="4"/>
        <v>106253.5534377616</v>
      </c>
      <c r="C9" s="64">
        <f t="shared" si="1"/>
        <v>-833617.22562512418</v>
      </c>
      <c r="D9" s="65">
        <f t="shared" si="0"/>
        <v>175059.61738127607</v>
      </c>
      <c r="E9" s="46">
        <f t="shared" si="2"/>
        <v>-658557.60824384808</v>
      </c>
      <c r="F9" s="47">
        <f>+'Conv F and COC UE-180282'!$E$39</f>
        <v>6.9699999999999998E-2</v>
      </c>
      <c r="G9" s="121">
        <f>1-'Conv F and COC UE-180282'!$D$20</f>
        <v>0.79</v>
      </c>
      <c r="H9" s="65">
        <f t="shared" si="3"/>
        <v>-5150.504746948096</v>
      </c>
      <c r="I9" s="69"/>
    </row>
    <row r="10" spans="1:9" x14ac:dyDescent="0.25">
      <c r="A10" s="67">
        <v>43556</v>
      </c>
      <c r="B10" s="65">
        <f t="shared" si="4"/>
        <v>92536.992382359851</v>
      </c>
      <c r="C10" s="64">
        <f t="shared" si="1"/>
        <v>-741080.23324276437</v>
      </c>
      <c r="D10" s="65">
        <f t="shared" si="0"/>
        <v>155626.84898098052</v>
      </c>
      <c r="E10" s="46">
        <f t="shared" si="2"/>
        <v>-585453.38426178391</v>
      </c>
      <c r="F10" s="47">
        <f>+'Conv F and COC UE-180282'!$E$39</f>
        <v>6.9699999999999998E-2</v>
      </c>
      <c r="G10" s="121">
        <f>1-'Conv F and COC UE-180282'!$D$20</f>
        <v>0.79</v>
      </c>
      <c r="H10" s="65">
        <f t="shared" si="3"/>
        <v>-4573.1838701288261</v>
      </c>
      <c r="I10" s="69"/>
    </row>
    <row r="11" spans="1:9" x14ac:dyDescent="0.25">
      <c r="A11" s="67">
        <v>43586</v>
      </c>
      <c r="B11" s="65">
        <f t="shared" si="4"/>
        <v>85830.52640850161</v>
      </c>
      <c r="C11" s="64">
        <f t="shared" si="1"/>
        <v>-655249.7068342627</v>
      </c>
      <c r="D11" s="65">
        <f t="shared" si="0"/>
        <v>137602.43843519516</v>
      </c>
      <c r="E11" s="46">
        <f t="shared" si="2"/>
        <v>-517647.26839906757</v>
      </c>
      <c r="F11" s="47">
        <f>+'Conv F and COC UE-180282'!$E$39</f>
        <v>6.9699999999999998E-2</v>
      </c>
      <c r="G11" s="121">
        <f>1-'Conv F and COC UE-180282'!$D$20</f>
        <v>0.79</v>
      </c>
      <c r="H11" s="65">
        <f t="shared" si="3"/>
        <v>-4055.1748676403658</v>
      </c>
      <c r="I11" s="69"/>
    </row>
    <row r="12" spans="1:9" x14ac:dyDescent="0.25">
      <c r="A12" s="67">
        <v>43617</v>
      </c>
      <c r="B12" s="65">
        <f t="shared" si="4"/>
        <v>82378.811088263334</v>
      </c>
      <c r="C12" s="64">
        <f t="shared" si="1"/>
        <v>-572870.89574599941</v>
      </c>
      <c r="D12" s="65">
        <f t="shared" si="0"/>
        <v>120302.88810665987</v>
      </c>
      <c r="E12" s="46">
        <f t="shared" si="2"/>
        <v>-452568.00763933954</v>
      </c>
      <c r="F12" s="47">
        <f>+'Conv F and COC UE-180282'!$E$39</f>
        <v>6.9699999999999998E-2</v>
      </c>
      <c r="G12" s="121">
        <f>1-'Conv F and COC UE-180282'!$D$20</f>
        <v>0.79</v>
      </c>
      <c r="H12" s="65">
        <f t="shared" si="3"/>
        <v>-3566.6669166601773</v>
      </c>
      <c r="I12" s="69"/>
    </row>
    <row r="13" spans="1:9" x14ac:dyDescent="0.25">
      <c r="A13" s="67">
        <v>43647</v>
      </c>
      <c r="B13" s="65">
        <f t="shared" si="4"/>
        <v>84823.074011710327</v>
      </c>
      <c r="C13" s="64">
        <f t="shared" si="1"/>
        <v>-488047.82173428906</v>
      </c>
      <c r="D13" s="65">
        <f t="shared" si="0"/>
        <v>102490.0425642007</v>
      </c>
      <c r="E13" s="46">
        <f t="shared" si="2"/>
        <v>-385557.77917008835</v>
      </c>
      <c r="F13" s="47">
        <f>+'Conv F and COC UE-180282'!$E$39</f>
        <v>6.9699999999999998E-2</v>
      </c>
      <c r="G13" s="121">
        <f>1-'Conv F and COC UE-180282'!$D$20</f>
        <v>0.79</v>
      </c>
      <c r="H13" s="65">
        <f t="shared" si="3"/>
        <v>-3081.0847753490038</v>
      </c>
      <c r="I13" s="69"/>
    </row>
    <row r="14" spans="1:9" x14ac:dyDescent="0.25">
      <c r="A14" s="67">
        <v>43678</v>
      </c>
      <c r="B14" s="65">
        <f t="shared" si="4"/>
        <v>85176.335839061649</v>
      </c>
      <c r="C14" s="64">
        <f t="shared" si="1"/>
        <v>-402871.48589522741</v>
      </c>
      <c r="D14" s="65">
        <f t="shared" si="0"/>
        <v>84603.01203799776</v>
      </c>
      <c r="E14" s="46">
        <f t="shared" si="2"/>
        <v>-318268.47385722963</v>
      </c>
      <c r="F14" s="47">
        <f>+'Conv F and COC UE-180282'!$E$39</f>
        <v>6.9699999999999998E-2</v>
      </c>
      <c r="G14" s="121">
        <f>1-'Conv F and COC UE-180282'!$D$20</f>
        <v>0.79</v>
      </c>
      <c r="H14" s="65">
        <f t="shared" si="3"/>
        <v>-2587.3781559073873</v>
      </c>
      <c r="I14" s="69"/>
    </row>
    <row r="15" spans="1:9" x14ac:dyDescent="0.25">
      <c r="A15" s="67">
        <v>43709</v>
      </c>
      <c r="B15" s="65">
        <f t="shared" si="4"/>
        <v>82415.752089625254</v>
      </c>
      <c r="C15" s="64">
        <f t="shared" si="1"/>
        <v>-320455.73380560218</v>
      </c>
      <c r="D15" s="65">
        <f t="shared" si="0"/>
        <v>67295.704099176452</v>
      </c>
      <c r="E15" s="46">
        <f t="shared" si="2"/>
        <v>-253160.02970642573</v>
      </c>
      <c r="F15" s="47">
        <f>+'Conv F and COC UE-180282'!$E$39</f>
        <v>6.9699999999999998E-2</v>
      </c>
      <c r="G15" s="121">
        <f>1-'Conv F and COC UE-180282'!$D$20</f>
        <v>0.79</v>
      </c>
      <c r="H15" s="65">
        <f t="shared" ref="H15:H18" si="5">(E15+E14)/2*F15/12/G15</f>
        <v>-2100.6628005478256</v>
      </c>
      <c r="I15" s="69"/>
    </row>
    <row r="16" spans="1:9" x14ac:dyDescent="0.25">
      <c r="A16" s="67">
        <v>43739</v>
      </c>
      <c r="B16" s="65">
        <f t="shared" si="4"/>
        <v>92709.00567086527</v>
      </c>
      <c r="C16" s="64">
        <f t="shared" si="1"/>
        <v>-227746.72813473691</v>
      </c>
      <c r="D16" s="65">
        <f t="shared" si="0"/>
        <v>47826.812908294749</v>
      </c>
      <c r="E16" s="46">
        <f t="shared" si="2"/>
        <v>-179919.91522644216</v>
      </c>
      <c r="F16" s="47">
        <f>+'Conv F and COC UE-180282'!$E$39</f>
        <v>6.9699999999999998E-2</v>
      </c>
      <c r="G16" s="121">
        <f>1-'Conv F and COC UE-180282'!$D$20</f>
        <v>0.79</v>
      </c>
      <c r="H16" s="65">
        <f t="shared" si="5"/>
        <v>-1592.0713165517348</v>
      </c>
      <c r="I16" s="69"/>
    </row>
    <row r="17" spans="1:8" x14ac:dyDescent="0.25">
      <c r="A17" s="67">
        <v>43770</v>
      </c>
      <c r="B17" s="65">
        <f t="shared" si="4"/>
        <v>104511.33156212687</v>
      </c>
      <c r="C17" s="64">
        <f t="shared" si="1"/>
        <v>-123235.39657261004</v>
      </c>
      <c r="D17" s="65">
        <f t="shared" si="0"/>
        <v>25879.433280248108</v>
      </c>
      <c r="E17" s="46">
        <f t="shared" si="2"/>
        <v>-97355.963292361936</v>
      </c>
      <c r="F17" s="47">
        <f>+'Conv F and COC UE-180282'!$E$39</f>
        <v>6.9699999999999998E-2</v>
      </c>
      <c r="G17" s="121">
        <f>1-'Conv F and COC UE-180282'!$D$20</f>
        <v>0.79</v>
      </c>
      <c r="H17" s="65">
        <f t="shared" si="5"/>
        <v>-1019.31058717092</v>
      </c>
    </row>
    <row r="18" spans="1:8" x14ac:dyDescent="0.25">
      <c r="A18" s="67">
        <v>43800</v>
      </c>
      <c r="B18" s="65">
        <f t="shared" si="4"/>
        <v>123235.39657261016</v>
      </c>
      <c r="C18" s="64">
        <f t="shared" si="1"/>
        <v>1.1641532182693481E-10</v>
      </c>
      <c r="D18" s="65">
        <f t="shared" si="0"/>
        <v>-2.444721758365631E-11</v>
      </c>
      <c r="E18" s="46">
        <f t="shared" si="2"/>
        <v>9.1968104243278508E-11</v>
      </c>
      <c r="F18" s="47">
        <f>+'Conv F and COC UE-180282'!$E$39</f>
        <v>6.9699999999999998E-2</v>
      </c>
      <c r="G18" s="121">
        <f>1-'Conv F and COC UE-180282'!$D$20</f>
        <v>0.79</v>
      </c>
      <c r="H18" s="65">
        <f t="shared" si="5"/>
        <v>-357.89613087962135</v>
      </c>
    </row>
    <row r="19" spans="1:8" x14ac:dyDescent="0.25">
      <c r="A19" s="67"/>
      <c r="B19" s="67"/>
      <c r="C19" s="64"/>
      <c r="D19" s="65">
        <f t="shared" si="0"/>
        <v>0</v>
      </c>
      <c r="E19" s="46"/>
      <c r="F19" s="47"/>
      <c r="H19" s="68"/>
    </row>
    <row r="20" spans="1:8" x14ac:dyDescent="0.25">
      <c r="G20">
        <v>2018</v>
      </c>
      <c r="H20" s="98">
        <f>SUM(H5:H6)</f>
        <v>-14205.545971677313</v>
      </c>
    </row>
    <row r="22" spans="1:8" x14ac:dyDescent="0.25">
      <c r="A22" s="79"/>
      <c r="B22" s="79"/>
      <c r="G22">
        <v>2019</v>
      </c>
      <c r="H22" s="98">
        <f>SUM(H7:H18)</f>
        <v>-40250.496935935</v>
      </c>
    </row>
    <row r="24" spans="1:8" x14ac:dyDescent="0.25">
      <c r="A24" s="96"/>
      <c r="B24" s="1" t="s">
        <v>93</v>
      </c>
    </row>
    <row r="25" spans="1:8" x14ac:dyDescent="0.25">
      <c r="A25" s="2" t="s">
        <v>86</v>
      </c>
      <c r="B25" s="2" t="s">
        <v>92</v>
      </c>
      <c r="C25" s="2" t="s">
        <v>91</v>
      </c>
    </row>
    <row r="26" spans="1:8" x14ac:dyDescent="0.25">
      <c r="A26" s="96">
        <v>43466</v>
      </c>
      <c r="B26" s="100">
        <v>2222455</v>
      </c>
      <c r="C26" s="101">
        <f>+B26/$B$38</f>
        <v>0.10319041028966425</v>
      </c>
    </row>
    <row r="27" spans="1:8" x14ac:dyDescent="0.25">
      <c r="A27" s="96">
        <v>43497</v>
      </c>
      <c r="B27" s="100">
        <v>1912305</v>
      </c>
      <c r="C27" s="101">
        <f t="shared" ref="C27:C37" si="6">+B27/$B$38</f>
        <v>8.8789891155940798E-2</v>
      </c>
    </row>
    <row r="28" spans="1:8" x14ac:dyDescent="0.25">
      <c r="A28" s="96">
        <v>43525</v>
      </c>
      <c r="B28" s="100">
        <v>1967392</v>
      </c>
      <c r="C28" s="101">
        <f t="shared" si="6"/>
        <v>9.1347625792469647E-2</v>
      </c>
      <c r="G28" s="73"/>
    </row>
    <row r="29" spans="1:8" x14ac:dyDescent="0.25">
      <c r="A29" s="96">
        <v>43556</v>
      </c>
      <c r="B29" s="100">
        <v>1713416</v>
      </c>
      <c r="C29" s="101">
        <f t="shared" si="6"/>
        <v>7.9555311597704056E-2</v>
      </c>
    </row>
    <row r="30" spans="1:8" x14ac:dyDescent="0.25">
      <c r="A30" s="96">
        <v>43586</v>
      </c>
      <c r="B30" s="100">
        <v>1589239</v>
      </c>
      <c r="C30" s="101">
        <f t="shared" si="6"/>
        <v>7.378967153815745E-2</v>
      </c>
    </row>
    <row r="31" spans="1:8" x14ac:dyDescent="0.25">
      <c r="A31" s="96">
        <v>43617</v>
      </c>
      <c r="B31" s="100">
        <v>1525327</v>
      </c>
      <c r="C31" s="101">
        <f t="shared" si="6"/>
        <v>7.0822184906287278E-2</v>
      </c>
    </row>
    <row r="32" spans="1:8" x14ac:dyDescent="0.25">
      <c r="A32" s="96">
        <v>43647</v>
      </c>
      <c r="B32" s="100">
        <v>1570585</v>
      </c>
      <c r="C32" s="101">
        <f t="shared" si="6"/>
        <v>7.2923551003188966E-2</v>
      </c>
    </row>
    <row r="33" spans="1:3" x14ac:dyDescent="0.25">
      <c r="A33" s="96">
        <v>43678</v>
      </c>
      <c r="B33" s="100">
        <v>1577126</v>
      </c>
      <c r="C33" s="101">
        <f t="shared" si="6"/>
        <v>7.3227255003362052E-2</v>
      </c>
    </row>
    <row r="34" spans="1:3" x14ac:dyDescent="0.25">
      <c r="A34" s="96">
        <v>43709</v>
      </c>
      <c r="B34" s="100">
        <v>1526011</v>
      </c>
      <c r="C34" s="101">
        <f t="shared" si="6"/>
        <v>7.0853943587852547E-2</v>
      </c>
    </row>
    <row r="35" spans="1:3" x14ac:dyDescent="0.25">
      <c r="A35" s="96">
        <v>43739</v>
      </c>
      <c r="B35" s="100">
        <v>1716601</v>
      </c>
      <c r="C35" s="101">
        <f t="shared" si="6"/>
        <v>7.9703193762594937E-2</v>
      </c>
    </row>
    <row r="36" spans="1:3" x14ac:dyDescent="0.25">
      <c r="A36" s="96">
        <v>43770</v>
      </c>
      <c r="B36" s="100">
        <v>1935133</v>
      </c>
      <c r="C36" s="101">
        <f t="shared" si="6"/>
        <v>8.9849813937771E-2</v>
      </c>
    </row>
    <row r="37" spans="1:3" x14ac:dyDescent="0.25">
      <c r="A37" s="96">
        <v>43800</v>
      </c>
      <c r="B37" s="100">
        <v>2281828</v>
      </c>
      <c r="C37" s="101">
        <f t="shared" si="6"/>
        <v>0.10594714742500702</v>
      </c>
    </row>
    <row r="38" spans="1:3" ht="15.75" thickBot="1" x14ac:dyDescent="0.3">
      <c r="B38" s="102">
        <f>SUM(B26:B37)</f>
        <v>21537418</v>
      </c>
      <c r="C38" s="103">
        <f>SUM(C26:C37)</f>
        <v>1</v>
      </c>
    </row>
    <row r="39" spans="1:3" ht="15.75" thickTop="1" x14ac:dyDescent="0.25"/>
  </sheetData>
  <pageMargins left="0.7" right="0.7" top="0.75" bottom="0.75" header="0.3" footer="0.3"/>
  <pageSetup scale="57" fitToHeight="2" orientation="landscape" r:id="rId1"/>
  <rowBreaks count="1" manualBreakCount="1">
    <brk id="4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E28" sqref="E28"/>
    </sheetView>
  </sheetViews>
  <sheetFormatPr defaultRowHeight="15" x14ac:dyDescent="0.25"/>
  <cols>
    <col min="1" max="1" width="21.5703125" customWidth="1"/>
    <col min="2" max="2" width="12.5703125" bestFit="1" customWidth="1"/>
    <col min="3" max="3" width="10.7109375" bestFit="1" customWidth="1"/>
    <col min="4" max="4" width="10.85546875" customWidth="1"/>
    <col min="5" max="5" width="9.7109375" bestFit="1" customWidth="1"/>
    <col min="7" max="7" width="12.5703125" bestFit="1" customWidth="1"/>
    <col min="9" max="9" width="10.85546875" bestFit="1" customWidth="1"/>
    <col min="10" max="10" width="8" bestFit="1" customWidth="1"/>
    <col min="12" max="12" width="12.28515625" bestFit="1" customWidth="1"/>
  </cols>
  <sheetData>
    <row r="1" spans="1:12" x14ac:dyDescent="0.25">
      <c r="B1" t="s">
        <v>107</v>
      </c>
      <c r="C1" t="s">
        <v>108</v>
      </c>
    </row>
    <row r="2" spans="1:12" x14ac:dyDescent="0.25">
      <c r="A2" t="s">
        <v>83</v>
      </c>
      <c r="B2" s="93">
        <v>6.6900000000000001E-2</v>
      </c>
      <c r="C2" s="93">
        <f>+'[2]Interest 2019 Rate'!B1</f>
        <v>6.9699999999999998E-2</v>
      </c>
    </row>
    <row r="3" spans="1:12" x14ac:dyDescent="0.25">
      <c r="A3" t="s">
        <v>84</v>
      </c>
      <c r="B3" s="93">
        <f>B2/0.65</f>
        <v>0.10292307692307692</v>
      </c>
      <c r="C3" s="93">
        <f>ROUND(C2/C4,4)</f>
        <v>8.8200000000000001E-2</v>
      </c>
    </row>
    <row r="4" spans="1:12" x14ac:dyDescent="0.25">
      <c r="A4" t="s">
        <v>97</v>
      </c>
      <c r="B4" s="93">
        <v>0.65</v>
      </c>
      <c r="C4" s="93">
        <v>0.79</v>
      </c>
    </row>
    <row r="5" spans="1:12" x14ac:dyDescent="0.25">
      <c r="B5" s="93"/>
    </row>
    <row r="6" spans="1:12" x14ac:dyDescent="0.25">
      <c r="B6" s="94" t="s">
        <v>85</v>
      </c>
      <c r="C6" s="95"/>
      <c r="D6" s="95"/>
      <c r="E6" s="95"/>
      <c r="G6" s="94" t="s">
        <v>102</v>
      </c>
      <c r="H6" s="95"/>
      <c r="I6" s="95"/>
      <c r="J6" s="95"/>
    </row>
    <row r="7" spans="1:12" x14ac:dyDescent="0.25">
      <c r="D7" s="1" t="s">
        <v>9</v>
      </c>
      <c r="I7" s="1" t="s">
        <v>9</v>
      </c>
    </row>
    <row r="8" spans="1:12" x14ac:dyDescent="0.25">
      <c r="A8" s="2" t="s">
        <v>86</v>
      </c>
      <c r="B8" s="2" t="s">
        <v>87</v>
      </c>
      <c r="C8" s="2" t="s">
        <v>88</v>
      </c>
      <c r="D8" s="2" t="s">
        <v>89</v>
      </c>
      <c r="E8" s="2" t="s">
        <v>90</v>
      </c>
      <c r="G8" s="2" t="s">
        <v>87</v>
      </c>
      <c r="H8" s="2" t="s">
        <v>88</v>
      </c>
      <c r="I8" s="2" t="s">
        <v>89</v>
      </c>
      <c r="J8" s="2" t="s">
        <v>90</v>
      </c>
    </row>
    <row r="10" spans="1:12" x14ac:dyDescent="0.25">
      <c r="A10" s="96">
        <v>43039</v>
      </c>
      <c r="C10" s="5">
        <v>-586726</v>
      </c>
      <c r="D10" s="5">
        <f>C10*0.65</f>
        <v>-381371.9</v>
      </c>
      <c r="E10" s="5"/>
      <c r="H10" s="5">
        <v>29989.32</v>
      </c>
      <c r="I10" s="5"/>
    </row>
    <row r="11" spans="1:12" x14ac:dyDescent="0.25">
      <c r="A11" s="96">
        <v>43069</v>
      </c>
      <c r="B11" s="97">
        <v>0</v>
      </c>
      <c r="C11" s="4">
        <f t="shared" ref="C11:C24" si="0">C10+B11</f>
        <v>-586726</v>
      </c>
      <c r="D11" s="4">
        <f>C11*0.65</f>
        <v>-381371.9</v>
      </c>
      <c r="E11" s="5">
        <f>+(D10+D11)/2*$B$3/12</f>
        <v>-3270.9974500000003</v>
      </c>
      <c r="G11" s="97">
        <v>0</v>
      </c>
      <c r="H11" s="4">
        <f t="shared" ref="H11:H24" si="1">H10+G11</f>
        <v>29989.32</v>
      </c>
      <c r="I11" s="4">
        <f t="shared" ref="I11:I24" si="2">H11*0.65</f>
        <v>19493.058000000001</v>
      </c>
      <c r="J11" s="5">
        <f t="shared" ref="J11:J24" si="3">+(I10+I11)/2*$B$3/12</f>
        <v>83.595229500000002</v>
      </c>
    </row>
    <row r="12" spans="1:12" x14ac:dyDescent="0.25">
      <c r="A12" s="96">
        <v>43100</v>
      </c>
      <c r="B12" s="97">
        <v>0</v>
      </c>
      <c r="C12" s="4">
        <f t="shared" si="0"/>
        <v>-586726</v>
      </c>
      <c r="D12" s="4">
        <f>C12*0.65</f>
        <v>-381371.9</v>
      </c>
      <c r="E12" s="4">
        <f>+(D11+D12)/2*$B$3/12</f>
        <v>-3270.9974500000003</v>
      </c>
      <c r="G12" s="97">
        <v>0</v>
      </c>
      <c r="H12" s="4">
        <f t="shared" si="1"/>
        <v>29989.32</v>
      </c>
      <c r="I12" s="4">
        <f t="shared" si="2"/>
        <v>19493.058000000001</v>
      </c>
      <c r="J12" s="4">
        <f t="shared" si="3"/>
        <v>167.190459</v>
      </c>
    </row>
    <row r="13" spans="1:12" x14ac:dyDescent="0.25">
      <c r="A13" s="96">
        <v>43101</v>
      </c>
      <c r="B13" s="97">
        <f t="shared" ref="B13:B24" si="4">-$C$12*C31</f>
        <v>59551.741070778371</v>
      </c>
      <c r="C13" s="4">
        <f t="shared" si="0"/>
        <v>-527174.25892922166</v>
      </c>
      <c r="D13" s="4">
        <f>C13*$C$4</f>
        <v>-416467.66455408512</v>
      </c>
      <c r="E13" s="4">
        <f>+(D12+D13)/2*$C$3/12</f>
        <v>-2932.0603997362632</v>
      </c>
      <c r="G13" s="97">
        <f t="shared" ref="G13:G24" si="5">-$H$12*C31</f>
        <v>-3043.8675285034501</v>
      </c>
      <c r="H13" s="4">
        <f t="shared" si="1"/>
        <v>26945.452471496548</v>
      </c>
      <c r="I13" s="4">
        <f t="shared" si="2"/>
        <v>17514.544106472757</v>
      </c>
      <c r="J13" s="4">
        <f t="shared" si="3"/>
        <v>158.70567826429661</v>
      </c>
      <c r="L13" s="4"/>
    </row>
    <row r="14" spans="1:12" x14ac:dyDescent="0.25">
      <c r="A14" s="96">
        <v>43132</v>
      </c>
      <c r="B14" s="97">
        <f t="shared" si="4"/>
        <v>51216.736125779011</v>
      </c>
      <c r="C14" s="4">
        <f t="shared" si="0"/>
        <v>-475957.52280344267</v>
      </c>
      <c r="D14" s="4">
        <f t="shared" ref="D14:D23" si="6">C14*$C$4</f>
        <v>-376006.4430147197</v>
      </c>
      <c r="E14" s="4">
        <f t="shared" ref="E14:E24" si="7">+(D13+D14)/2*$C$3/12</f>
        <v>-2912.3423453153578</v>
      </c>
      <c r="G14" s="97">
        <f t="shared" si="5"/>
        <v>-2617.8405065252723</v>
      </c>
      <c r="H14" s="4">
        <f t="shared" si="1"/>
        <v>24327.611964971275</v>
      </c>
      <c r="I14" s="4">
        <f t="shared" si="2"/>
        <v>15812.947777231329</v>
      </c>
      <c r="J14" s="4">
        <f t="shared" si="3"/>
        <v>142.92366711665406</v>
      </c>
      <c r="L14" s="4"/>
    </row>
    <row r="15" spans="1:12" x14ac:dyDescent="0.25">
      <c r="A15" s="96">
        <v>43160</v>
      </c>
      <c r="B15" s="97">
        <f t="shared" si="4"/>
        <v>53612.776618295284</v>
      </c>
      <c r="C15" s="4">
        <f t="shared" si="0"/>
        <v>-422344.74618514738</v>
      </c>
      <c r="D15" s="4">
        <f t="shared" si="6"/>
        <v>-333652.34948626644</v>
      </c>
      <c r="E15" s="4">
        <f t="shared" si="7"/>
        <v>-2607.9960624411242</v>
      </c>
      <c r="G15" s="97">
        <f t="shared" si="5"/>
        <v>-2740.3092995615925</v>
      </c>
      <c r="H15" s="4">
        <f t="shared" si="1"/>
        <v>21587.302665409683</v>
      </c>
      <c r="I15" s="4">
        <f t="shared" si="2"/>
        <v>14031.746732516294</v>
      </c>
      <c r="J15" s="4">
        <f t="shared" si="3"/>
        <v>127.98782453218693</v>
      </c>
      <c r="L15" s="4"/>
    </row>
    <row r="16" spans="1:12" x14ac:dyDescent="0.25">
      <c r="A16" s="96">
        <v>43191</v>
      </c>
      <c r="B16" s="97">
        <f t="shared" si="4"/>
        <v>46647.707058461841</v>
      </c>
      <c r="C16" s="4">
        <f t="shared" si="0"/>
        <v>-375697.03912668553</v>
      </c>
      <c r="D16" s="4">
        <f t="shared" si="6"/>
        <v>-296800.66091008158</v>
      </c>
      <c r="E16" s="4">
        <f t="shared" si="7"/>
        <v>-2316.9148132065793</v>
      </c>
      <c r="G16" s="97">
        <f t="shared" si="5"/>
        <v>-2384.3037708273896</v>
      </c>
      <c r="H16" s="4">
        <f t="shared" si="1"/>
        <v>19202.998894582292</v>
      </c>
      <c r="I16" s="4">
        <f t="shared" si="2"/>
        <v>12481.94928147849</v>
      </c>
      <c r="J16" s="4">
        <f t="shared" si="3"/>
        <v>113.70296559847763</v>
      </c>
      <c r="L16" s="4"/>
    </row>
    <row r="17" spans="1:12" x14ac:dyDescent="0.25">
      <c r="A17" s="96">
        <v>43221</v>
      </c>
      <c r="B17" s="97">
        <f t="shared" si="4"/>
        <v>43098.458322720267</v>
      </c>
      <c r="C17" s="4">
        <f t="shared" si="0"/>
        <v>-332598.58080396528</v>
      </c>
      <c r="D17" s="4">
        <f t="shared" si="6"/>
        <v>-262752.87883513258</v>
      </c>
      <c r="E17" s="4">
        <f t="shared" si="7"/>
        <v>-2056.359258563662</v>
      </c>
      <c r="G17" s="97">
        <f t="shared" si="5"/>
        <v>-2202.8910567227658</v>
      </c>
      <c r="H17" s="4">
        <f t="shared" si="1"/>
        <v>17000.107837859527</v>
      </c>
      <c r="I17" s="4">
        <f t="shared" si="2"/>
        <v>11050.070094608693</v>
      </c>
      <c r="J17" s="4">
        <f t="shared" si="3"/>
        <v>100.91616001668159</v>
      </c>
      <c r="L17" s="4"/>
    </row>
    <row r="18" spans="1:12" x14ac:dyDescent="0.25">
      <c r="A18" s="96">
        <v>43252</v>
      </c>
      <c r="B18" s="97">
        <f t="shared" si="4"/>
        <v>41743.602970624263</v>
      </c>
      <c r="C18" s="4">
        <f t="shared" si="0"/>
        <v>-290854.97783334099</v>
      </c>
      <c r="D18" s="4">
        <f t="shared" si="6"/>
        <v>-229775.4324883394</v>
      </c>
      <c r="E18" s="4">
        <f t="shared" si="7"/>
        <v>-1810.0415441137593</v>
      </c>
      <c r="G18" s="97">
        <f t="shared" si="5"/>
        <v>-2133.6403490539051</v>
      </c>
      <c r="H18" s="4">
        <f t="shared" si="1"/>
        <v>14866.467488805622</v>
      </c>
      <c r="I18" s="4">
        <f t="shared" si="2"/>
        <v>9663.2038677236542</v>
      </c>
      <c r="J18" s="4">
        <f t="shared" si="3"/>
        <v>88.828078723079102</v>
      </c>
      <c r="L18" s="4"/>
    </row>
    <row r="19" spans="1:12" x14ac:dyDescent="0.25">
      <c r="A19" s="96">
        <v>43282</v>
      </c>
      <c r="B19" s="97">
        <f t="shared" si="4"/>
        <v>43380.891323036936</v>
      </c>
      <c r="C19" s="4">
        <f t="shared" si="0"/>
        <v>-247474.08651030407</v>
      </c>
      <c r="D19" s="4">
        <f t="shared" si="6"/>
        <v>-195504.52834314023</v>
      </c>
      <c r="E19" s="4">
        <f t="shared" si="7"/>
        <v>-1562.9038560556876</v>
      </c>
      <c r="G19" s="97">
        <f t="shared" si="5"/>
        <v>-2217.3270517614324</v>
      </c>
      <c r="H19" s="4">
        <f t="shared" si="1"/>
        <v>12649.140437044189</v>
      </c>
      <c r="I19" s="4">
        <f t="shared" si="2"/>
        <v>8221.9412840787227</v>
      </c>
      <c r="J19" s="4">
        <f t="shared" si="3"/>
        <v>76.699757093306332</v>
      </c>
      <c r="L19" s="4"/>
    </row>
    <row r="20" spans="1:12" x14ac:dyDescent="0.25">
      <c r="A20" s="96">
        <v>43313</v>
      </c>
      <c r="B20" s="97">
        <f t="shared" si="4"/>
        <v>43771.591227445257</v>
      </c>
      <c r="C20" s="4">
        <f t="shared" si="0"/>
        <v>-203702.49528285881</v>
      </c>
      <c r="D20" s="4">
        <f t="shared" si="6"/>
        <v>-160924.97127345848</v>
      </c>
      <c r="E20" s="4">
        <f t="shared" si="7"/>
        <v>-1309.8784110910003</v>
      </c>
      <c r="G20" s="97">
        <f t="shared" si="5"/>
        <v>-2237.2968919547602</v>
      </c>
      <c r="H20" s="4">
        <f t="shared" si="1"/>
        <v>10411.843545089429</v>
      </c>
      <c r="I20" s="4">
        <f t="shared" si="2"/>
        <v>6767.6983043081291</v>
      </c>
      <c r="J20" s="4">
        <f t="shared" si="3"/>
        <v>64.282492850197457</v>
      </c>
      <c r="L20" s="4"/>
    </row>
    <row r="21" spans="1:12" x14ac:dyDescent="0.25">
      <c r="A21" s="96">
        <v>43344</v>
      </c>
      <c r="B21" s="97">
        <f t="shared" si="4"/>
        <v>42119.692366801843</v>
      </c>
      <c r="C21" s="4">
        <f t="shared" si="0"/>
        <v>-161582.80291605697</v>
      </c>
      <c r="D21" s="4">
        <f t="shared" si="6"/>
        <v>-127650.41430368501</v>
      </c>
      <c r="E21" s="4">
        <f t="shared" si="7"/>
        <v>-1060.5145419960024</v>
      </c>
      <c r="G21" s="97">
        <f t="shared" si="5"/>
        <v>-2152.8634024903922</v>
      </c>
      <c r="H21" s="4">
        <f t="shared" si="1"/>
        <v>8258.9801425990372</v>
      </c>
      <c r="I21" s="4">
        <f t="shared" si="2"/>
        <v>5368.337092689374</v>
      </c>
      <c r="J21" s="4">
        <f t="shared" si="3"/>
        <v>52.044921029431606</v>
      </c>
      <c r="L21" s="4"/>
    </row>
    <row r="22" spans="1:12" x14ac:dyDescent="0.25">
      <c r="A22" s="96">
        <v>43374</v>
      </c>
      <c r="B22" s="97">
        <f t="shared" si="4"/>
        <v>46824.635065505507</v>
      </c>
      <c r="C22" s="4">
        <f t="shared" si="0"/>
        <v>-114758.16785055146</v>
      </c>
      <c r="D22" s="4">
        <f t="shared" si="6"/>
        <v>-90658.952601935656</v>
      </c>
      <c r="E22" s="4">
        <f t="shared" si="7"/>
        <v>-802.28692337815608</v>
      </c>
      <c r="G22" s="97">
        <f t="shared" si="5"/>
        <v>-2393.3470902306453</v>
      </c>
      <c r="H22" s="4">
        <f t="shared" si="1"/>
        <v>5865.6330523683919</v>
      </c>
      <c r="I22" s="4">
        <f t="shared" si="2"/>
        <v>3812.661484039455</v>
      </c>
      <c r="J22" s="4">
        <f t="shared" si="3"/>
        <v>39.372359280971708</v>
      </c>
      <c r="L22" s="4"/>
    </row>
    <row r="23" spans="1:12" x14ac:dyDescent="0.25">
      <c r="A23" s="118">
        <v>43405</v>
      </c>
      <c r="B23" s="119">
        <f t="shared" si="4"/>
        <v>52775.254781643365</v>
      </c>
      <c r="C23" s="4">
        <f t="shared" si="0"/>
        <v>-61982.913068908092</v>
      </c>
      <c r="D23" s="4">
        <f t="shared" si="6"/>
        <v>-48966.501324437399</v>
      </c>
      <c r="E23" s="4">
        <f t="shared" si="7"/>
        <v>-513.12354317942095</v>
      </c>
      <c r="G23" s="97">
        <f t="shared" si="5"/>
        <v>-2697.5010545437444</v>
      </c>
      <c r="H23" s="4">
        <f t="shared" si="1"/>
        <v>3168.1319978246474</v>
      </c>
      <c r="I23" s="4">
        <f t="shared" si="2"/>
        <v>2059.285798586021</v>
      </c>
      <c r="J23" s="4">
        <f t="shared" si="3"/>
        <v>25.1816200774131</v>
      </c>
      <c r="L23" s="4"/>
    </row>
    <row r="24" spans="1:12" x14ac:dyDescent="0.25">
      <c r="A24" s="118">
        <v>43435</v>
      </c>
      <c r="B24" s="119">
        <f t="shared" si="4"/>
        <v>61982.913068908056</v>
      </c>
      <c r="C24" s="4">
        <f t="shared" si="0"/>
        <v>0</v>
      </c>
      <c r="D24" s="100">
        <f t="shared" ref="D14:D24" si="8">((C24-C23)*$C$4)+D23</f>
        <v>0</v>
      </c>
      <c r="E24" s="4">
        <f t="shared" si="7"/>
        <v>-179.95189236730744</v>
      </c>
      <c r="G24" s="97">
        <f t="shared" si="5"/>
        <v>-3168.1319978246502</v>
      </c>
      <c r="H24" s="4">
        <f t="shared" si="1"/>
        <v>0</v>
      </c>
      <c r="I24" s="4">
        <f t="shared" si="2"/>
        <v>0</v>
      </c>
      <c r="J24" s="4">
        <f t="shared" si="3"/>
        <v>8.8311679439362063</v>
      </c>
      <c r="L24" s="4"/>
    </row>
    <row r="25" spans="1:12" x14ac:dyDescent="0.25">
      <c r="A25" s="96"/>
      <c r="B25" s="97"/>
      <c r="C25" s="4"/>
      <c r="D25" s="4"/>
      <c r="E25" s="4"/>
      <c r="G25" s="97"/>
      <c r="H25" s="4"/>
      <c r="I25" s="4"/>
      <c r="J25" s="4"/>
    </row>
    <row r="26" spans="1:12" x14ac:dyDescent="0.25">
      <c r="A26" s="96"/>
      <c r="D26">
        <v>2017</v>
      </c>
      <c r="E26" s="98">
        <f>SUM(E11:E12)</f>
        <v>-6541.9949000000006</v>
      </c>
      <c r="I26">
        <v>2017</v>
      </c>
      <c r="J26" s="98">
        <f>SUM(J11:J12)</f>
        <v>250.78568849999999</v>
      </c>
    </row>
    <row r="27" spans="1:12" x14ac:dyDescent="0.25">
      <c r="A27" s="96"/>
      <c r="J27" s="98"/>
    </row>
    <row r="28" spans="1:12" x14ac:dyDescent="0.25">
      <c r="A28" s="96"/>
      <c r="D28">
        <v>2018</v>
      </c>
      <c r="E28" s="98">
        <f>SUM(E13:E24)</f>
        <v>-20064.373591444317</v>
      </c>
      <c r="I28">
        <v>2018</v>
      </c>
      <c r="J28" s="98">
        <f>SUM(J13:J24)</f>
        <v>999.47669252663241</v>
      </c>
    </row>
    <row r="29" spans="1:12" x14ac:dyDescent="0.25">
      <c r="A29" s="96"/>
    </row>
    <row r="30" spans="1:12" x14ac:dyDescent="0.25">
      <c r="A30" s="2" t="s">
        <v>86</v>
      </c>
      <c r="B30" s="2" t="s">
        <v>103</v>
      </c>
      <c r="C30" s="2" t="s">
        <v>91</v>
      </c>
      <c r="D30" s="99"/>
    </row>
    <row r="31" spans="1:12" x14ac:dyDescent="0.25">
      <c r="A31" s="96">
        <v>43101</v>
      </c>
      <c r="B31" s="100">
        <v>2156179</v>
      </c>
      <c r="C31" s="101">
        <f t="shared" ref="C31:C42" si="9">B31/$B$43</f>
        <v>0.10149838437495248</v>
      </c>
      <c r="D31" s="101"/>
    </row>
    <row r="32" spans="1:12" x14ac:dyDescent="0.25">
      <c r="A32" s="96">
        <v>43132</v>
      </c>
      <c r="B32" s="100">
        <v>1854395</v>
      </c>
      <c r="C32" s="101">
        <f t="shared" si="9"/>
        <v>8.7292426321279454E-2</v>
      </c>
      <c r="D32" s="101"/>
    </row>
    <row r="33" spans="1:4" x14ac:dyDescent="0.25">
      <c r="A33" s="96">
        <v>43160</v>
      </c>
      <c r="B33" s="100">
        <v>1941148</v>
      </c>
      <c r="C33" s="101">
        <f t="shared" si="9"/>
        <v>9.1376173236391911E-2</v>
      </c>
      <c r="D33" s="101"/>
    </row>
    <row r="34" spans="1:4" x14ac:dyDescent="0.25">
      <c r="A34" s="96">
        <v>43191</v>
      </c>
      <c r="B34" s="100">
        <v>1688965</v>
      </c>
      <c r="C34" s="101">
        <f t="shared" si="9"/>
        <v>7.9505096175151335E-2</v>
      </c>
      <c r="D34" s="101"/>
    </row>
    <row r="35" spans="1:4" x14ac:dyDescent="0.25">
      <c r="A35" s="96">
        <v>43221</v>
      </c>
      <c r="B35" s="100">
        <v>1560458</v>
      </c>
      <c r="C35" s="101">
        <f t="shared" si="9"/>
        <v>7.3455852174132849E-2</v>
      </c>
      <c r="D35" s="101"/>
    </row>
    <row r="36" spans="1:4" x14ac:dyDescent="0.25">
      <c r="A36" s="96">
        <v>43252</v>
      </c>
      <c r="B36" s="100">
        <v>1511403</v>
      </c>
      <c r="C36" s="101">
        <f t="shared" si="9"/>
        <v>7.1146673184117049E-2</v>
      </c>
      <c r="D36" s="101"/>
    </row>
    <row r="37" spans="1:4" x14ac:dyDescent="0.25">
      <c r="A37" s="96">
        <v>43282</v>
      </c>
      <c r="B37" s="100">
        <v>1570684</v>
      </c>
      <c r="C37" s="101">
        <f t="shared" si="9"/>
        <v>7.3937223376903255E-2</v>
      </c>
      <c r="D37" s="101"/>
    </row>
    <row r="38" spans="1:4" x14ac:dyDescent="0.25">
      <c r="A38" s="96">
        <v>43313</v>
      </c>
      <c r="B38" s="100">
        <v>1584830</v>
      </c>
      <c r="C38" s="101">
        <f t="shared" si="9"/>
        <v>7.4603121776511114E-2</v>
      </c>
      <c r="D38" s="101"/>
    </row>
    <row r="39" spans="1:4" x14ac:dyDescent="0.25">
      <c r="A39" s="96">
        <v>43344</v>
      </c>
      <c r="B39" s="100">
        <v>1525020</v>
      </c>
      <c r="C39" s="101">
        <f t="shared" si="9"/>
        <v>7.1787669826804748E-2</v>
      </c>
      <c r="D39" s="101"/>
    </row>
    <row r="40" spans="1:4" x14ac:dyDescent="0.25">
      <c r="A40" s="96">
        <v>43374</v>
      </c>
      <c r="B40" s="100">
        <v>1695371</v>
      </c>
      <c r="C40" s="101">
        <f t="shared" si="9"/>
        <v>7.980664750753419E-2</v>
      </c>
      <c r="D40" s="101"/>
    </row>
    <row r="41" spans="1:4" x14ac:dyDescent="0.25">
      <c r="A41" s="96">
        <v>43405</v>
      </c>
      <c r="B41" s="100">
        <v>1910824</v>
      </c>
      <c r="C41" s="101">
        <f t="shared" si="9"/>
        <v>8.9948723563713501E-2</v>
      </c>
      <c r="D41" s="101"/>
    </row>
    <row r="42" spans="1:4" x14ac:dyDescent="0.25">
      <c r="A42" s="96">
        <v>43435</v>
      </c>
      <c r="B42" s="100">
        <v>2244204</v>
      </c>
      <c r="C42" s="101">
        <f t="shared" si="9"/>
        <v>0.10564200848250811</v>
      </c>
      <c r="D42" s="101"/>
    </row>
    <row r="43" spans="1:4" ht="15.75" thickBot="1" x14ac:dyDescent="0.3">
      <c r="B43" s="102">
        <f>SUM(B31:B42)</f>
        <v>21243481</v>
      </c>
      <c r="C43" s="103">
        <f>ROUND(B43/$B$43,2)</f>
        <v>1</v>
      </c>
      <c r="D43" s="104"/>
    </row>
    <row r="44" spans="1:4" ht="15.75" thickTop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2018-11-27T08:00:00+00:00</OpenedDate>
    <SignificantOrder xmlns="dc463f71-b30c-4ab2-9473-d307f9d35888">false</SignificantOrder>
    <Date1 xmlns="dc463f71-b30c-4ab2-9473-d307f9d35888">2018-12-17T08:00:00+00:00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180978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949633A3B0A654FAFC1264D2073168A" ma:contentTypeVersion="68" ma:contentTypeDescription="" ma:contentTypeScope="" ma:versionID="1fbd068daa3febdf060122ee923240f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738E4D-6AC0-41AC-8E1E-DDF49025982A}"/>
</file>

<file path=customXml/itemProps2.xml><?xml version="1.0" encoding="utf-8"?>
<ds:datastoreItem xmlns:ds="http://schemas.openxmlformats.org/officeDocument/2006/customXml" ds:itemID="{5FB3DE1E-E467-4CAC-B505-CB4BC5F2E97B}"/>
</file>

<file path=customXml/itemProps3.xml><?xml version="1.0" encoding="utf-8"?>
<ds:datastoreItem xmlns:ds="http://schemas.openxmlformats.org/officeDocument/2006/customXml" ds:itemID="{D0F7D748-58F0-47E6-9B81-A50E6A3023F1}"/>
</file>

<file path=customXml/itemProps4.xml><?xml version="1.0" encoding="utf-8"?>
<ds:datastoreItem xmlns:ds="http://schemas.openxmlformats.org/officeDocument/2006/customXml" ds:itemID="{4291AD5F-384E-4168-9B98-2B750F1A8A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Revenue Requirement</vt:lpstr>
      <vt:lpstr>Tracking Accounts</vt:lpstr>
      <vt:lpstr>Interest Review for Jan 2019</vt:lpstr>
      <vt:lpstr>Conv F and COC UE-180282</vt:lpstr>
      <vt:lpstr>Interest for 2019 Period</vt:lpstr>
      <vt:lpstr>Interest 2018 Rate</vt:lpstr>
      <vt:lpstr>k_FITrate</vt:lpstr>
      <vt:lpstr>'Revenue Requirement'!Print_Area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SFree</cp:lastModifiedBy>
  <cp:lastPrinted>2018-11-09T22:24:05Z</cp:lastPrinted>
  <dcterms:created xsi:type="dcterms:W3CDTF">2017-11-21T20:51:05Z</dcterms:created>
  <dcterms:modified xsi:type="dcterms:W3CDTF">2018-12-14T23:21:07Z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0x0101006E56B4D1795A2E4DB2F0B01679ED314A00E949633A3B0A654FAFC1264D2073168A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