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240" windowWidth="13380" windowHeight="7290" tabRatio="730" activeTab="1"/>
  </bookViews>
  <sheets>
    <sheet name="References" sheetId="4" r:id="rId1"/>
    <sheet name="Staff Calcs " sheetId="7" r:id="rId2"/>
    <sheet name="Tariff Changes" sheetId="10" r:id="rId3"/>
    <sheet name="Company Price Out Rates Compare" sheetId="13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W44" i="7" l="1"/>
  <c r="E84" i="10" l="1"/>
  <c r="D84" i="10"/>
  <c r="D20" i="10" l="1"/>
  <c r="D133" i="10"/>
  <c r="D132" i="10"/>
  <c r="D131" i="10"/>
  <c r="D130" i="10"/>
  <c r="D129" i="10"/>
  <c r="D128" i="10"/>
  <c r="D126" i="10"/>
  <c r="D125" i="10"/>
  <c r="D124" i="10"/>
  <c r="D123" i="10"/>
  <c r="D122" i="10"/>
  <c r="D121" i="10"/>
  <c r="D118" i="10"/>
  <c r="D117" i="10"/>
  <c r="D116" i="10"/>
  <c r="D115" i="10"/>
  <c r="D114" i="10"/>
  <c r="D113" i="10"/>
  <c r="D111" i="10"/>
  <c r="D110" i="10"/>
  <c r="D109" i="10"/>
  <c r="D108" i="10"/>
  <c r="D107" i="10"/>
  <c r="D106" i="10"/>
  <c r="D103" i="10"/>
  <c r="D102" i="10"/>
  <c r="D101" i="10"/>
  <c r="D99" i="10"/>
  <c r="D98" i="10"/>
  <c r="D97" i="10"/>
  <c r="D94" i="10"/>
  <c r="D93" i="10"/>
  <c r="D92" i="10"/>
  <c r="D91" i="10"/>
  <c r="D90" i="10"/>
  <c r="D89" i="10"/>
  <c r="D88" i="10"/>
  <c r="D87" i="10"/>
  <c r="D86" i="10"/>
  <c r="D85" i="10"/>
  <c r="D83" i="10"/>
  <c r="D82" i="10"/>
  <c r="D81" i="10"/>
  <c r="D80" i="10"/>
  <c r="D79" i="10"/>
  <c r="D78" i="10"/>
  <c r="D77" i="10"/>
  <c r="D76" i="10"/>
  <c r="D75" i="10"/>
  <c r="D74" i="10"/>
  <c r="D70" i="10"/>
  <c r="D69" i="10"/>
  <c r="D68" i="10"/>
  <c r="D67" i="10"/>
  <c r="D66" i="10"/>
  <c r="D65" i="10"/>
  <c r="D62" i="10"/>
  <c r="D61" i="10"/>
  <c r="D60" i="10"/>
  <c r="D59" i="10"/>
  <c r="D58" i="10"/>
  <c r="D57" i="10"/>
  <c r="D54" i="10"/>
  <c r="D53" i="10"/>
  <c r="D52" i="10"/>
  <c r="D51" i="10"/>
  <c r="D50" i="10"/>
  <c r="D49" i="10"/>
  <c r="D48" i="10"/>
  <c r="D46" i="10"/>
  <c r="D45" i="10"/>
  <c r="D44" i="10"/>
  <c r="D43" i="10"/>
  <c r="D42" i="10"/>
  <c r="D41" i="10"/>
  <c r="D40" i="10"/>
  <c r="D39" i="10"/>
  <c r="D38" i="10"/>
  <c r="D37" i="10"/>
  <c r="D36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17" i="10"/>
  <c r="D16" i="10"/>
  <c r="D15" i="10"/>
  <c r="D14" i="10"/>
  <c r="D13" i="10"/>
  <c r="D12" i="10"/>
  <c r="D11" i="10"/>
  <c r="D10" i="10"/>
  <c r="D9" i="10"/>
  <c r="D8" i="10"/>
  <c r="F52" i="13"/>
  <c r="L52" i="13"/>
  <c r="C66" i="13"/>
  <c r="N66" i="13" s="1"/>
  <c r="F66" i="13"/>
  <c r="J66" i="13"/>
  <c r="K66" i="13" s="1"/>
  <c r="L66" i="13"/>
  <c r="F77" i="13"/>
  <c r="L77" i="13"/>
  <c r="F87" i="13"/>
  <c r="L87" i="13"/>
  <c r="F103" i="13"/>
  <c r="L103" i="13"/>
  <c r="F110" i="13"/>
  <c r="H110" i="13"/>
  <c r="J110" i="13"/>
  <c r="K110" i="13" s="1"/>
  <c r="L110" i="13"/>
  <c r="N110" i="13" s="1"/>
  <c r="C54" i="13"/>
  <c r="F54" i="13"/>
  <c r="L54" i="13"/>
  <c r="H25" i="13"/>
  <c r="H26" i="13"/>
  <c r="H27" i="13"/>
  <c r="H28" i="13"/>
  <c r="H29" i="13"/>
  <c r="H30" i="13"/>
  <c r="H21" i="13"/>
  <c r="H22" i="13"/>
  <c r="H23" i="13"/>
  <c r="H24" i="13"/>
  <c r="H20" i="13"/>
  <c r="N54" i="13" l="1"/>
  <c r="J54" i="13"/>
  <c r="K54" i="13" s="1"/>
  <c r="E10" i="7"/>
  <c r="H38" i="13"/>
  <c r="C174" i="13"/>
  <c r="B174" i="13" s="1"/>
  <c r="C166" i="13"/>
  <c r="B166" i="13" s="1"/>
  <c r="C157" i="13"/>
  <c r="B157" i="13" s="1"/>
  <c r="C149" i="13"/>
  <c r="B149" i="13" s="1"/>
  <c r="C145" i="13"/>
  <c r="B145" i="13" s="1"/>
  <c r="C141" i="13"/>
  <c r="B141" i="13" s="1"/>
  <c r="C137" i="13"/>
  <c r="B137" i="13" s="1"/>
  <c r="C138" i="13"/>
  <c r="B138" i="13" s="1"/>
  <c r="F138" i="13" s="1"/>
  <c r="C100" i="13"/>
  <c r="B100" i="13" s="1"/>
  <c r="C71" i="13"/>
  <c r="B71" i="13" s="1"/>
  <c r="H42" i="13"/>
  <c r="C42" i="13" s="1"/>
  <c r="C116" i="13"/>
  <c r="B116" i="13" s="1"/>
  <c r="C108" i="13"/>
  <c r="C93" i="13"/>
  <c r="B93" i="13" s="1"/>
  <c r="C81" i="13"/>
  <c r="B81" i="13" s="1"/>
  <c r="C63" i="13"/>
  <c r="C111" i="13"/>
  <c r="C104" i="13"/>
  <c r="C88" i="13"/>
  <c r="C78" i="13"/>
  <c r="C67" i="13"/>
  <c r="C57" i="13"/>
  <c r="C53" i="13"/>
  <c r="C43" i="13"/>
  <c r="C51" i="13"/>
  <c r="C89" i="13"/>
  <c r="C94" i="13"/>
  <c r="U12" i="13" l="1"/>
  <c r="E24" i="10"/>
  <c r="E47" i="10"/>
  <c r="E100" i="10"/>
  <c r="E112" i="10"/>
  <c r="J32" i="13"/>
  <c r="K32" i="13" s="1"/>
  <c r="L32" i="13"/>
  <c r="N32" i="13" s="1"/>
  <c r="J33" i="13"/>
  <c r="K33" i="13" s="1"/>
  <c r="L33" i="13"/>
  <c r="N33" i="13" s="1"/>
  <c r="J34" i="13"/>
  <c r="K34" i="13" s="1"/>
  <c r="L34" i="13"/>
  <c r="N34" i="13" s="1"/>
  <c r="J35" i="13"/>
  <c r="K35" i="13" s="1"/>
  <c r="L35" i="13"/>
  <c r="N35" i="13" s="1"/>
  <c r="J36" i="13"/>
  <c r="K36" i="13" s="1"/>
  <c r="L43" i="13"/>
  <c r="L44" i="13"/>
  <c r="L45" i="13"/>
  <c r="L46" i="13"/>
  <c r="L47" i="13"/>
  <c r="L48" i="13"/>
  <c r="L49" i="13"/>
  <c r="L50" i="13"/>
  <c r="L51" i="13"/>
  <c r="L53" i="13"/>
  <c r="L55" i="13"/>
  <c r="L56" i="13"/>
  <c r="L57" i="13"/>
  <c r="L58" i="13"/>
  <c r="L59" i="13"/>
  <c r="L60" i="13"/>
  <c r="L61" i="13"/>
  <c r="L64" i="13"/>
  <c r="L65" i="13"/>
  <c r="L67" i="13"/>
  <c r="L68" i="13"/>
  <c r="L69" i="13"/>
  <c r="L70" i="13"/>
  <c r="L78" i="13"/>
  <c r="L79" i="13"/>
  <c r="L80" i="13"/>
  <c r="L81" i="13"/>
  <c r="L82" i="13"/>
  <c r="L83" i="13"/>
  <c r="L84" i="13"/>
  <c r="L85" i="13"/>
  <c r="L86" i="13"/>
  <c r="L88" i="13"/>
  <c r="L89" i="13"/>
  <c r="L90" i="13"/>
  <c r="L91" i="13"/>
  <c r="L92" i="13"/>
  <c r="L93" i="13"/>
  <c r="L94" i="13"/>
  <c r="L95" i="13"/>
  <c r="L96" i="13"/>
  <c r="L97" i="13"/>
  <c r="L98" i="13"/>
  <c r="L99" i="13"/>
  <c r="L100" i="13"/>
  <c r="L101" i="13"/>
  <c r="L102" i="13"/>
  <c r="L104" i="13"/>
  <c r="L105" i="13"/>
  <c r="L106" i="13"/>
  <c r="L107" i="13"/>
  <c r="L108" i="13"/>
  <c r="L109" i="13"/>
  <c r="L111" i="13"/>
  <c r="L112" i="13"/>
  <c r="L113" i="13"/>
  <c r="L114" i="13"/>
  <c r="L115" i="13"/>
  <c r="L116" i="13"/>
  <c r="L117" i="13"/>
  <c r="L118" i="13"/>
  <c r="L119" i="13"/>
  <c r="AB119" i="13"/>
  <c r="L120" i="13"/>
  <c r="AB120" i="13"/>
  <c r="L121" i="13"/>
  <c r="AB121" i="13"/>
  <c r="L122" i="13"/>
  <c r="AB122" i="13"/>
  <c r="L123" i="13"/>
  <c r="AB123" i="13"/>
  <c r="L124" i="13"/>
  <c r="AB124" i="13"/>
  <c r="L125" i="13"/>
  <c r="AB125" i="13"/>
  <c r="L126" i="13"/>
  <c r="AB126" i="13"/>
  <c r="L127" i="13"/>
  <c r="AB127" i="13"/>
  <c r="L128" i="13"/>
  <c r="AB128" i="13"/>
  <c r="L129" i="13"/>
  <c r="AB129" i="13"/>
  <c r="L135" i="13"/>
  <c r="L136" i="13"/>
  <c r="L137" i="13"/>
  <c r="L138" i="13"/>
  <c r="L139" i="13"/>
  <c r="L140" i="13"/>
  <c r="L141" i="13"/>
  <c r="L142" i="13"/>
  <c r="L143" i="13"/>
  <c r="L144" i="13"/>
  <c r="L145" i="13"/>
  <c r="L146" i="13"/>
  <c r="L147" i="13"/>
  <c r="L148" i="13"/>
  <c r="L149" i="13"/>
  <c r="L150" i="13"/>
  <c r="L151" i="13"/>
  <c r="L152" i="13"/>
  <c r="L153" i="13"/>
  <c r="L156" i="13"/>
  <c r="L157" i="13"/>
  <c r="L158" i="13"/>
  <c r="L159" i="13"/>
  <c r="L160" i="13"/>
  <c r="L161" i="13"/>
  <c r="L162" i="13"/>
  <c r="L165" i="13"/>
  <c r="L166" i="13"/>
  <c r="L167" i="13"/>
  <c r="L168" i="13"/>
  <c r="L169" i="13"/>
  <c r="L170" i="13"/>
  <c r="L173" i="13"/>
  <c r="L174" i="13"/>
  <c r="L175" i="13"/>
  <c r="L176" i="13"/>
  <c r="L177" i="13"/>
  <c r="L178" i="13"/>
  <c r="L179" i="13"/>
  <c r="L184" i="13"/>
  <c r="L185" i="13"/>
  <c r="L186" i="13"/>
  <c r="L187" i="13"/>
  <c r="L188" i="13"/>
  <c r="L189" i="13"/>
  <c r="L190" i="13"/>
  <c r="L191" i="13"/>
  <c r="L192" i="13"/>
  <c r="L193" i="13"/>
  <c r="L194" i="13"/>
  <c r="L195" i="13"/>
  <c r="L196" i="13"/>
  <c r="L197" i="13"/>
  <c r="L198" i="13"/>
  <c r="L199" i="13"/>
  <c r="L201" i="13"/>
  <c r="L202" i="13"/>
  <c r="L203" i="13"/>
  <c r="L204" i="13"/>
  <c r="L205" i="13"/>
  <c r="L206" i="13"/>
  <c r="L207" i="13"/>
  <c r="L208" i="13"/>
  <c r="L209" i="13"/>
  <c r="D76" i="13"/>
  <c r="L76" i="13" s="1"/>
  <c r="D74" i="13"/>
  <c r="L74" i="13" s="1"/>
  <c r="D75" i="13"/>
  <c r="L75" i="13" s="1"/>
  <c r="D73" i="13"/>
  <c r="L73" i="13" s="1"/>
  <c r="D63" i="13"/>
  <c r="L63" i="13" s="1"/>
  <c r="D72" i="13"/>
  <c r="D71" i="13"/>
  <c r="L71" i="13" s="1"/>
  <c r="D62" i="13"/>
  <c r="L62" i="13" s="1"/>
  <c r="F137" i="13"/>
  <c r="F139" i="13"/>
  <c r="F141" i="13"/>
  <c r="F145" i="13"/>
  <c r="F148" i="13"/>
  <c r="F149" i="13"/>
  <c r="F150" i="13"/>
  <c r="F151" i="13"/>
  <c r="F154" i="13"/>
  <c r="F155" i="13"/>
  <c r="F156" i="13"/>
  <c r="F157" i="13"/>
  <c r="F158" i="13"/>
  <c r="F159" i="13"/>
  <c r="F160" i="13"/>
  <c r="F163" i="13"/>
  <c r="F164" i="13"/>
  <c r="F165" i="13"/>
  <c r="F166" i="13"/>
  <c r="F167" i="13"/>
  <c r="F168" i="13"/>
  <c r="F171" i="13"/>
  <c r="F172" i="13"/>
  <c r="F173" i="13"/>
  <c r="F174" i="13"/>
  <c r="F175" i="13"/>
  <c r="F176" i="13"/>
  <c r="F177" i="13"/>
  <c r="F180" i="13"/>
  <c r="F181" i="13"/>
  <c r="F182" i="13"/>
  <c r="F183" i="13"/>
  <c r="F184" i="13"/>
  <c r="F185" i="13"/>
  <c r="F186" i="13"/>
  <c r="F187" i="13"/>
  <c r="F190" i="13"/>
  <c r="F191" i="13"/>
  <c r="F192" i="13"/>
  <c r="F193" i="13"/>
  <c r="F194" i="13"/>
  <c r="F198" i="13"/>
  <c r="F199" i="13"/>
  <c r="C135" i="13"/>
  <c r="J135" i="13" s="1"/>
  <c r="K135" i="13" s="1"/>
  <c r="C136" i="13"/>
  <c r="J136" i="13" s="1"/>
  <c r="K136" i="13" s="1"/>
  <c r="J137" i="13"/>
  <c r="K137" i="13" s="1"/>
  <c r="C139" i="13"/>
  <c r="J139" i="13" s="1"/>
  <c r="K139" i="13" s="1"/>
  <c r="C140" i="13"/>
  <c r="J140" i="13" s="1"/>
  <c r="K140" i="13" s="1"/>
  <c r="C142" i="13"/>
  <c r="C143" i="13"/>
  <c r="J143" i="13" s="1"/>
  <c r="K143" i="13" s="1"/>
  <c r="C144" i="13"/>
  <c r="J144" i="13" s="1"/>
  <c r="K144" i="13" s="1"/>
  <c r="J145" i="13"/>
  <c r="K145" i="13" s="1"/>
  <c r="C146" i="13"/>
  <c r="H146" i="13" s="1"/>
  <c r="C147" i="13"/>
  <c r="J147" i="13" s="1"/>
  <c r="K147" i="13" s="1"/>
  <c r="C148" i="13"/>
  <c r="J148" i="13" s="1"/>
  <c r="K148" i="13" s="1"/>
  <c r="C150" i="13"/>
  <c r="J150" i="13" s="1"/>
  <c r="K150" i="13" s="1"/>
  <c r="C151" i="13"/>
  <c r="J151" i="13" s="1"/>
  <c r="K151" i="13" s="1"/>
  <c r="C152" i="13"/>
  <c r="J152" i="13" s="1"/>
  <c r="K152" i="13" s="1"/>
  <c r="C153" i="13"/>
  <c r="J153" i="13" s="1"/>
  <c r="K153" i="13" s="1"/>
  <c r="C154" i="13"/>
  <c r="J154" i="13" s="1"/>
  <c r="K154" i="13" s="1"/>
  <c r="C155" i="13"/>
  <c r="J155" i="13" s="1"/>
  <c r="K155" i="13" s="1"/>
  <c r="C156" i="13"/>
  <c r="J156" i="13" s="1"/>
  <c r="K156" i="13" s="1"/>
  <c r="J157" i="13"/>
  <c r="K157" i="13" s="1"/>
  <c r="C158" i="13"/>
  <c r="J158" i="13" s="1"/>
  <c r="K158" i="13" s="1"/>
  <c r="C159" i="13"/>
  <c r="C160" i="13"/>
  <c r="J160" i="13" s="1"/>
  <c r="K160" i="13" s="1"/>
  <c r="C161" i="13"/>
  <c r="J161" i="13" s="1"/>
  <c r="K161" i="13" s="1"/>
  <c r="C162" i="13"/>
  <c r="J162" i="13" s="1"/>
  <c r="K162" i="13" s="1"/>
  <c r="C163" i="13"/>
  <c r="J163" i="13" s="1"/>
  <c r="K163" i="13" s="1"/>
  <c r="C164" i="13"/>
  <c r="J164" i="13" s="1"/>
  <c r="K164" i="13" s="1"/>
  <c r="C165" i="13"/>
  <c r="H165" i="13" s="1"/>
  <c r="J166" i="13"/>
  <c r="K166" i="13" s="1"/>
  <c r="C167" i="13"/>
  <c r="C168" i="13"/>
  <c r="J168" i="13" s="1"/>
  <c r="K168" i="13" s="1"/>
  <c r="C169" i="13"/>
  <c r="H169" i="13" s="1"/>
  <c r="C170" i="13"/>
  <c r="J170" i="13" s="1"/>
  <c r="K170" i="13" s="1"/>
  <c r="C171" i="13"/>
  <c r="C172" i="13"/>
  <c r="J172" i="13" s="1"/>
  <c r="K172" i="13" s="1"/>
  <c r="C173" i="13"/>
  <c r="J173" i="13" s="1"/>
  <c r="K173" i="13" s="1"/>
  <c r="J174" i="13"/>
  <c r="K174" i="13" s="1"/>
  <c r="C175" i="13"/>
  <c r="H175" i="13" s="1"/>
  <c r="C176" i="13"/>
  <c r="J176" i="13" s="1"/>
  <c r="K176" i="13" s="1"/>
  <c r="C177" i="13"/>
  <c r="H177" i="13" s="1"/>
  <c r="C178" i="13"/>
  <c r="J178" i="13" s="1"/>
  <c r="K178" i="13" s="1"/>
  <c r="C179" i="13"/>
  <c r="H179" i="13" s="1"/>
  <c r="C180" i="13"/>
  <c r="J180" i="13" s="1"/>
  <c r="K180" i="13" s="1"/>
  <c r="C181" i="13"/>
  <c r="J181" i="13" s="1"/>
  <c r="K181" i="13" s="1"/>
  <c r="C182" i="13"/>
  <c r="J182" i="13" s="1"/>
  <c r="K182" i="13" s="1"/>
  <c r="C183" i="13"/>
  <c r="C184" i="13"/>
  <c r="J184" i="13" s="1"/>
  <c r="K184" i="13" s="1"/>
  <c r="J185" i="13"/>
  <c r="K185" i="13" s="1"/>
  <c r="C186" i="13"/>
  <c r="H186" i="13" s="1"/>
  <c r="C187" i="13"/>
  <c r="C188" i="13"/>
  <c r="J188" i="13" s="1"/>
  <c r="K188" i="13" s="1"/>
  <c r="C189" i="13"/>
  <c r="H189" i="13" s="1"/>
  <c r="C190" i="13"/>
  <c r="J190" i="13" s="1"/>
  <c r="K190" i="13" s="1"/>
  <c r="C192" i="13"/>
  <c r="J192" i="13" s="1"/>
  <c r="K192" i="13" s="1"/>
  <c r="C193" i="13"/>
  <c r="J193" i="13" s="1"/>
  <c r="K193" i="13" s="1"/>
  <c r="C194" i="13"/>
  <c r="J194" i="13" s="1"/>
  <c r="K194" i="13" s="1"/>
  <c r="C195" i="13"/>
  <c r="J195" i="13" s="1"/>
  <c r="K195" i="13" s="1"/>
  <c r="C196" i="13"/>
  <c r="J196" i="13" s="1"/>
  <c r="K196" i="13" s="1"/>
  <c r="C198" i="13"/>
  <c r="J198" i="13" s="1"/>
  <c r="K198" i="13" s="1"/>
  <c r="C199" i="13"/>
  <c r="J199" i="13" s="1"/>
  <c r="K199" i="13" s="1"/>
  <c r="D154" i="13"/>
  <c r="L154" i="13" s="1"/>
  <c r="N154" i="13" s="1"/>
  <c r="D155" i="13"/>
  <c r="L155" i="13" s="1"/>
  <c r="D163" i="13"/>
  <c r="L163" i="13" s="1"/>
  <c r="D164" i="13"/>
  <c r="L164" i="13" s="1"/>
  <c r="D171" i="13"/>
  <c r="L171" i="13" s="1"/>
  <c r="D172" i="13"/>
  <c r="L172" i="13" s="1"/>
  <c r="D180" i="13"/>
  <c r="D181" i="13"/>
  <c r="L181" i="13" s="1"/>
  <c r="D182" i="13"/>
  <c r="L182" i="13" s="1"/>
  <c r="N182" i="13" s="1"/>
  <c r="D183" i="13"/>
  <c r="L183" i="13" s="1"/>
  <c r="C197" i="13"/>
  <c r="H197" i="13" s="1"/>
  <c r="C133" i="10"/>
  <c r="E133" i="10" s="1"/>
  <c r="C132" i="10"/>
  <c r="E132" i="10" s="1"/>
  <c r="C131" i="10"/>
  <c r="E131" i="10" s="1"/>
  <c r="C130" i="10"/>
  <c r="E130" i="10" s="1"/>
  <c r="C129" i="10"/>
  <c r="E129" i="10" s="1"/>
  <c r="C128" i="10"/>
  <c r="E128" i="10" s="1"/>
  <c r="C126" i="10"/>
  <c r="E126" i="10" s="1"/>
  <c r="C125" i="10"/>
  <c r="E125" i="10" s="1"/>
  <c r="C124" i="10"/>
  <c r="E124" i="10" s="1"/>
  <c r="C123" i="10"/>
  <c r="E123" i="10" s="1"/>
  <c r="C122" i="10"/>
  <c r="E122" i="10" s="1"/>
  <c r="C121" i="10"/>
  <c r="E121" i="10" s="1"/>
  <c r="C118" i="10"/>
  <c r="E118" i="10" s="1"/>
  <c r="C117" i="10"/>
  <c r="E117" i="10" s="1"/>
  <c r="C116" i="10"/>
  <c r="E116" i="10" s="1"/>
  <c r="C115" i="10"/>
  <c r="E115" i="10" s="1"/>
  <c r="C114" i="10"/>
  <c r="E114" i="10" s="1"/>
  <c r="C113" i="10"/>
  <c r="E113" i="10" s="1"/>
  <c r="C111" i="10"/>
  <c r="E111" i="10" s="1"/>
  <c r="C110" i="10"/>
  <c r="E110" i="10" s="1"/>
  <c r="C109" i="10"/>
  <c r="E109" i="10" s="1"/>
  <c r="C108" i="10"/>
  <c r="E108" i="10" s="1"/>
  <c r="C107" i="10"/>
  <c r="E107" i="10" s="1"/>
  <c r="C106" i="10"/>
  <c r="E106" i="10" s="1"/>
  <c r="N172" i="13" l="1"/>
  <c r="H172" i="13"/>
  <c r="N164" i="13"/>
  <c r="H136" i="13"/>
  <c r="H168" i="13"/>
  <c r="N184" i="13"/>
  <c r="H188" i="13"/>
  <c r="H183" i="13"/>
  <c r="H192" i="13"/>
  <c r="H144" i="13"/>
  <c r="J191" i="13"/>
  <c r="K191" i="13" s="1"/>
  <c r="H180" i="13"/>
  <c r="H135" i="13"/>
  <c r="H184" i="13"/>
  <c r="H160" i="13"/>
  <c r="N167" i="13"/>
  <c r="J138" i="13"/>
  <c r="K138" i="13" s="1"/>
  <c r="H196" i="13"/>
  <c r="H176" i="13"/>
  <c r="H152" i="13"/>
  <c r="N192" i="13"/>
  <c r="N175" i="13"/>
  <c r="N177" i="13"/>
  <c r="N173" i="13"/>
  <c r="J165" i="13"/>
  <c r="K165" i="13" s="1"/>
  <c r="J141" i="13"/>
  <c r="K141" i="13" s="1"/>
  <c r="H193" i="13"/>
  <c r="H173" i="13"/>
  <c r="H156" i="13"/>
  <c r="H148" i="13"/>
  <c r="H140" i="13"/>
  <c r="N198" i="13"/>
  <c r="J197" i="13"/>
  <c r="K197" i="13" s="1"/>
  <c r="N186" i="13"/>
  <c r="N179" i="13"/>
  <c r="J177" i="13"/>
  <c r="K177" i="13" s="1"/>
  <c r="J175" i="13"/>
  <c r="K175" i="13" s="1"/>
  <c r="N170" i="13"/>
  <c r="J169" i="13"/>
  <c r="K169" i="13" s="1"/>
  <c r="N166" i="13"/>
  <c r="N158" i="13"/>
  <c r="J149" i="13"/>
  <c r="K149" i="13" s="1"/>
  <c r="J146" i="13"/>
  <c r="K146" i="13" s="1"/>
  <c r="H187" i="13"/>
  <c r="J187" i="13"/>
  <c r="K187" i="13" s="1"/>
  <c r="H171" i="13"/>
  <c r="J171" i="13"/>
  <c r="K171" i="13" s="1"/>
  <c r="H167" i="13"/>
  <c r="J167" i="13"/>
  <c r="K167" i="13" s="1"/>
  <c r="H159" i="13"/>
  <c r="J159" i="13"/>
  <c r="K159" i="13" s="1"/>
  <c r="H161" i="13"/>
  <c r="H153" i="13"/>
  <c r="N196" i="13"/>
  <c r="J186" i="13"/>
  <c r="K186" i="13" s="1"/>
  <c r="J179" i="13"/>
  <c r="K179" i="13" s="1"/>
  <c r="N176" i="13"/>
  <c r="N168" i="13"/>
  <c r="N142" i="13"/>
  <c r="N139" i="13"/>
  <c r="N197" i="13"/>
  <c r="J189" i="13"/>
  <c r="K189" i="13" s="1"/>
  <c r="N181" i="13"/>
  <c r="H182" i="13"/>
  <c r="H142" i="13"/>
  <c r="J142" i="13"/>
  <c r="K142" i="13" s="1"/>
  <c r="L72" i="13"/>
  <c r="N194" i="13"/>
  <c r="N189" i="13"/>
  <c r="N185" i="13"/>
  <c r="J183" i="13"/>
  <c r="K183" i="13" s="1"/>
  <c r="L180" i="13"/>
  <c r="N180" i="13" s="1"/>
  <c r="N178" i="13"/>
  <c r="N162" i="13"/>
  <c r="N150" i="13"/>
  <c r="N165" i="13"/>
  <c r="N160" i="13"/>
  <c r="N157" i="13"/>
  <c r="N152" i="13"/>
  <c r="N149" i="13"/>
  <c r="N144" i="13"/>
  <c r="N141" i="13"/>
  <c r="N138" i="13"/>
  <c r="N193" i="13"/>
  <c r="N190" i="13"/>
  <c r="N188" i="13"/>
  <c r="N174" i="13"/>
  <c r="N169" i="13"/>
  <c r="N161" i="13"/>
  <c r="N156" i="13"/>
  <c r="N153" i="13"/>
  <c r="N148" i="13"/>
  <c r="N145" i="13"/>
  <c r="N140" i="13"/>
  <c r="N146" i="13"/>
  <c r="N135" i="13"/>
  <c r="N195" i="13"/>
  <c r="N163" i="13"/>
  <c r="N187" i="13"/>
  <c r="N171" i="13"/>
  <c r="N137" i="13"/>
  <c r="N199" i="13"/>
  <c r="N143" i="13"/>
  <c r="N191" i="13"/>
  <c r="N183" i="13"/>
  <c r="N155" i="13"/>
  <c r="N151" i="13"/>
  <c r="N147" i="13"/>
  <c r="N159" i="13"/>
  <c r="N136" i="13"/>
  <c r="H199" i="13"/>
  <c r="H194" i="13"/>
  <c r="H190" i="13"/>
  <c r="H178" i="13"/>
  <c r="H170" i="13"/>
  <c r="H162" i="13"/>
  <c r="H158" i="13"/>
  <c r="H154" i="13"/>
  <c r="H150" i="13"/>
  <c r="H181" i="13"/>
  <c r="H198" i="13"/>
  <c r="H164" i="13"/>
  <c r="H195" i="13"/>
  <c r="H163" i="13"/>
  <c r="H155" i="13"/>
  <c r="H151" i="13"/>
  <c r="H147" i="13"/>
  <c r="H143" i="13"/>
  <c r="H139" i="13"/>
  <c r="C103" i="10"/>
  <c r="E103" i="10" s="1"/>
  <c r="C102" i="10"/>
  <c r="E102" i="10" s="1"/>
  <c r="C101" i="10"/>
  <c r="E101" i="10" s="1"/>
  <c r="C94" i="10"/>
  <c r="E94" i="10" s="1"/>
  <c r="C93" i="10"/>
  <c r="E93" i="10" s="1"/>
  <c r="C92" i="10"/>
  <c r="E92" i="10" s="1"/>
  <c r="C91" i="10"/>
  <c r="E91" i="10" s="1"/>
  <c r="C90" i="10"/>
  <c r="E90" i="10" s="1"/>
  <c r="C89" i="10"/>
  <c r="E89" i="10" s="1"/>
  <c r="C88" i="10"/>
  <c r="E88" i="10" s="1"/>
  <c r="C87" i="10"/>
  <c r="E87" i="10" s="1"/>
  <c r="C86" i="10"/>
  <c r="E86" i="10" s="1"/>
  <c r="C85" i="10"/>
  <c r="E85" i="10" s="1"/>
  <c r="C70" i="10"/>
  <c r="E70" i="10" s="1"/>
  <c r="C69" i="10"/>
  <c r="E69" i="10" s="1"/>
  <c r="C68" i="10"/>
  <c r="E68" i="10" s="1"/>
  <c r="C67" i="10"/>
  <c r="E67" i="10" s="1"/>
  <c r="C66" i="10"/>
  <c r="E66" i="10" s="1"/>
  <c r="C65" i="10"/>
  <c r="E65" i="10" s="1"/>
  <c r="C62" i="10"/>
  <c r="E62" i="10" s="1"/>
  <c r="C61" i="10"/>
  <c r="E61" i="10" s="1"/>
  <c r="C60" i="10"/>
  <c r="E60" i="10" s="1"/>
  <c r="C59" i="10"/>
  <c r="E59" i="10" s="1"/>
  <c r="C58" i="10"/>
  <c r="E58" i="10" s="1"/>
  <c r="C57" i="10"/>
  <c r="E57" i="10" s="1"/>
  <c r="C54" i="10"/>
  <c r="E54" i="10" s="1"/>
  <c r="C53" i="10"/>
  <c r="E53" i="10" s="1"/>
  <c r="C52" i="10"/>
  <c r="E52" i="10" s="1"/>
  <c r="C51" i="10"/>
  <c r="E51" i="10" s="1"/>
  <c r="C50" i="10"/>
  <c r="E50" i="10" s="1"/>
  <c r="C49" i="10"/>
  <c r="E49" i="10" s="1"/>
  <c r="C48" i="10"/>
  <c r="E48" i="10" s="1"/>
  <c r="C46" i="10"/>
  <c r="E46" i="10" s="1"/>
  <c r="C45" i="10"/>
  <c r="E45" i="10" s="1"/>
  <c r="C44" i="10"/>
  <c r="E44" i="10" s="1"/>
  <c r="C43" i="10"/>
  <c r="E43" i="10" s="1"/>
  <c r="C42" i="10"/>
  <c r="E42" i="10" s="1"/>
  <c r="C41" i="10"/>
  <c r="E41" i="10" s="1"/>
  <c r="C40" i="10"/>
  <c r="E40" i="10" s="1"/>
  <c r="C39" i="10"/>
  <c r="E39" i="10" s="1"/>
  <c r="C38" i="10"/>
  <c r="E38" i="10" s="1"/>
  <c r="C37" i="10"/>
  <c r="E37" i="10" s="1"/>
  <c r="C36" i="10"/>
  <c r="E36" i="10" s="1"/>
  <c r="C23" i="10"/>
  <c r="E23" i="10" s="1"/>
  <c r="C98" i="10" l="1"/>
  <c r="E98" i="10" s="1"/>
  <c r="C99" i="10"/>
  <c r="E99" i="10" s="1"/>
  <c r="C97" i="10"/>
  <c r="E97" i="10" s="1"/>
  <c r="C25" i="10"/>
  <c r="E25" i="10" s="1"/>
  <c r="C26" i="10"/>
  <c r="E26" i="10" s="1"/>
  <c r="C27" i="10"/>
  <c r="E27" i="10" s="1"/>
  <c r="C28" i="10"/>
  <c r="E28" i="10" s="1"/>
  <c r="C29" i="10"/>
  <c r="E29" i="10" s="1"/>
  <c r="C30" i="10"/>
  <c r="E30" i="10" s="1"/>
  <c r="C31" i="10"/>
  <c r="E31" i="10" s="1"/>
  <c r="C32" i="10"/>
  <c r="E32" i="10" s="1"/>
  <c r="C33" i="10"/>
  <c r="E33" i="10" s="1"/>
  <c r="C34" i="10"/>
  <c r="E34" i="10" s="1"/>
  <c r="C83" i="10"/>
  <c r="E83" i="10" s="1"/>
  <c r="C82" i="10"/>
  <c r="E82" i="10" s="1"/>
  <c r="C81" i="10"/>
  <c r="E81" i="10" s="1"/>
  <c r="C80" i="10"/>
  <c r="E80" i="10" s="1"/>
  <c r="C79" i="10"/>
  <c r="E79" i="10" s="1"/>
  <c r="C78" i="10"/>
  <c r="E78" i="10" s="1"/>
  <c r="C77" i="10"/>
  <c r="E77" i="10" s="1"/>
  <c r="C75" i="10"/>
  <c r="E75" i="10" s="1"/>
  <c r="C76" i="10"/>
  <c r="E76" i="10" s="1"/>
  <c r="C74" i="10"/>
  <c r="E74" i="10" s="1"/>
  <c r="C20" i="10"/>
  <c r="E20" i="10" s="1"/>
  <c r="C17" i="10"/>
  <c r="E17" i="10" s="1"/>
  <c r="C15" i="10"/>
  <c r="E15" i="10" s="1"/>
  <c r="C16" i="10"/>
  <c r="E16" i="10" s="1"/>
  <c r="C14" i="10"/>
  <c r="E14" i="10" s="1"/>
  <c r="C13" i="10"/>
  <c r="E13" i="10" s="1"/>
  <c r="C11" i="10"/>
  <c r="E11" i="10" s="1"/>
  <c r="C12" i="10"/>
  <c r="E12" i="10" s="1"/>
  <c r="C10" i="10"/>
  <c r="E10" i="10" s="1"/>
  <c r="C9" i="10"/>
  <c r="E9" i="10" s="1"/>
  <c r="C8" i="10"/>
  <c r="E8" i="10" s="1"/>
  <c r="M23" i="7" l="1"/>
  <c r="M24" i="7"/>
  <c r="M25" i="7"/>
  <c r="M26" i="7"/>
  <c r="M22" i="7"/>
  <c r="O95" i="7" l="1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M91" i="7"/>
  <c r="M92" i="7"/>
  <c r="M93" i="7"/>
  <c r="M94" i="7"/>
  <c r="M95" i="7"/>
  <c r="M90" i="7"/>
  <c r="M85" i="7"/>
  <c r="M86" i="7"/>
  <c r="M87" i="7"/>
  <c r="M88" i="7"/>
  <c r="M89" i="7"/>
  <c r="M84" i="7"/>
  <c r="M82" i="7"/>
  <c r="M83" i="7"/>
  <c r="M81" i="7"/>
  <c r="M80" i="7"/>
  <c r="M79" i="7"/>
  <c r="M78" i="7"/>
  <c r="M76" i="7"/>
  <c r="M77" i="7"/>
  <c r="M75" i="7"/>
  <c r="M74" i="7"/>
  <c r="M73" i="7"/>
  <c r="M68" i="7"/>
  <c r="M69" i="7"/>
  <c r="M70" i="7"/>
  <c r="M71" i="7"/>
  <c r="M72" i="7"/>
  <c r="M67" i="7"/>
  <c r="M62" i="7"/>
  <c r="M63" i="7"/>
  <c r="M64" i="7"/>
  <c r="M65" i="7"/>
  <c r="M66" i="7"/>
  <c r="M61" i="7"/>
  <c r="M51" i="7"/>
  <c r="M52" i="7"/>
  <c r="M53" i="7"/>
  <c r="M54" i="7"/>
  <c r="M55" i="7"/>
  <c r="M56" i="7"/>
  <c r="M57" i="7"/>
  <c r="M58" i="7"/>
  <c r="M59" i="7"/>
  <c r="M60" i="7"/>
  <c r="M50" i="7"/>
  <c r="M49" i="7"/>
  <c r="M48" i="7"/>
  <c r="M47" i="7"/>
  <c r="M46" i="7"/>
  <c r="G92" i="7"/>
  <c r="G93" i="7"/>
  <c r="G94" i="7"/>
  <c r="G95" i="7"/>
  <c r="G91" i="7"/>
  <c r="G90" i="7"/>
  <c r="G86" i="7"/>
  <c r="H86" i="7" s="1"/>
  <c r="G87" i="7"/>
  <c r="G88" i="7"/>
  <c r="G89" i="7"/>
  <c r="G84" i="7"/>
  <c r="G85" i="7"/>
  <c r="G83" i="7"/>
  <c r="G82" i="7"/>
  <c r="G81" i="7"/>
  <c r="G80" i="7"/>
  <c r="G79" i="7"/>
  <c r="G78" i="7"/>
  <c r="G77" i="7"/>
  <c r="G76" i="7"/>
  <c r="G75" i="7"/>
  <c r="G74" i="7"/>
  <c r="G73" i="7"/>
  <c r="G69" i="7"/>
  <c r="G70" i="7"/>
  <c r="G71" i="7"/>
  <c r="G72" i="7"/>
  <c r="G68" i="7"/>
  <c r="G67" i="7"/>
  <c r="G66" i="7"/>
  <c r="G64" i="7"/>
  <c r="G65" i="7"/>
  <c r="G63" i="7"/>
  <c r="G62" i="7"/>
  <c r="G61" i="7"/>
  <c r="G55" i="7"/>
  <c r="G56" i="7"/>
  <c r="G57" i="7"/>
  <c r="G58" i="7"/>
  <c r="G59" i="7"/>
  <c r="G60" i="7"/>
  <c r="G54" i="7"/>
  <c r="G53" i="7"/>
  <c r="G52" i="7"/>
  <c r="G51" i="7"/>
  <c r="G50" i="7"/>
  <c r="G49" i="7"/>
  <c r="G48" i="7"/>
  <c r="G47" i="7"/>
  <c r="G46" i="7"/>
  <c r="B91" i="7"/>
  <c r="B92" i="7"/>
  <c r="B93" i="7"/>
  <c r="B94" i="7"/>
  <c r="B95" i="7"/>
  <c r="B90" i="7"/>
  <c r="B85" i="7"/>
  <c r="B86" i="7"/>
  <c r="B87" i="7"/>
  <c r="B88" i="7"/>
  <c r="B89" i="7"/>
  <c r="B84" i="7"/>
  <c r="B80" i="7"/>
  <c r="B81" i="7"/>
  <c r="B82" i="7"/>
  <c r="B83" i="7"/>
  <c r="B79" i="7"/>
  <c r="B76" i="7"/>
  <c r="B77" i="7"/>
  <c r="B78" i="7"/>
  <c r="B75" i="7"/>
  <c r="B74" i="7"/>
  <c r="B73" i="7"/>
  <c r="B68" i="7"/>
  <c r="B69" i="7"/>
  <c r="B70" i="7"/>
  <c r="B71" i="7"/>
  <c r="B72" i="7"/>
  <c r="B67" i="7"/>
  <c r="B62" i="7"/>
  <c r="B63" i="7"/>
  <c r="B64" i="7"/>
  <c r="B65" i="7"/>
  <c r="B66" i="7"/>
  <c r="B61" i="7"/>
  <c r="B50" i="7"/>
  <c r="B51" i="7"/>
  <c r="B52" i="7"/>
  <c r="B53" i="7"/>
  <c r="B54" i="7"/>
  <c r="B55" i="7"/>
  <c r="B56" i="7"/>
  <c r="B57" i="7"/>
  <c r="B58" i="7"/>
  <c r="B59" i="7"/>
  <c r="B60" i="7"/>
  <c r="B49" i="7"/>
  <c r="B48" i="7"/>
  <c r="B47" i="7"/>
  <c r="B46" i="7"/>
  <c r="C91" i="7"/>
  <c r="C92" i="7"/>
  <c r="C93" i="7"/>
  <c r="C94" i="7"/>
  <c r="C95" i="7"/>
  <c r="C90" i="7"/>
  <c r="C85" i="7"/>
  <c r="C86" i="7"/>
  <c r="C87" i="7"/>
  <c r="C88" i="7"/>
  <c r="C89" i="7"/>
  <c r="C84" i="7"/>
  <c r="C82" i="7"/>
  <c r="C83" i="7"/>
  <c r="C81" i="7"/>
  <c r="C80" i="7"/>
  <c r="C79" i="7"/>
  <c r="C78" i="7"/>
  <c r="C76" i="7"/>
  <c r="C77" i="7"/>
  <c r="C75" i="7"/>
  <c r="C74" i="7"/>
  <c r="C73" i="7"/>
  <c r="C68" i="7"/>
  <c r="C69" i="7"/>
  <c r="C70" i="7"/>
  <c r="C71" i="7"/>
  <c r="C72" i="7"/>
  <c r="C67" i="7"/>
  <c r="C62" i="7"/>
  <c r="C63" i="7"/>
  <c r="C64" i="7"/>
  <c r="C65" i="7"/>
  <c r="C66" i="7"/>
  <c r="C61" i="7"/>
  <c r="C51" i="7"/>
  <c r="C52" i="7"/>
  <c r="C53" i="7"/>
  <c r="C54" i="7"/>
  <c r="C55" i="7"/>
  <c r="C56" i="7"/>
  <c r="C57" i="7"/>
  <c r="C58" i="7"/>
  <c r="C59" i="7"/>
  <c r="C60" i="7"/>
  <c r="C50" i="7"/>
  <c r="C49" i="7"/>
  <c r="C48" i="7"/>
  <c r="C47" i="7"/>
  <c r="C46" i="7"/>
  <c r="B32" i="7"/>
  <c r="B33" i="7"/>
  <c r="B34" i="7"/>
  <c r="B35" i="7"/>
  <c r="B36" i="7"/>
  <c r="B37" i="7"/>
  <c r="B38" i="7"/>
  <c r="B39" i="7"/>
  <c r="B40" i="7"/>
  <c r="B31" i="7"/>
  <c r="B27" i="7"/>
  <c r="B21" i="7"/>
  <c r="B22" i="7"/>
  <c r="B23" i="7"/>
  <c r="B24" i="7"/>
  <c r="B25" i="7"/>
  <c r="B26" i="7"/>
  <c r="B14" i="7"/>
  <c r="B15" i="7"/>
  <c r="B16" i="7"/>
  <c r="B17" i="7"/>
  <c r="B18" i="7"/>
  <c r="B19" i="7"/>
  <c r="B20" i="7"/>
  <c r="B13" i="7"/>
  <c r="B3" i="7"/>
  <c r="B4" i="7"/>
  <c r="B5" i="7"/>
  <c r="B6" i="7"/>
  <c r="B7" i="7"/>
  <c r="B8" i="7"/>
  <c r="B9" i="7"/>
  <c r="B10" i="7"/>
  <c r="B2" i="7"/>
  <c r="F95" i="7"/>
  <c r="F94" i="7"/>
  <c r="F93" i="7"/>
  <c r="F92" i="7"/>
  <c r="H92" i="7" s="1"/>
  <c r="F91" i="7"/>
  <c r="H91" i="7" s="1"/>
  <c r="F90" i="7"/>
  <c r="F89" i="7"/>
  <c r="F88" i="7"/>
  <c r="H88" i="7" s="1"/>
  <c r="F87" i="7"/>
  <c r="F86" i="7"/>
  <c r="F85" i="7"/>
  <c r="F84" i="7"/>
  <c r="F83" i="7"/>
  <c r="H83" i="7" s="1"/>
  <c r="F82" i="7"/>
  <c r="F81" i="7"/>
  <c r="F80" i="7"/>
  <c r="H80" i="7" s="1"/>
  <c r="F79" i="7"/>
  <c r="H79" i="7" s="1"/>
  <c r="F78" i="7"/>
  <c r="F77" i="7"/>
  <c r="F76" i="7"/>
  <c r="F75" i="7"/>
  <c r="H75" i="7" s="1"/>
  <c r="F74" i="7"/>
  <c r="F73" i="7"/>
  <c r="F72" i="7"/>
  <c r="F71" i="7"/>
  <c r="F70" i="7"/>
  <c r="F69" i="7"/>
  <c r="F68" i="7"/>
  <c r="F67" i="7"/>
  <c r="F66" i="7"/>
  <c r="H66" i="7" s="1"/>
  <c r="F65" i="7"/>
  <c r="F64" i="7"/>
  <c r="F63" i="7"/>
  <c r="F62" i="7"/>
  <c r="F61" i="7"/>
  <c r="H61" i="7" s="1"/>
  <c r="F60" i="7"/>
  <c r="F59" i="7"/>
  <c r="F58" i="7"/>
  <c r="F57" i="7"/>
  <c r="F56" i="7"/>
  <c r="F55" i="7"/>
  <c r="F54" i="7"/>
  <c r="F53" i="7"/>
  <c r="H53" i="7" s="1"/>
  <c r="F52" i="7"/>
  <c r="F51" i="7"/>
  <c r="F50" i="7"/>
  <c r="H50" i="7" s="1"/>
  <c r="F49" i="7"/>
  <c r="H49" i="7" s="1"/>
  <c r="F48" i="7"/>
  <c r="F47" i="7"/>
  <c r="H64" i="7" l="1"/>
  <c r="H72" i="7"/>
  <c r="H70" i="7"/>
  <c r="H84" i="7"/>
  <c r="H55" i="7"/>
  <c r="H59" i="7"/>
  <c r="H47" i="7"/>
  <c r="H63" i="7"/>
  <c r="H77" i="7"/>
  <c r="H52" i="7"/>
  <c r="H65" i="7"/>
  <c r="H69" i="7"/>
  <c r="H90" i="7"/>
  <c r="H94" i="7"/>
  <c r="H51" i="7"/>
  <c r="H67" i="7"/>
  <c r="H73" i="7"/>
  <c r="H81" i="7"/>
  <c r="H56" i="7"/>
  <c r="H60" i="7"/>
  <c r="H68" i="7"/>
  <c r="H74" i="7"/>
  <c r="H78" i="7"/>
  <c r="H82" i="7"/>
  <c r="H89" i="7"/>
  <c r="H93" i="7"/>
  <c r="H57" i="7"/>
  <c r="H71" i="7"/>
  <c r="H85" i="7"/>
  <c r="H54" i="7"/>
  <c r="H62" i="7"/>
  <c r="H76" i="7"/>
  <c r="H87" i="7"/>
  <c r="H95" i="7"/>
  <c r="H58" i="7"/>
  <c r="H48" i="7"/>
  <c r="C210" i="13" l="1"/>
  <c r="H210" i="13" s="1"/>
  <c r="F209" i="13"/>
  <c r="C209" i="13"/>
  <c r="F208" i="13"/>
  <c r="C208" i="13"/>
  <c r="F207" i="13"/>
  <c r="C207" i="13"/>
  <c r="F206" i="13"/>
  <c r="C206" i="13"/>
  <c r="F205" i="13"/>
  <c r="C205" i="13"/>
  <c r="F204" i="13"/>
  <c r="C204" i="13"/>
  <c r="F203" i="13"/>
  <c r="C203" i="13"/>
  <c r="F202" i="13"/>
  <c r="C202" i="13"/>
  <c r="F201" i="13"/>
  <c r="C201" i="13"/>
  <c r="F197" i="13"/>
  <c r="AC46" i="13"/>
  <c r="AC44" i="13"/>
  <c r="AC42" i="13"/>
  <c r="L42" i="13"/>
  <c r="F38" i="13"/>
  <c r="L31" i="13"/>
  <c r="J31" i="13"/>
  <c r="K31" i="13" s="1"/>
  <c r="L30" i="13"/>
  <c r="J30" i="13"/>
  <c r="K30" i="13" s="1"/>
  <c r="L29" i="13"/>
  <c r="J29" i="13"/>
  <c r="K29" i="13" s="1"/>
  <c r="L28" i="13"/>
  <c r="J28" i="13"/>
  <c r="K28" i="13" s="1"/>
  <c r="L27" i="13"/>
  <c r="J27" i="13"/>
  <c r="K27" i="13" s="1"/>
  <c r="AB26" i="13"/>
  <c r="L26" i="13"/>
  <c r="N26" i="13" s="1"/>
  <c r="J26" i="13"/>
  <c r="K26" i="13" s="1"/>
  <c r="L25" i="13"/>
  <c r="J25" i="13"/>
  <c r="K25" i="13" s="1"/>
  <c r="L24" i="13"/>
  <c r="J24" i="13"/>
  <c r="K24" i="13" s="1"/>
  <c r="L23" i="13"/>
  <c r="J23" i="13"/>
  <c r="K23" i="13" s="1"/>
  <c r="L22" i="13"/>
  <c r="J22" i="13"/>
  <c r="K22" i="13" s="1"/>
  <c r="L21" i="13"/>
  <c r="J21" i="13"/>
  <c r="K21" i="13" s="1"/>
  <c r="L20" i="13"/>
  <c r="L36" i="13" s="1"/>
  <c r="N36" i="13" s="1"/>
  <c r="J20" i="13"/>
  <c r="K20" i="13" s="1"/>
  <c r="R11" i="13"/>
  <c r="F8" i="13"/>
  <c r="L6" i="13"/>
  <c r="L5" i="13"/>
  <c r="F5" i="13"/>
  <c r="F6" i="13" s="1"/>
  <c r="O27" i="7"/>
  <c r="O24" i="7"/>
  <c r="O25" i="7"/>
  <c r="O21" i="7"/>
  <c r="O14" i="7"/>
  <c r="O15" i="7"/>
  <c r="O16" i="7"/>
  <c r="O17" i="7"/>
  <c r="O18" i="7"/>
  <c r="O19" i="7"/>
  <c r="O20" i="7"/>
  <c r="O32" i="7"/>
  <c r="O33" i="7"/>
  <c r="O34" i="7"/>
  <c r="O35" i="7"/>
  <c r="O36" i="7"/>
  <c r="O37" i="7"/>
  <c r="O38" i="7"/>
  <c r="O39" i="7"/>
  <c r="O40" i="7"/>
  <c r="O3" i="7"/>
  <c r="O4" i="7"/>
  <c r="O5" i="7"/>
  <c r="O6" i="7"/>
  <c r="O7" i="7"/>
  <c r="O8" i="7"/>
  <c r="O9" i="7"/>
  <c r="O10" i="7"/>
  <c r="F27" i="7"/>
  <c r="G35" i="7"/>
  <c r="G36" i="7"/>
  <c r="G37" i="7"/>
  <c r="G38" i="7"/>
  <c r="G39" i="7"/>
  <c r="G40" i="7"/>
  <c r="G34" i="7"/>
  <c r="G33" i="7"/>
  <c r="G32" i="7"/>
  <c r="G31" i="7"/>
  <c r="G27" i="7"/>
  <c r="G23" i="7"/>
  <c r="G24" i="7"/>
  <c r="G25" i="7"/>
  <c r="G26" i="7"/>
  <c r="G22" i="7"/>
  <c r="G21" i="7"/>
  <c r="G16" i="7"/>
  <c r="G17" i="7"/>
  <c r="G18" i="7"/>
  <c r="G19" i="7"/>
  <c r="G20" i="7"/>
  <c r="G15" i="7"/>
  <c r="G14" i="7"/>
  <c r="G13" i="7"/>
  <c r="M32" i="7"/>
  <c r="M33" i="7"/>
  <c r="M34" i="7"/>
  <c r="M35" i="7"/>
  <c r="M36" i="7"/>
  <c r="M37" i="7"/>
  <c r="M38" i="7"/>
  <c r="M39" i="7"/>
  <c r="M40" i="7"/>
  <c r="M31" i="7"/>
  <c r="O26" i="7"/>
  <c r="O23" i="7"/>
  <c r="O22" i="7"/>
  <c r="M27" i="7"/>
  <c r="M21" i="7"/>
  <c r="M20" i="7"/>
  <c r="M14" i="7"/>
  <c r="M15" i="7"/>
  <c r="M16" i="7"/>
  <c r="M17" i="7"/>
  <c r="M18" i="7"/>
  <c r="M19" i="7"/>
  <c r="M13" i="7"/>
  <c r="M3" i="7"/>
  <c r="M4" i="7"/>
  <c r="M5" i="7"/>
  <c r="M6" i="7"/>
  <c r="M7" i="7"/>
  <c r="M8" i="7"/>
  <c r="M9" i="7"/>
  <c r="M10" i="7"/>
  <c r="P10" i="7" s="1"/>
  <c r="M2" i="7"/>
  <c r="F40" i="7"/>
  <c r="F39" i="7"/>
  <c r="F38" i="7"/>
  <c r="F37" i="7"/>
  <c r="F36" i="7"/>
  <c r="F35" i="7"/>
  <c r="F34" i="7"/>
  <c r="F33" i="7"/>
  <c r="F32" i="7"/>
  <c r="F31" i="7"/>
  <c r="F42" i="7" s="1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G10" i="7"/>
  <c r="H204" i="13" l="1"/>
  <c r="J204" i="13"/>
  <c r="K204" i="13" s="1"/>
  <c r="N204" i="13"/>
  <c r="J201" i="13"/>
  <c r="N201" i="13"/>
  <c r="J203" i="13"/>
  <c r="K203" i="13" s="1"/>
  <c r="N203" i="13"/>
  <c r="H205" i="13"/>
  <c r="J205" i="13"/>
  <c r="K205" i="13" s="1"/>
  <c r="N205" i="13"/>
  <c r="J207" i="13"/>
  <c r="K207" i="13" s="1"/>
  <c r="N207" i="13"/>
  <c r="H209" i="13"/>
  <c r="J209" i="13"/>
  <c r="K209" i="13" s="1"/>
  <c r="N209" i="13"/>
  <c r="J202" i="13"/>
  <c r="K202" i="13" s="1"/>
  <c r="N202" i="13"/>
  <c r="J206" i="13"/>
  <c r="K206" i="13" s="1"/>
  <c r="N206" i="13"/>
  <c r="J208" i="13"/>
  <c r="K208" i="13" s="1"/>
  <c r="N208" i="13"/>
  <c r="N21" i="13"/>
  <c r="N23" i="13"/>
  <c r="N25" i="13"/>
  <c r="N22" i="13"/>
  <c r="N24" i="13"/>
  <c r="N28" i="13"/>
  <c r="N30" i="13"/>
  <c r="N27" i="13"/>
  <c r="N29" i="13"/>
  <c r="N31" i="13"/>
  <c r="R12" i="13"/>
  <c r="J8" i="13"/>
  <c r="H203" i="13"/>
  <c r="H207" i="13"/>
  <c r="L7" i="13"/>
  <c r="L38" i="13"/>
  <c r="H201" i="13"/>
  <c r="N20" i="13"/>
  <c r="H208" i="13"/>
  <c r="K38" i="13"/>
  <c r="K8" i="13"/>
  <c r="J38" i="13"/>
  <c r="H206" i="13"/>
  <c r="H202" i="13"/>
  <c r="H212" i="13" l="1"/>
  <c r="N212" i="13"/>
  <c r="K201" i="13"/>
  <c r="K212" i="13" s="1"/>
  <c r="J212" i="13"/>
  <c r="N38" i="13"/>
  <c r="N8" i="13"/>
  <c r="Q40" i="7" l="1"/>
  <c r="P40" i="7"/>
  <c r="H40" i="7"/>
  <c r="Q39" i="7"/>
  <c r="P39" i="7"/>
  <c r="H39" i="7"/>
  <c r="Q38" i="7"/>
  <c r="P38" i="7"/>
  <c r="H38" i="7"/>
  <c r="Q27" i="7"/>
  <c r="P27" i="7"/>
  <c r="H27" i="7"/>
  <c r="Q26" i="7"/>
  <c r="P26" i="7"/>
  <c r="H26" i="7"/>
  <c r="Q25" i="7"/>
  <c r="P25" i="7"/>
  <c r="H25" i="7"/>
  <c r="R39" i="7" l="1"/>
  <c r="R40" i="7"/>
  <c r="R38" i="7"/>
  <c r="R25" i="7"/>
  <c r="R26" i="7"/>
  <c r="R27" i="7"/>
  <c r="P20" i="7"/>
  <c r="Q20" i="7"/>
  <c r="H20" i="7"/>
  <c r="R20" i="7" l="1"/>
  <c r="M217" i="13" l="1"/>
  <c r="G9" i="7"/>
  <c r="G8" i="7"/>
  <c r="G6" i="7"/>
  <c r="G5" i="7"/>
  <c r="G4" i="7"/>
  <c r="P9" i="7"/>
  <c r="P8" i="7"/>
  <c r="P7" i="7"/>
  <c r="G7" i="7"/>
  <c r="P6" i="7"/>
  <c r="P5" i="7"/>
  <c r="Q4" i="7"/>
  <c r="P4" i="7"/>
  <c r="Q3" i="7"/>
  <c r="P3" i="7"/>
  <c r="G3" i="7"/>
  <c r="P2" i="7"/>
  <c r="G2" i="7"/>
  <c r="R3" i="7" l="1"/>
  <c r="R4" i="7"/>
  <c r="P21" i="7" l="1"/>
  <c r="P22" i="7"/>
  <c r="P23" i="7"/>
  <c r="P24" i="7"/>
  <c r="P14" i="7"/>
  <c r="P13" i="7"/>
  <c r="D30" i="7"/>
  <c r="F30" i="7"/>
  <c r="H24" i="7"/>
  <c r="H23" i="7"/>
  <c r="H22" i="7"/>
  <c r="H21" i="7"/>
  <c r="Q10" i="7" l="1"/>
  <c r="R10" i="7" s="1"/>
  <c r="O31" i="7"/>
  <c r="O13" i="7"/>
  <c r="Q21" i="7"/>
  <c r="R21" i="7" s="1"/>
  <c r="Q22" i="7"/>
  <c r="R22" i="7" s="1"/>
  <c r="Q23" i="7"/>
  <c r="R23" i="7" s="1"/>
  <c r="Q24" i="7"/>
  <c r="R24" i="7" s="1"/>
  <c r="H15" i="7"/>
  <c r="H16" i="7"/>
  <c r="O2" i="7"/>
  <c r="Q2" i="7" s="1"/>
  <c r="R2" i="7" s="1"/>
  <c r="H19" i="7"/>
  <c r="H18" i="7"/>
  <c r="H17" i="7"/>
  <c r="H14" i="7"/>
  <c r="P19" i="7"/>
  <c r="P18" i="7"/>
  <c r="P17" i="7"/>
  <c r="P16" i="7"/>
  <c r="P15" i="7"/>
  <c r="H13" i="7"/>
  <c r="Q17" i="7" l="1"/>
  <c r="R17" i="7" s="1"/>
  <c r="Q16" i="7"/>
  <c r="Q13" i="7"/>
  <c r="R13" i="7" s="1"/>
  <c r="Q19" i="7"/>
  <c r="R19" i="7" s="1"/>
  <c r="Q15" i="7"/>
  <c r="R15" i="7" s="1"/>
  <c r="Q18" i="7"/>
  <c r="R18" i="7" s="1"/>
  <c r="Q14" i="7"/>
  <c r="R14" i="7" s="1"/>
  <c r="Q6" i="7"/>
  <c r="R6" i="7" s="1"/>
  <c r="Q7" i="7"/>
  <c r="R7" i="7" s="1"/>
  <c r="Q8" i="7"/>
  <c r="R8" i="7" s="1"/>
  <c r="Q5" i="7"/>
  <c r="R5" i="7" s="1"/>
  <c r="Q9" i="7"/>
  <c r="R9" i="7" s="1"/>
  <c r="P30" i="7"/>
  <c r="H30" i="7"/>
  <c r="R16" i="7" l="1"/>
  <c r="R30" i="7" s="1"/>
  <c r="Q30" i="7"/>
  <c r="B54" i="4"/>
  <c r="D42" i="7" l="1"/>
  <c r="D12" i="7" l="1"/>
  <c r="D43" i="7" s="1"/>
  <c r="B51" i="4" l="1"/>
  <c r="D103" i="7" l="1"/>
  <c r="P12" i="7" l="1"/>
  <c r="B3" i="4" l="1"/>
  <c r="B4" i="4"/>
  <c r="B5" i="4"/>
  <c r="B6" i="4"/>
  <c r="D5" i="4" l="1"/>
  <c r="C4" i="4"/>
  <c r="E4" i="4"/>
  <c r="G4" i="4"/>
  <c r="F5" i="4"/>
  <c r="C5" i="4"/>
  <c r="D4" i="4"/>
  <c r="F4" i="4"/>
  <c r="H4" i="4"/>
  <c r="C6" i="4"/>
  <c r="H6" i="4"/>
  <c r="E5" i="4"/>
  <c r="G5" i="4"/>
  <c r="H5" i="4"/>
  <c r="C3" i="4"/>
  <c r="D3" i="4"/>
  <c r="E3" i="4"/>
  <c r="F3" i="4"/>
  <c r="G3" i="4"/>
  <c r="H3" i="4"/>
  <c r="G6" i="4" l="1"/>
  <c r="F6" i="4"/>
  <c r="E6" i="4"/>
  <c r="D6" i="4"/>
  <c r="G47" i="4" l="1"/>
  <c r="B49" i="4"/>
  <c r="B52" i="4" s="1"/>
  <c r="C48" i="4"/>
  <c r="C47" i="4"/>
  <c r="B9" i="4"/>
  <c r="B8" i="4"/>
  <c r="B7" i="4"/>
  <c r="E46" i="7" l="1"/>
  <c r="F46" i="7" s="1"/>
  <c r="H46" i="7" s="1"/>
  <c r="F10" i="7"/>
  <c r="H10" i="7" s="1"/>
  <c r="E6" i="7"/>
  <c r="F6" i="7" s="1"/>
  <c r="H6" i="7" s="1"/>
  <c r="E2" i="7"/>
  <c r="F2" i="7" s="1"/>
  <c r="H2" i="7" s="1"/>
  <c r="E9" i="7"/>
  <c r="F9" i="7" s="1"/>
  <c r="H9" i="7" s="1"/>
  <c r="E7" i="7"/>
  <c r="F7" i="7" s="1"/>
  <c r="H7" i="7" s="1"/>
  <c r="E4" i="7"/>
  <c r="F4" i="7" s="1"/>
  <c r="H4" i="7" s="1"/>
  <c r="E3" i="7"/>
  <c r="F3" i="7" s="1"/>
  <c r="H3" i="7" s="1"/>
  <c r="E8" i="7"/>
  <c r="F8" i="7" s="1"/>
  <c r="H8" i="7" s="1"/>
  <c r="E5" i="7"/>
  <c r="F5" i="7" s="1"/>
  <c r="H5" i="7" s="1"/>
  <c r="G50" i="4"/>
  <c r="G52" i="4" s="1"/>
  <c r="H8" i="4"/>
  <c r="G8" i="4"/>
  <c r="F8" i="4"/>
  <c r="E8" i="4"/>
  <c r="D8" i="4"/>
  <c r="C8" i="4"/>
  <c r="H7" i="4"/>
  <c r="C7" i="4"/>
  <c r="G7" i="4"/>
  <c r="F7" i="4"/>
  <c r="E7" i="4"/>
  <c r="D7" i="4"/>
  <c r="H9" i="4"/>
  <c r="G9" i="4"/>
  <c r="F9" i="4"/>
  <c r="E9" i="4"/>
  <c r="D9" i="4"/>
  <c r="C9" i="4"/>
  <c r="C49" i="4"/>
  <c r="P32" i="7" l="1"/>
  <c r="Q32" i="7"/>
  <c r="H32" i="7"/>
  <c r="H35" i="7"/>
  <c r="Q35" i="7"/>
  <c r="P35" i="7"/>
  <c r="H36" i="7"/>
  <c r="P36" i="7"/>
  <c r="Q36" i="7"/>
  <c r="H33" i="7"/>
  <c r="P33" i="7"/>
  <c r="Q33" i="7"/>
  <c r="P37" i="7"/>
  <c r="H37" i="7"/>
  <c r="Q37" i="7"/>
  <c r="B53" i="4"/>
  <c r="B55" i="4" s="1"/>
  <c r="W97" i="7" s="1"/>
  <c r="H12" i="7" l="1"/>
  <c r="F12" i="7"/>
  <c r="F43" i="7" s="1"/>
  <c r="D104" i="7" s="1"/>
  <c r="R35" i="7"/>
  <c r="R36" i="7"/>
  <c r="R37" i="7"/>
  <c r="R33" i="7"/>
  <c r="R32" i="7"/>
  <c r="H31" i="7"/>
  <c r="P31" i="7"/>
  <c r="Q31" i="7"/>
  <c r="H34" i="7"/>
  <c r="Q34" i="7"/>
  <c r="P34" i="7"/>
  <c r="P42" i="7" l="1"/>
  <c r="H42" i="7"/>
  <c r="Q42" i="7"/>
  <c r="R31" i="7"/>
  <c r="R34" i="7"/>
  <c r="P43" i="7" l="1"/>
  <c r="H43" i="7"/>
  <c r="D105" i="7" s="1"/>
  <c r="R42" i="7"/>
  <c r="I10" i="7" l="1"/>
  <c r="J10" i="7" s="1"/>
  <c r="K10" i="7" s="1"/>
  <c r="L10" i="7" s="1"/>
  <c r="N10" i="7" s="1"/>
  <c r="U10" i="7" s="1"/>
  <c r="V10" i="7" s="1"/>
  <c r="W10" i="7" s="1"/>
  <c r="I47" i="7"/>
  <c r="J47" i="7" s="1"/>
  <c r="K47" i="7" s="1"/>
  <c r="L47" i="7" s="1"/>
  <c r="N47" i="7" s="1"/>
  <c r="I51" i="7"/>
  <c r="J51" i="7" s="1"/>
  <c r="K51" i="7" s="1"/>
  <c r="L51" i="7" s="1"/>
  <c r="N51" i="7" s="1"/>
  <c r="I55" i="7"/>
  <c r="J55" i="7" s="1"/>
  <c r="K55" i="7" s="1"/>
  <c r="L55" i="7" s="1"/>
  <c r="N55" i="7" s="1"/>
  <c r="I59" i="7"/>
  <c r="J59" i="7" s="1"/>
  <c r="K59" i="7" s="1"/>
  <c r="L59" i="7" s="1"/>
  <c r="N59" i="7" s="1"/>
  <c r="I63" i="7"/>
  <c r="J63" i="7" s="1"/>
  <c r="K63" i="7" s="1"/>
  <c r="L63" i="7" s="1"/>
  <c r="N63" i="7" s="1"/>
  <c r="I67" i="7"/>
  <c r="J67" i="7" s="1"/>
  <c r="K67" i="7" s="1"/>
  <c r="L67" i="7" s="1"/>
  <c r="N67" i="7" s="1"/>
  <c r="I71" i="7"/>
  <c r="J71" i="7" s="1"/>
  <c r="K71" i="7" s="1"/>
  <c r="L71" i="7" s="1"/>
  <c r="N71" i="7" s="1"/>
  <c r="I73" i="7"/>
  <c r="J73" i="7" s="1"/>
  <c r="K73" i="7" s="1"/>
  <c r="L73" i="7" s="1"/>
  <c r="N73" i="7" s="1"/>
  <c r="I77" i="7"/>
  <c r="J77" i="7" s="1"/>
  <c r="K77" i="7" s="1"/>
  <c r="L77" i="7" s="1"/>
  <c r="N77" i="7" s="1"/>
  <c r="I81" i="7"/>
  <c r="J81" i="7" s="1"/>
  <c r="K81" i="7" s="1"/>
  <c r="L81" i="7" s="1"/>
  <c r="N81" i="7" s="1"/>
  <c r="I85" i="7"/>
  <c r="J85" i="7" s="1"/>
  <c r="K85" i="7" s="1"/>
  <c r="L85" i="7" s="1"/>
  <c r="N85" i="7" s="1"/>
  <c r="I89" i="7"/>
  <c r="J89" i="7" s="1"/>
  <c r="K89" i="7" s="1"/>
  <c r="L89" i="7" s="1"/>
  <c r="N89" i="7" s="1"/>
  <c r="I93" i="7"/>
  <c r="J93" i="7" s="1"/>
  <c r="K93" i="7" s="1"/>
  <c r="L93" i="7" s="1"/>
  <c r="N93" i="7" s="1"/>
  <c r="I50" i="7"/>
  <c r="J50" i="7" s="1"/>
  <c r="K50" i="7" s="1"/>
  <c r="L50" i="7" s="1"/>
  <c r="N50" i="7" s="1"/>
  <c r="I58" i="7"/>
  <c r="J58" i="7" s="1"/>
  <c r="K58" i="7" s="1"/>
  <c r="L58" i="7" s="1"/>
  <c r="N58" i="7" s="1"/>
  <c r="I70" i="7"/>
  <c r="J70" i="7" s="1"/>
  <c r="K70" i="7" s="1"/>
  <c r="L70" i="7" s="1"/>
  <c r="N70" i="7" s="1"/>
  <c r="I84" i="7"/>
  <c r="J84" i="7" s="1"/>
  <c r="K84" i="7" s="1"/>
  <c r="L84" i="7" s="1"/>
  <c r="N84" i="7" s="1"/>
  <c r="I48" i="7"/>
  <c r="J48" i="7" s="1"/>
  <c r="K48" i="7" s="1"/>
  <c r="L48" i="7" s="1"/>
  <c r="N48" i="7" s="1"/>
  <c r="I52" i="7"/>
  <c r="J52" i="7" s="1"/>
  <c r="K52" i="7" s="1"/>
  <c r="L52" i="7" s="1"/>
  <c r="N52" i="7" s="1"/>
  <c r="I56" i="7"/>
  <c r="J56" i="7" s="1"/>
  <c r="K56" i="7" s="1"/>
  <c r="L56" i="7" s="1"/>
  <c r="N56" i="7" s="1"/>
  <c r="I60" i="7"/>
  <c r="J60" i="7" s="1"/>
  <c r="K60" i="7" s="1"/>
  <c r="L60" i="7" s="1"/>
  <c r="N60" i="7" s="1"/>
  <c r="I64" i="7"/>
  <c r="J64" i="7" s="1"/>
  <c r="K64" i="7" s="1"/>
  <c r="L64" i="7" s="1"/>
  <c r="N64" i="7" s="1"/>
  <c r="I68" i="7"/>
  <c r="J68" i="7" s="1"/>
  <c r="K68" i="7" s="1"/>
  <c r="L68" i="7" s="1"/>
  <c r="N68" i="7" s="1"/>
  <c r="I72" i="7"/>
  <c r="J72" i="7" s="1"/>
  <c r="K72" i="7" s="1"/>
  <c r="L72" i="7" s="1"/>
  <c r="N72" i="7" s="1"/>
  <c r="I74" i="7"/>
  <c r="J74" i="7" s="1"/>
  <c r="K74" i="7" s="1"/>
  <c r="L74" i="7" s="1"/>
  <c r="N74" i="7" s="1"/>
  <c r="I78" i="7"/>
  <c r="J78" i="7" s="1"/>
  <c r="K78" i="7" s="1"/>
  <c r="L78" i="7" s="1"/>
  <c r="N78" i="7" s="1"/>
  <c r="I82" i="7"/>
  <c r="J82" i="7" s="1"/>
  <c r="K82" i="7" s="1"/>
  <c r="L82" i="7" s="1"/>
  <c r="N82" i="7" s="1"/>
  <c r="I86" i="7"/>
  <c r="J86" i="7" s="1"/>
  <c r="K86" i="7" s="1"/>
  <c r="L86" i="7" s="1"/>
  <c r="N86" i="7" s="1"/>
  <c r="I90" i="7"/>
  <c r="J90" i="7" s="1"/>
  <c r="K90" i="7" s="1"/>
  <c r="L90" i="7" s="1"/>
  <c r="N90" i="7" s="1"/>
  <c r="I94" i="7"/>
  <c r="J94" i="7" s="1"/>
  <c r="K94" i="7" s="1"/>
  <c r="L94" i="7" s="1"/>
  <c r="N94" i="7" s="1"/>
  <c r="I54" i="7"/>
  <c r="J54" i="7" s="1"/>
  <c r="K54" i="7" s="1"/>
  <c r="L54" i="7" s="1"/>
  <c r="N54" i="7" s="1"/>
  <c r="I62" i="7"/>
  <c r="J62" i="7" s="1"/>
  <c r="K62" i="7" s="1"/>
  <c r="L62" i="7" s="1"/>
  <c r="N62" i="7" s="1"/>
  <c r="I80" i="7"/>
  <c r="J80" i="7" s="1"/>
  <c r="K80" i="7" s="1"/>
  <c r="L80" i="7" s="1"/>
  <c r="N80" i="7" s="1"/>
  <c r="I88" i="7"/>
  <c r="J88" i="7" s="1"/>
  <c r="K88" i="7" s="1"/>
  <c r="L88" i="7" s="1"/>
  <c r="N88" i="7" s="1"/>
  <c r="I49" i="7"/>
  <c r="J49" i="7" s="1"/>
  <c r="K49" i="7" s="1"/>
  <c r="L49" i="7" s="1"/>
  <c r="N49" i="7" s="1"/>
  <c r="I53" i="7"/>
  <c r="J53" i="7" s="1"/>
  <c r="K53" i="7" s="1"/>
  <c r="L53" i="7" s="1"/>
  <c r="N53" i="7" s="1"/>
  <c r="I57" i="7"/>
  <c r="J57" i="7" s="1"/>
  <c r="K57" i="7" s="1"/>
  <c r="L57" i="7" s="1"/>
  <c r="N57" i="7" s="1"/>
  <c r="I61" i="7"/>
  <c r="J61" i="7" s="1"/>
  <c r="K61" i="7" s="1"/>
  <c r="L61" i="7" s="1"/>
  <c r="N61" i="7" s="1"/>
  <c r="I65" i="7"/>
  <c r="J65" i="7" s="1"/>
  <c r="K65" i="7" s="1"/>
  <c r="L65" i="7" s="1"/>
  <c r="N65" i="7" s="1"/>
  <c r="I69" i="7"/>
  <c r="J69" i="7" s="1"/>
  <c r="K69" i="7" s="1"/>
  <c r="L69" i="7" s="1"/>
  <c r="N69" i="7" s="1"/>
  <c r="I75" i="7"/>
  <c r="J75" i="7" s="1"/>
  <c r="K75" i="7" s="1"/>
  <c r="L75" i="7" s="1"/>
  <c r="N75" i="7" s="1"/>
  <c r="I79" i="7"/>
  <c r="J79" i="7" s="1"/>
  <c r="K79" i="7" s="1"/>
  <c r="L79" i="7" s="1"/>
  <c r="N79" i="7" s="1"/>
  <c r="I83" i="7"/>
  <c r="J83" i="7" s="1"/>
  <c r="K83" i="7" s="1"/>
  <c r="L83" i="7" s="1"/>
  <c r="N83" i="7" s="1"/>
  <c r="I87" i="7"/>
  <c r="J87" i="7" s="1"/>
  <c r="K87" i="7" s="1"/>
  <c r="L87" i="7" s="1"/>
  <c r="N87" i="7" s="1"/>
  <c r="I91" i="7"/>
  <c r="J91" i="7" s="1"/>
  <c r="K91" i="7" s="1"/>
  <c r="L91" i="7" s="1"/>
  <c r="N91" i="7" s="1"/>
  <c r="I95" i="7"/>
  <c r="J95" i="7" s="1"/>
  <c r="K95" i="7" s="1"/>
  <c r="L95" i="7" s="1"/>
  <c r="N95" i="7" s="1"/>
  <c r="I46" i="7"/>
  <c r="J46" i="7" s="1"/>
  <c r="K46" i="7" s="1"/>
  <c r="L46" i="7" s="1"/>
  <c r="N46" i="7" s="1"/>
  <c r="I66" i="7"/>
  <c r="J66" i="7" s="1"/>
  <c r="K66" i="7" s="1"/>
  <c r="L66" i="7" s="1"/>
  <c r="N66" i="7" s="1"/>
  <c r="I76" i="7"/>
  <c r="J76" i="7" s="1"/>
  <c r="K76" i="7" s="1"/>
  <c r="L76" i="7" s="1"/>
  <c r="N76" i="7" s="1"/>
  <c r="I92" i="7"/>
  <c r="J92" i="7" s="1"/>
  <c r="K92" i="7" s="1"/>
  <c r="L92" i="7" s="1"/>
  <c r="N92" i="7" s="1"/>
  <c r="I40" i="7"/>
  <c r="J40" i="7" s="1"/>
  <c r="K40" i="7" s="1"/>
  <c r="L40" i="7" s="1"/>
  <c r="N40" i="7" s="1"/>
  <c r="I38" i="7"/>
  <c r="J38" i="7" s="1"/>
  <c r="K38" i="7" s="1"/>
  <c r="L38" i="7" s="1"/>
  <c r="N38" i="7" s="1"/>
  <c r="I39" i="7"/>
  <c r="J39" i="7" s="1"/>
  <c r="K39" i="7" s="1"/>
  <c r="L39" i="7" s="1"/>
  <c r="N39" i="7" s="1"/>
  <c r="I27" i="7"/>
  <c r="J27" i="7" s="1"/>
  <c r="K27" i="7" s="1"/>
  <c r="L27" i="7" s="1"/>
  <c r="N27" i="7" s="1"/>
  <c r="I26" i="7"/>
  <c r="J26" i="7" s="1"/>
  <c r="K26" i="7" s="1"/>
  <c r="L26" i="7" s="1"/>
  <c r="N26" i="7" s="1"/>
  <c r="I25" i="7"/>
  <c r="J25" i="7" s="1"/>
  <c r="K25" i="7" s="1"/>
  <c r="L25" i="7" s="1"/>
  <c r="N25" i="7" s="1"/>
  <c r="I20" i="7"/>
  <c r="J20" i="7" s="1"/>
  <c r="K20" i="7" s="1"/>
  <c r="L20" i="7" s="1"/>
  <c r="N20" i="7" s="1"/>
  <c r="I7" i="7"/>
  <c r="J7" i="7" s="1"/>
  <c r="K7" i="7" s="1"/>
  <c r="L7" i="7" s="1"/>
  <c r="N7" i="7" s="1"/>
  <c r="I3" i="7"/>
  <c r="J3" i="7" s="1"/>
  <c r="K3" i="7" s="1"/>
  <c r="L3" i="7" s="1"/>
  <c r="N3" i="7" s="1"/>
  <c r="I6" i="7"/>
  <c r="J6" i="7" s="1"/>
  <c r="K6" i="7" s="1"/>
  <c r="L6" i="7" s="1"/>
  <c r="N6" i="7" s="1"/>
  <c r="I8" i="7"/>
  <c r="J8" i="7" s="1"/>
  <c r="K8" i="7" s="1"/>
  <c r="L8" i="7" s="1"/>
  <c r="N8" i="7" s="1"/>
  <c r="I4" i="7"/>
  <c r="J4" i="7" s="1"/>
  <c r="K4" i="7" s="1"/>
  <c r="L4" i="7" s="1"/>
  <c r="N4" i="7" s="1"/>
  <c r="I9" i="7"/>
  <c r="J9" i="7" s="1"/>
  <c r="K9" i="7" s="1"/>
  <c r="L9" i="7" s="1"/>
  <c r="N9" i="7" s="1"/>
  <c r="I5" i="7"/>
  <c r="J5" i="7" s="1"/>
  <c r="K5" i="7" s="1"/>
  <c r="L5" i="7" s="1"/>
  <c r="N5" i="7" s="1"/>
  <c r="I2" i="7"/>
  <c r="J2" i="7" s="1"/>
  <c r="K2" i="7" s="1"/>
  <c r="L2" i="7" s="1"/>
  <c r="N2" i="7" s="1"/>
  <c r="I24" i="7"/>
  <c r="J24" i="7" s="1"/>
  <c r="K24" i="7" s="1"/>
  <c r="L24" i="7" s="1"/>
  <c r="N24" i="7" s="1"/>
  <c r="I21" i="7"/>
  <c r="J21" i="7" s="1"/>
  <c r="K21" i="7" s="1"/>
  <c r="L21" i="7" s="1"/>
  <c r="N21" i="7" s="1"/>
  <c r="I22" i="7"/>
  <c r="J22" i="7" s="1"/>
  <c r="K22" i="7" s="1"/>
  <c r="L22" i="7" s="1"/>
  <c r="N22" i="7" s="1"/>
  <c r="I23" i="7"/>
  <c r="J23" i="7" s="1"/>
  <c r="K23" i="7" s="1"/>
  <c r="L23" i="7" s="1"/>
  <c r="N23" i="7" s="1"/>
  <c r="I19" i="7"/>
  <c r="J19" i="7" s="1"/>
  <c r="K19" i="7" s="1"/>
  <c r="L19" i="7" s="1"/>
  <c r="N19" i="7" s="1"/>
  <c r="I15" i="7"/>
  <c r="J15" i="7" s="1"/>
  <c r="K15" i="7" s="1"/>
  <c r="L15" i="7" s="1"/>
  <c r="N15" i="7" s="1"/>
  <c r="I13" i="7"/>
  <c r="I16" i="7"/>
  <c r="J16" i="7" s="1"/>
  <c r="K16" i="7" s="1"/>
  <c r="L16" i="7" s="1"/>
  <c r="N16" i="7" s="1"/>
  <c r="I14" i="7"/>
  <c r="J14" i="7" s="1"/>
  <c r="K14" i="7" s="1"/>
  <c r="L14" i="7" s="1"/>
  <c r="N14" i="7" s="1"/>
  <c r="I17" i="7"/>
  <c r="J17" i="7" s="1"/>
  <c r="K17" i="7" s="1"/>
  <c r="L17" i="7" s="1"/>
  <c r="N17" i="7" s="1"/>
  <c r="I18" i="7"/>
  <c r="J18" i="7" s="1"/>
  <c r="K18" i="7" s="1"/>
  <c r="L18" i="7" s="1"/>
  <c r="N18" i="7" s="1"/>
  <c r="I34" i="7"/>
  <c r="J34" i="7" s="1"/>
  <c r="K34" i="7" s="1"/>
  <c r="L34" i="7" s="1"/>
  <c r="N34" i="7" s="1"/>
  <c r="S34" i="7" s="1"/>
  <c r="T34" i="7" s="1"/>
  <c r="I31" i="7"/>
  <c r="J31" i="7" s="1"/>
  <c r="K31" i="7" s="1"/>
  <c r="L31" i="7" s="1"/>
  <c r="I36" i="7"/>
  <c r="J36" i="7" s="1"/>
  <c r="K36" i="7" s="1"/>
  <c r="L36" i="7" s="1"/>
  <c r="N36" i="7" s="1"/>
  <c r="I35" i="7"/>
  <c r="J35" i="7" s="1"/>
  <c r="I32" i="7"/>
  <c r="J32" i="7" s="1"/>
  <c r="K32" i="7" s="1"/>
  <c r="L32" i="7" s="1"/>
  <c r="I33" i="7"/>
  <c r="J33" i="7" s="1"/>
  <c r="K33" i="7" s="1"/>
  <c r="L33" i="7" s="1"/>
  <c r="N33" i="7" s="1"/>
  <c r="U33" i="7" s="1"/>
  <c r="V33" i="7" s="1"/>
  <c r="W33" i="7" s="1"/>
  <c r="I37" i="7"/>
  <c r="J37" i="7" s="1"/>
  <c r="K37" i="7" s="1"/>
  <c r="L37" i="7" s="1"/>
  <c r="N37" i="7" s="1"/>
  <c r="U37" i="7" s="1"/>
  <c r="V37" i="7" s="1"/>
  <c r="W37" i="7" s="1"/>
  <c r="S10" i="7" l="1"/>
  <c r="T10" i="7" s="1"/>
  <c r="K35" i="7"/>
  <c r="L35" i="7" s="1"/>
  <c r="N35" i="7" s="1"/>
  <c r="S39" i="7"/>
  <c r="T39" i="7" s="1"/>
  <c r="U39" i="7"/>
  <c r="V39" i="7" s="1"/>
  <c r="W39" i="7" s="1"/>
  <c r="U38" i="7"/>
  <c r="V38" i="7" s="1"/>
  <c r="W38" i="7" s="1"/>
  <c r="S38" i="7"/>
  <c r="T38" i="7" s="1"/>
  <c r="U40" i="7"/>
  <c r="V40" i="7" s="1"/>
  <c r="W40" i="7" s="1"/>
  <c r="S40" i="7"/>
  <c r="T40" i="7" s="1"/>
  <c r="U25" i="7"/>
  <c r="V25" i="7" s="1"/>
  <c r="W25" i="7" s="1"/>
  <c r="S25" i="7"/>
  <c r="T25" i="7" s="1"/>
  <c r="U26" i="7"/>
  <c r="V26" i="7" s="1"/>
  <c r="W26" i="7" s="1"/>
  <c r="S26" i="7"/>
  <c r="T26" i="7" s="1"/>
  <c r="U27" i="7"/>
  <c r="V27" i="7" s="1"/>
  <c r="W27" i="7" s="1"/>
  <c r="S27" i="7"/>
  <c r="T27" i="7" s="1"/>
  <c r="S20" i="7"/>
  <c r="T20" i="7" s="1"/>
  <c r="U20" i="7"/>
  <c r="V20" i="7" s="1"/>
  <c r="W20" i="7" s="1"/>
  <c r="S2" i="7"/>
  <c r="T2" i="7" s="1"/>
  <c r="U2" i="7"/>
  <c r="V2" i="7" s="1"/>
  <c r="W2" i="7" s="1"/>
  <c r="U8" i="7"/>
  <c r="V8" i="7" s="1"/>
  <c r="W8" i="7" s="1"/>
  <c r="S8" i="7"/>
  <c r="T8" i="7" s="1"/>
  <c r="S5" i="7"/>
  <c r="T5" i="7" s="1"/>
  <c r="U5" i="7"/>
  <c r="V5" i="7" s="1"/>
  <c r="W5" i="7" s="1"/>
  <c r="S6" i="7"/>
  <c r="T6" i="7" s="1"/>
  <c r="U6" i="7"/>
  <c r="V6" i="7" s="1"/>
  <c r="W6" i="7" s="1"/>
  <c r="S9" i="7"/>
  <c r="T9" i="7" s="1"/>
  <c r="U9" i="7"/>
  <c r="V9" i="7" s="1"/>
  <c r="W9" i="7" s="1"/>
  <c r="U3" i="7"/>
  <c r="V3" i="7" s="1"/>
  <c r="W3" i="7" s="1"/>
  <c r="S3" i="7"/>
  <c r="T3" i="7" s="1"/>
  <c r="U4" i="7"/>
  <c r="V4" i="7" s="1"/>
  <c r="W4" i="7" s="1"/>
  <c r="S4" i="7"/>
  <c r="T4" i="7" s="1"/>
  <c r="U7" i="7"/>
  <c r="V7" i="7" s="1"/>
  <c r="W7" i="7" s="1"/>
  <c r="S7" i="7"/>
  <c r="T7" i="7" s="1"/>
  <c r="S23" i="7"/>
  <c r="T23" i="7" s="1"/>
  <c r="U23" i="7"/>
  <c r="V23" i="7" s="1"/>
  <c r="W23" i="7" s="1"/>
  <c r="S22" i="7"/>
  <c r="T22" i="7" s="1"/>
  <c r="U22" i="7"/>
  <c r="V22" i="7" s="1"/>
  <c r="W22" i="7" s="1"/>
  <c r="S21" i="7"/>
  <c r="T21" i="7" s="1"/>
  <c r="U21" i="7"/>
  <c r="V21" i="7" s="1"/>
  <c r="W21" i="7" s="1"/>
  <c r="U24" i="7"/>
  <c r="V24" i="7" s="1"/>
  <c r="W24" i="7" s="1"/>
  <c r="S24" i="7"/>
  <c r="T24" i="7" s="1"/>
  <c r="J13" i="7"/>
  <c r="K13" i="7" s="1"/>
  <c r="L13" i="7" s="1"/>
  <c r="N13" i="7" s="1"/>
  <c r="I30" i="7"/>
  <c r="U14" i="7"/>
  <c r="V14" i="7" s="1"/>
  <c r="W14" i="7" s="1"/>
  <c r="S14" i="7"/>
  <c r="T14" i="7" s="1"/>
  <c r="U34" i="7"/>
  <c r="V34" i="7" s="1"/>
  <c r="W34" i="7" s="1"/>
  <c r="U17" i="7"/>
  <c r="V17" i="7" s="1"/>
  <c r="W17" i="7" s="1"/>
  <c r="S17" i="7"/>
  <c r="T17" i="7" s="1"/>
  <c r="S15" i="7"/>
  <c r="T15" i="7" s="1"/>
  <c r="U15" i="7"/>
  <c r="V15" i="7" s="1"/>
  <c r="W15" i="7" s="1"/>
  <c r="S16" i="7"/>
  <c r="T16" i="7" s="1"/>
  <c r="U16" i="7"/>
  <c r="V16" i="7" s="1"/>
  <c r="W16" i="7" s="1"/>
  <c r="U18" i="7"/>
  <c r="V18" i="7" s="1"/>
  <c r="W18" i="7" s="1"/>
  <c r="S18" i="7"/>
  <c r="T18" i="7" s="1"/>
  <c r="S19" i="7"/>
  <c r="T19" i="7" s="1"/>
  <c r="U19" i="7"/>
  <c r="V19" i="7" s="1"/>
  <c r="W19" i="7" s="1"/>
  <c r="S37" i="7"/>
  <c r="T37" i="7" s="1"/>
  <c r="S33" i="7"/>
  <c r="T33" i="7" s="1"/>
  <c r="I12" i="7"/>
  <c r="I42" i="7"/>
  <c r="N31" i="7"/>
  <c r="U31" i="7" s="1"/>
  <c r="N32" i="7"/>
  <c r="S32" i="7" s="1"/>
  <c r="T32" i="7" s="1"/>
  <c r="U36" i="7"/>
  <c r="V36" i="7" s="1"/>
  <c r="W36" i="7" s="1"/>
  <c r="S35" i="7" l="1"/>
  <c r="T35" i="7" s="1"/>
  <c r="U35" i="7"/>
  <c r="V35" i="7" s="1"/>
  <c r="W35" i="7" s="1"/>
  <c r="U13" i="7"/>
  <c r="V13" i="7" s="1"/>
  <c r="S13" i="7"/>
  <c r="I43" i="7"/>
  <c r="V31" i="7"/>
  <c r="S31" i="7"/>
  <c r="U32" i="7"/>
  <c r="V32" i="7" s="1"/>
  <c r="W32" i="7" s="1"/>
  <c r="S36" i="7"/>
  <c r="T36" i="7" s="1"/>
  <c r="S30" i="7" l="1"/>
  <c r="T13" i="7"/>
  <c r="T30" i="7" s="1"/>
  <c r="V30" i="7"/>
  <c r="W13" i="7"/>
  <c r="W30" i="7" s="1"/>
  <c r="S12" i="7"/>
  <c r="W12" i="7"/>
  <c r="V12" i="7"/>
  <c r="T31" i="7"/>
  <c r="T42" i="7" s="1"/>
  <c r="S42" i="7"/>
  <c r="W31" i="7"/>
  <c r="W42" i="7" s="1"/>
  <c r="V42" i="7"/>
  <c r="S43" i="7" l="1"/>
  <c r="W43" i="7"/>
  <c r="V43" i="7"/>
  <c r="B64" i="4" l="1"/>
  <c r="B65" i="4" s="1"/>
  <c r="W98" i="7"/>
  <c r="Q12" i="7" l="1"/>
  <c r="Q43" i="7" s="1"/>
  <c r="T12" i="7" l="1"/>
  <c r="T43" i="7" s="1"/>
  <c r="R12" i="7"/>
  <c r="R43" i="7" s="1"/>
  <c r="B60" i="4" s="1"/>
  <c r="B61" i="4" s="1"/>
  <c r="C65" i="4" s="1"/>
  <c r="J42" i="13" l="1"/>
  <c r="N42" i="13"/>
  <c r="B42" i="13"/>
  <c r="F42" i="13" s="1"/>
  <c r="K42" i="13" l="1"/>
  <c r="N109" i="13"/>
  <c r="F109" i="13"/>
  <c r="J109" i="13"/>
  <c r="K109" i="13" s="1"/>
  <c r="H109" i="13"/>
  <c r="C87" i="13" s="1"/>
  <c r="J87" i="13" l="1"/>
  <c r="K87" i="13" s="1"/>
  <c r="N87" i="13"/>
  <c r="N114" i="13"/>
  <c r="N111" i="13"/>
  <c r="J111" i="13"/>
  <c r="K111" i="13" s="1"/>
  <c r="J114" i="13"/>
  <c r="K114" i="13" s="1"/>
  <c r="N113" i="13"/>
  <c r="J112" i="13"/>
  <c r="K112" i="13" s="1"/>
  <c r="N112" i="13"/>
  <c r="J113" i="13"/>
  <c r="K113" i="13" s="1"/>
  <c r="F113" i="13"/>
  <c r="H113" i="13"/>
  <c r="C91" i="13" s="1"/>
  <c r="B111" i="13"/>
  <c r="F111" i="13" s="1"/>
  <c r="F112" i="13"/>
  <c r="H112" i="13"/>
  <c r="C90" i="13" s="1"/>
  <c r="F114" i="13"/>
  <c r="H114" i="13"/>
  <c r="C92" i="13" s="1"/>
  <c r="N124" i="13" l="1"/>
  <c r="J128" i="13"/>
  <c r="K128" i="13" s="1"/>
  <c r="N128" i="13"/>
  <c r="N116" i="13"/>
  <c r="N121" i="13"/>
  <c r="J121" i="13"/>
  <c r="K121" i="13" s="1"/>
  <c r="N117" i="13"/>
  <c r="N120" i="13"/>
  <c r="N125" i="13"/>
  <c r="N119" i="13"/>
  <c r="N123" i="13"/>
  <c r="J124" i="13"/>
  <c r="K124" i="13" s="1"/>
  <c r="J120" i="13"/>
  <c r="K120" i="13" s="1"/>
  <c r="N129" i="13"/>
  <c r="N115" i="13"/>
  <c r="J122" i="13"/>
  <c r="K122" i="13" s="1"/>
  <c r="N122" i="13"/>
  <c r="N127" i="13"/>
  <c r="J129" i="13"/>
  <c r="K129" i="13" s="1"/>
  <c r="N118" i="13"/>
  <c r="N126" i="13"/>
  <c r="J126" i="13"/>
  <c r="K126" i="13" s="1"/>
  <c r="J125" i="13"/>
  <c r="K125" i="13" s="1"/>
  <c r="J123" i="13"/>
  <c r="K123" i="13" s="1"/>
  <c r="J115" i="13"/>
  <c r="K115" i="13" s="1"/>
  <c r="J117" i="13"/>
  <c r="K117" i="13" s="1"/>
  <c r="F118" i="13"/>
  <c r="J127" i="13"/>
  <c r="K127" i="13" s="1"/>
  <c r="J116" i="13"/>
  <c r="K116" i="13" s="1"/>
  <c r="J118" i="13"/>
  <c r="K118" i="13" s="1"/>
  <c r="F122" i="13"/>
  <c r="F117" i="13"/>
  <c r="H117" i="13"/>
  <c r="C95" i="13" s="1"/>
  <c r="J95" i="13" s="1"/>
  <c r="K95" i="13" s="1"/>
  <c r="J119" i="13"/>
  <c r="K119" i="13" s="1"/>
  <c r="H127" i="13"/>
  <c r="C105" i="13" s="1"/>
  <c r="N105" i="13" s="1"/>
  <c r="F115" i="13"/>
  <c r="H115" i="13"/>
  <c r="F129" i="13"/>
  <c r="H129" i="13"/>
  <c r="C107" i="13" s="1"/>
  <c r="N107" i="13" s="1"/>
  <c r="F116" i="13"/>
  <c r="F125" i="13"/>
  <c r="H125" i="13"/>
  <c r="C103" i="13" s="1"/>
  <c r="F123" i="13"/>
  <c r="H123" i="13"/>
  <c r="C101" i="13" s="1"/>
  <c r="J101" i="13" s="1"/>
  <c r="K101" i="13" s="1"/>
  <c r="H118" i="13"/>
  <c r="C96" i="13" s="1"/>
  <c r="H96" i="13" s="1"/>
  <c r="C74" i="13" s="1"/>
  <c r="F126" i="13"/>
  <c r="H126" i="13"/>
  <c r="F127" i="13"/>
  <c r="F120" i="13"/>
  <c r="H120" i="13"/>
  <c r="C98" i="13" s="1"/>
  <c r="H98" i="13" s="1"/>
  <c r="C76" i="13" s="1"/>
  <c r="F121" i="13"/>
  <c r="H121" i="13"/>
  <c r="C99" i="13" s="1"/>
  <c r="J99" i="13" s="1"/>
  <c r="K99" i="13" s="1"/>
  <c r="F128" i="13"/>
  <c r="H128" i="13"/>
  <c r="C106" i="13" s="1"/>
  <c r="N106" i="13" s="1"/>
  <c r="H122" i="13"/>
  <c r="F124" i="13"/>
  <c r="H124" i="13"/>
  <c r="C102" i="13" s="1"/>
  <c r="H102" i="13" s="1"/>
  <c r="C80" i="13" s="1"/>
  <c r="H80" i="13" s="1"/>
  <c r="C58" i="13" s="1"/>
  <c r="F119" i="13"/>
  <c r="H119" i="13"/>
  <c r="C97" i="13" s="1"/>
  <c r="J97" i="13" s="1"/>
  <c r="K97" i="13" s="1"/>
  <c r="F108" i="13"/>
  <c r="N108" i="13"/>
  <c r="N90" i="13"/>
  <c r="J90" i="13"/>
  <c r="K90" i="13" s="1"/>
  <c r="N88" i="13"/>
  <c r="B88" i="13"/>
  <c r="F88" i="13" s="1"/>
  <c r="N89" i="13"/>
  <c r="J89" i="13"/>
  <c r="K89" i="13" s="1"/>
  <c r="N92" i="13"/>
  <c r="F98" i="13"/>
  <c r="N93" i="13"/>
  <c r="N94" i="13"/>
  <c r="N100" i="13"/>
  <c r="N91" i="13"/>
  <c r="J91" i="13"/>
  <c r="K91" i="13" s="1"/>
  <c r="J92" i="13"/>
  <c r="K92" i="13" s="1"/>
  <c r="B67" i="13"/>
  <c r="F67" i="13" s="1"/>
  <c r="N104" i="13"/>
  <c r="B104" i="13"/>
  <c r="F104" i="13" s="1"/>
  <c r="F93" i="13"/>
  <c r="F101" i="13"/>
  <c r="F107" i="13"/>
  <c r="F92" i="13"/>
  <c r="F95" i="13"/>
  <c r="C73" i="13"/>
  <c r="F106" i="13"/>
  <c r="F100" i="13"/>
  <c r="F97" i="13"/>
  <c r="F105" i="13"/>
  <c r="F91" i="13"/>
  <c r="J94" i="13"/>
  <c r="K94" i="13" s="1"/>
  <c r="J100" i="13"/>
  <c r="K100" i="13" s="1"/>
  <c r="F90" i="13"/>
  <c r="J67" i="13"/>
  <c r="K67" i="13" s="1"/>
  <c r="F102" i="13"/>
  <c r="F71" i="13"/>
  <c r="J78" i="13"/>
  <c r="K78" i="13" s="1"/>
  <c r="C86" i="13"/>
  <c r="J86" i="13" s="1"/>
  <c r="K86" i="13" s="1"/>
  <c r="J108" i="13"/>
  <c r="K108" i="13" s="1"/>
  <c r="C65" i="13"/>
  <c r="J65" i="13" s="1"/>
  <c r="K65" i="13" s="1"/>
  <c r="J88" i="13"/>
  <c r="K88" i="13" s="1"/>
  <c r="N67" i="13"/>
  <c r="F89" i="13"/>
  <c r="C70" i="13"/>
  <c r="F96" i="13"/>
  <c r="F75" i="13"/>
  <c r="F74" i="13"/>
  <c r="J53" i="13"/>
  <c r="H90" i="13"/>
  <c r="C68" i="13" s="1"/>
  <c r="H91" i="13"/>
  <c r="C69" i="13" s="1"/>
  <c r="H69" i="13" s="1"/>
  <c r="C47" i="13" s="1"/>
  <c r="C61" i="13"/>
  <c r="N61" i="13" s="1"/>
  <c r="C59" i="13"/>
  <c r="N59" i="13" s="1"/>
  <c r="F53" i="13"/>
  <c r="J93" i="13"/>
  <c r="K93" i="13" s="1"/>
  <c r="C56" i="13"/>
  <c r="C82" i="13"/>
  <c r="J104" i="13"/>
  <c r="K104" i="13" s="1"/>
  <c r="F99" i="13"/>
  <c r="F79" i="13"/>
  <c r="C72" i="13"/>
  <c r="F94" i="13"/>
  <c r="F85" i="13"/>
  <c r="N53" i="13"/>
  <c r="H103" i="13" l="1"/>
  <c r="J103" i="13"/>
  <c r="K103" i="13" s="1"/>
  <c r="N103" i="13"/>
  <c r="H101" i="13"/>
  <c r="C79" i="13" s="1"/>
  <c r="H79" i="13" s="1"/>
  <c r="N99" i="13"/>
  <c r="N101" i="13"/>
  <c r="H99" i="13"/>
  <c r="C77" i="13" s="1"/>
  <c r="H106" i="13"/>
  <c r="C84" i="13" s="1"/>
  <c r="J84" i="13" s="1"/>
  <c r="K84" i="13" s="1"/>
  <c r="J98" i="13"/>
  <c r="K98" i="13" s="1"/>
  <c r="J107" i="13"/>
  <c r="K107" i="13" s="1"/>
  <c r="N95" i="13"/>
  <c r="N102" i="13"/>
  <c r="J102" i="13"/>
  <c r="K102" i="13" s="1"/>
  <c r="H97" i="13"/>
  <c r="C75" i="13" s="1"/>
  <c r="H75" i="13" s="1"/>
  <c r="H107" i="13"/>
  <c r="C85" i="13" s="1"/>
  <c r="J85" i="13" s="1"/>
  <c r="K85" i="13" s="1"/>
  <c r="H105" i="13"/>
  <c r="C83" i="13" s="1"/>
  <c r="J83" i="13" s="1"/>
  <c r="K83" i="13" s="1"/>
  <c r="J105" i="13"/>
  <c r="K105" i="13" s="1"/>
  <c r="N96" i="13"/>
  <c r="N97" i="13"/>
  <c r="J96" i="13"/>
  <c r="K96" i="13" s="1"/>
  <c r="N98" i="13"/>
  <c r="N74" i="13"/>
  <c r="J74" i="13"/>
  <c r="K74" i="13" s="1"/>
  <c r="J106" i="13"/>
  <c r="K106" i="13" s="1"/>
  <c r="H74" i="13"/>
  <c r="C52" i="13" s="1"/>
  <c r="N75" i="13"/>
  <c r="N86" i="13"/>
  <c r="J61" i="13"/>
  <c r="K61" i="13" s="1"/>
  <c r="C64" i="13"/>
  <c r="J64" i="13" s="1"/>
  <c r="K64" i="13" s="1"/>
  <c r="F84" i="13"/>
  <c r="C62" i="13"/>
  <c r="J58" i="13"/>
  <c r="K58" i="13" s="1"/>
  <c r="N58" i="13"/>
  <c r="H58" i="13"/>
  <c r="F58" i="13"/>
  <c r="F72" i="13"/>
  <c r="J72" i="13"/>
  <c r="K72" i="13" s="1"/>
  <c r="N72" i="13"/>
  <c r="C50" i="13"/>
  <c r="N63" i="13"/>
  <c r="J63" i="13"/>
  <c r="K63" i="13" s="1"/>
  <c r="N82" i="13"/>
  <c r="F82" i="13"/>
  <c r="C60" i="13"/>
  <c r="J82" i="13"/>
  <c r="K82" i="13" s="1"/>
  <c r="J80" i="13"/>
  <c r="K80" i="13" s="1"/>
  <c r="N80" i="13"/>
  <c r="F80" i="13"/>
  <c r="K53" i="13"/>
  <c r="F63" i="13"/>
  <c r="N56" i="13"/>
  <c r="J56" i="13"/>
  <c r="K56" i="13" s="1"/>
  <c r="F56" i="13"/>
  <c r="F68" i="13"/>
  <c r="N68" i="13"/>
  <c r="H68" i="13"/>
  <c r="C46" i="13" s="1"/>
  <c r="J70" i="13"/>
  <c r="K70" i="13" s="1"/>
  <c r="N70" i="13"/>
  <c r="F70" i="13"/>
  <c r="N78" i="13"/>
  <c r="B78" i="13"/>
  <c r="F78" i="13" s="1"/>
  <c r="H70" i="13"/>
  <c r="C48" i="13" s="1"/>
  <c r="F64" i="13"/>
  <c r="J68" i="13"/>
  <c r="K68" i="13" s="1"/>
  <c r="N71" i="13"/>
  <c r="J71" i="13"/>
  <c r="K71" i="13" s="1"/>
  <c r="F61" i="13"/>
  <c r="F83" i="13"/>
  <c r="N73" i="13"/>
  <c r="F73" i="13"/>
  <c r="J73" i="13"/>
  <c r="K73" i="13" s="1"/>
  <c r="F59" i="13"/>
  <c r="J59" i="13"/>
  <c r="K59" i="13" s="1"/>
  <c r="J81" i="13"/>
  <c r="K81" i="13" s="1"/>
  <c r="N81" i="13"/>
  <c r="C49" i="13"/>
  <c r="F81" i="13"/>
  <c r="N76" i="13"/>
  <c r="H76" i="13"/>
  <c r="J76" i="13"/>
  <c r="K76" i="13" s="1"/>
  <c r="F69" i="13"/>
  <c r="J69" i="13"/>
  <c r="K69" i="13" s="1"/>
  <c r="F76" i="13"/>
  <c r="N69" i="13"/>
  <c r="F65" i="13"/>
  <c r="N65" i="13"/>
  <c r="F86" i="13"/>
  <c r="J52" i="13" l="1"/>
  <c r="K52" i="13" s="1"/>
  <c r="N52" i="13"/>
  <c r="N85" i="13"/>
  <c r="J79" i="13"/>
  <c r="K79" i="13" s="1"/>
  <c r="H77" i="13"/>
  <c r="C55" i="13" s="1"/>
  <c r="J77" i="13"/>
  <c r="K77" i="13" s="1"/>
  <c r="N77" i="13"/>
  <c r="N79" i="13"/>
  <c r="N84" i="13"/>
  <c r="N83" i="13"/>
  <c r="J75" i="13"/>
  <c r="K75" i="13" s="1"/>
  <c r="N64" i="13"/>
  <c r="N55" i="13"/>
  <c r="F55" i="13"/>
  <c r="J55" i="13"/>
  <c r="K55" i="13" s="1"/>
  <c r="J62" i="13"/>
  <c r="K62" i="13" s="1"/>
  <c r="N62" i="13"/>
  <c r="F62" i="13"/>
  <c r="B57" i="13"/>
  <c r="F57" i="13" s="1"/>
  <c r="N57" i="13"/>
  <c r="J57" i="13"/>
  <c r="K57" i="13" s="1"/>
  <c r="N60" i="13"/>
  <c r="J60" i="13"/>
  <c r="K60" i="13" s="1"/>
  <c r="F60" i="13"/>
  <c r="N10" i="13" l="1"/>
  <c r="F10" i="13"/>
  <c r="K10" i="13"/>
  <c r="J10" i="13"/>
  <c r="N47" i="13"/>
  <c r="N44" i="13"/>
  <c r="J44" i="13"/>
  <c r="K44" i="13" s="1"/>
  <c r="N45" i="13"/>
  <c r="J46" i="13"/>
  <c r="K46" i="13" s="1"/>
  <c r="N46" i="13"/>
  <c r="N51" i="13"/>
  <c r="N48" i="13"/>
  <c r="N50" i="13"/>
  <c r="F49" i="13"/>
  <c r="N49" i="13"/>
  <c r="F47" i="13"/>
  <c r="J45" i="13"/>
  <c r="K45" i="13" s="1"/>
  <c r="J51" i="13"/>
  <c r="K51" i="13" s="1"/>
  <c r="F48" i="13"/>
  <c r="J50" i="13"/>
  <c r="K50" i="13" s="1"/>
  <c r="J47" i="13"/>
  <c r="K47" i="13" s="1"/>
  <c r="F46" i="13"/>
  <c r="F51" i="13"/>
  <c r="B43" i="13"/>
  <c r="F43" i="13" s="1"/>
  <c r="F45" i="13"/>
  <c r="H46" i="13"/>
  <c r="H47" i="13"/>
  <c r="H48" i="13"/>
  <c r="J48" i="13"/>
  <c r="K48" i="13" s="1"/>
  <c r="F44" i="13"/>
  <c r="J49" i="13"/>
  <c r="K49" i="13" s="1"/>
  <c r="J43" i="13"/>
  <c r="F50" i="13"/>
  <c r="H43" i="13"/>
  <c r="N43" i="13"/>
  <c r="H131" i="13" l="1"/>
  <c r="H217" i="13" s="1"/>
  <c r="N131" i="13"/>
  <c r="N217" i="13" s="1"/>
  <c r="J131" i="13"/>
  <c r="J217" i="13" s="1"/>
  <c r="N9" i="13"/>
  <c r="E217" i="13"/>
  <c r="J9" i="13"/>
  <c r="J7" i="13" s="1"/>
  <c r="K43" i="13"/>
  <c r="F9" i="13"/>
  <c r="F7" i="13" s="1"/>
  <c r="K9" i="13" l="1"/>
  <c r="K7" i="13" s="1"/>
  <c r="K131" i="13"/>
  <c r="K217" i="13" s="1"/>
  <c r="N7" i="13"/>
  <c r="O4" i="13"/>
  <c r="O31" i="13" l="1"/>
  <c r="AA31" i="13" s="1"/>
  <c r="O30" i="13"/>
  <c r="AA30" i="13" s="1"/>
  <c r="O23" i="13"/>
  <c r="AA23" i="13" s="1"/>
  <c r="O26" i="13"/>
  <c r="AA26" i="13" s="1"/>
  <c r="O34" i="13"/>
  <c r="AA34" i="13" s="1"/>
  <c r="O35" i="13"/>
  <c r="AA35" i="13" s="1"/>
  <c r="O25" i="13"/>
  <c r="AA25" i="13" s="1"/>
  <c r="O24" i="13"/>
  <c r="AA24" i="13" s="1"/>
  <c r="O22" i="13"/>
  <c r="AA22" i="13" s="1"/>
  <c r="O33" i="13"/>
  <c r="AA33" i="13" s="1"/>
  <c r="O36" i="13"/>
  <c r="AA36" i="13" s="1"/>
  <c r="O32" i="13"/>
  <c r="AA32" i="13" s="1"/>
  <c r="O21" i="13"/>
  <c r="AA21" i="13" s="1"/>
  <c r="O29" i="13"/>
  <c r="AA29" i="13" s="1"/>
  <c r="M21" i="13"/>
  <c r="Q21" i="13" s="1"/>
  <c r="R21" i="13" s="1"/>
  <c r="M22" i="13"/>
  <c r="Q22" i="13" s="1"/>
  <c r="R22" i="13" s="1"/>
  <c r="M23" i="13"/>
  <c r="Q23" i="13" s="1"/>
  <c r="R23" i="13" s="1"/>
  <c r="M28" i="13"/>
  <c r="Q28" i="13" s="1"/>
  <c r="R28" i="13" s="1"/>
  <c r="O27" i="13"/>
  <c r="AA27" i="13" s="1"/>
  <c r="M31" i="13"/>
  <c r="Q31" i="13" s="1"/>
  <c r="R31" i="13" s="1"/>
  <c r="M30" i="13"/>
  <c r="Q30" i="13" s="1"/>
  <c r="R30" i="13" s="1"/>
  <c r="M32" i="13"/>
  <c r="Q32" i="13" s="1"/>
  <c r="R32" i="13" s="1"/>
  <c r="M27" i="13"/>
  <c r="Q27" i="13" s="1"/>
  <c r="R27" i="13" s="1"/>
  <c r="M34" i="13"/>
  <c r="Q34" i="13" s="1"/>
  <c r="R34" i="13" s="1"/>
  <c r="M29" i="13"/>
  <c r="Q29" i="13" s="1"/>
  <c r="R29" i="13" s="1"/>
  <c r="O28" i="13"/>
  <c r="AA28" i="13" s="1"/>
  <c r="M36" i="13"/>
  <c r="Q36" i="13" s="1"/>
  <c r="R36" i="13" s="1"/>
  <c r="M20" i="13"/>
  <c r="Q20" i="13" s="1"/>
  <c r="R20" i="13" s="1"/>
  <c r="O20" i="13"/>
  <c r="M24" i="13"/>
  <c r="Q24" i="13" s="1"/>
  <c r="R24" i="13" s="1"/>
  <c r="M35" i="13"/>
  <c r="Q35" i="13" s="1"/>
  <c r="R35" i="13" s="1"/>
  <c r="M25" i="13"/>
  <c r="Q25" i="13" s="1"/>
  <c r="R25" i="13" s="1"/>
  <c r="O5" i="13"/>
  <c r="M26" i="13"/>
  <c r="Q26" i="13" s="1"/>
  <c r="R26" i="13" s="1"/>
  <c r="M33" i="13"/>
  <c r="Q33" i="13" s="1"/>
  <c r="R33" i="13" s="1"/>
  <c r="O52" i="13" l="1"/>
  <c r="AA52" i="13" s="1"/>
  <c r="M52" i="13"/>
  <c r="Q52" i="13" s="1"/>
  <c r="O66" i="13"/>
  <c r="AA66" i="13" s="1"/>
  <c r="M66" i="13"/>
  <c r="Q66" i="13" s="1"/>
  <c r="O77" i="13"/>
  <c r="AA77" i="13" s="1"/>
  <c r="M77" i="13"/>
  <c r="Q77" i="13" s="1"/>
  <c r="O87" i="13"/>
  <c r="AA87" i="13" s="1"/>
  <c r="M87" i="13"/>
  <c r="Q87" i="13" s="1"/>
  <c r="O103" i="13"/>
  <c r="AA103" i="13" s="1"/>
  <c r="M103" i="13"/>
  <c r="Q103" i="13" s="1"/>
  <c r="O110" i="13"/>
  <c r="AA110" i="13" s="1"/>
  <c r="M110" i="13"/>
  <c r="Q110" i="13" s="1"/>
  <c r="M54" i="13"/>
  <c r="Q54" i="13" s="1"/>
  <c r="O54" i="13"/>
  <c r="AA54" i="13" s="1"/>
  <c r="M201" i="13"/>
  <c r="O201" i="13"/>
  <c r="O207" i="13"/>
  <c r="O209" i="13"/>
  <c r="O93" i="13"/>
  <c r="AA93" i="13" s="1"/>
  <c r="O117" i="13"/>
  <c r="AA117" i="13" s="1"/>
  <c r="O115" i="13"/>
  <c r="AA115" i="13" s="1"/>
  <c r="O116" i="13"/>
  <c r="AA116" i="13" s="1"/>
  <c r="O118" i="13"/>
  <c r="AA118" i="13" s="1"/>
  <c r="O128" i="13"/>
  <c r="AA128" i="13" s="1"/>
  <c r="O92" i="13"/>
  <c r="AA92" i="13" s="1"/>
  <c r="O107" i="13"/>
  <c r="AA107" i="13" s="1"/>
  <c r="O61" i="13"/>
  <c r="AA61" i="13" s="1"/>
  <c r="O198" i="13"/>
  <c r="AA198" i="13" s="1"/>
  <c r="O104" i="13"/>
  <c r="AA104" i="13" s="1"/>
  <c r="O161" i="13"/>
  <c r="AA161" i="13" s="1"/>
  <c r="O81" i="13"/>
  <c r="AA81" i="13" s="1"/>
  <c r="O71" i="13"/>
  <c r="AA71" i="13" s="1"/>
  <c r="O74" i="13"/>
  <c r="AA74" i="13" s="1"/>
  <c r="O192" i="13"/>
  <c r="AA192" i="13" s="1"/>
  <c r="O45" i="13"/>
  <c r="AA45" i="13" s="1"/>
  <c r="O172" i="13"/>
  <c r="AA172" i="13" s="1"/>
  <c r="O148" i="13"/>
  <c r="AA148" i="13" s="1"/>
  <c r="O120" i="13"/>
  <c r="AA120" i="13" s="1"/>
  <c r="O124" i="13"/>
  <c r="AA124" i="13" s="1"/>
  <c r="O60" i="13"/>
  <c r="AA60" i="13" s="1"/>
  <c r="O169" i="13"/>
  <c r="AA169" i="13" s="1"/>
  <c r="O204" i="13"/>
  <c r="M205" i="13"/>
  <c r="O208" i="13"/>
  <c r="M209" i="13"/>
  <c r="M208" i="13"/>
  <c r="O57" i="13"/>
  <c r="AA57" i="13" s="1"/>
  <c r="O119" i="13"/>
  <c r="AA119" i="13" s="1"/>
  <c r="O62" i="13"/>
  <c r="AA62" i="13" s="1"/>
  <c r="O164" i="13"/>
  <c r="AA164" i="13" s="1"/>
  <c r="O191" i="13"/>
  <c r="AA191" i="13" s="1"/>
  <c r="O96" i="13"/>
  <c r="AA96" i="13" s="1"/>
  <c r="O197" i="13"/>
  <c r="AA197" i="13" s="1"/>
  <c r="O187" i="13"/>
  <c r="AA187" i="13" s="1"/>
  <c r="O156" i="13"/>
  <c r="AA156" i="13" s="1"/>
  <c r="O171" i="13"/>
  <c r="AA171" i="13" s="1"/>
  <c r="O108" i="13"/>
  <c r="AA108" i="13" s="1"/>
  <c r="O49" i="13"/>
  <c r="AA49" i="13" s="1"/>
  <c r="O63" i="13"/>
  <c r="AA63" i="13" s="1"/>
  <c r="O163" i="13"/>
  <c r="AA163" i="13" s="1"/>
  <c r="O158" i="13"/>
  <c r="AA158" i="13" s="1"/>
  <c r="O173" i="13"/>
  <c r="AA173" i="13" s="1"/>
  <c r="O98" i="13"/>
  <c r="AA98" i="13" s="1"/>
  <c r="O174" i="13"/>
  <c r="AA174" i="13" s="1"/>
  <c r="O154" i="13"/>
  <c r="AA154" i="13" s="1"/>
  <c r="O82" i="13"/>
  <c r="AA82" i="13" s="1"/>
  <c r="O67" i="13"/>
  <c r="AA67" i="13" s="1"/>
  <c r="O143" i="13"/>
  <c r="AA143" i="13" s="1"/>
  <c r="O100" i="13"/>
  <c r="AA100" i="13" s="1"/>
  <c r="O178" i="13"/>
  <c r="AA178" i="13" s="1"/>
  <c r="M206" i="13"/>
  <c r="M202" i="13"/>
  <c r="O138" i="13"/>
  <c r="AA138" i="13" s="1"/>
  <c r="O72" i="13"/>
  <c r="AA72" i="13" s="1"/>
  <c r="O106" i="13"/>
  <c r="AA106" i="13" s="1"/>
  <c r="O112" i="13"/>
  <c r="AA112" i="13" s="1"/>
  <c r="O85" i="13"/>
  <c r="AA85" i="13" s="1"/>
  <c r="O69" i="13"/>
  <c r="AA69" i="13" s="1"/>
  <c r="O175" i="13"/>
  <c r="AA175" i="13" s="1"/>
  <c r="O99" i="13"/>
  <c r="AA99" i="13" s="1"/>
  <c r="O193" i="13"/>
  <c r="AA193" i="13" s="1"/>
  <c r="O47" i="13"/>
  <c r="AA47" i="13" s="1"/>
  <c r="O58" i="13"/>
  <c r="AA58" i="13" s="1"/>
  <c r="O50" i="13"/>
  <c r="AA50" i="13" s="1"/>
  <c r="O136" i="13"/>
  <c r="AA136" i="13" s="1"/>
  <c r="O122" i="13"/>
  <c r="AA122" i="13" s="1"/>
  <c r="O84" i="13"/>
  <c r="AA84" i="13" s="1"/>
  <c r="O126" i="13"/>
  <c r="AA126" i="13" s="1"/>
  <c r="O183" i="13"/>
  <c r="AA183" i="13" s="1"/>
  <c r="O125" i="13"/>
  <c r="AA125" i="13" s="1"/>
  <c r="O94" i="13"/>
  <c r="AA94" i="13" s="1"/>
  <c r="O88" i="13"/>
  <c r="AA88" i="13" s="1"/>
  <c r="O190" i="13"/>
  <c r="AA190" i="13" s="1"/>
  <c r="O46" i="13"/>
  <c r="AA46" i="13" s="1"/>
  <c r="O181" i="13"/>
  <c r="AA181" i="13" s="1"/>
  <c r="O141" i="13"/>
  <c r="AA141" i="13" s="1"/>
  <c r="O135" i="13"/>
  <c r="O205" i="13"/>
  <c r="M203" i="13"/>
  <c r="O80" i="13"/>
  <c r="AA80" i="13" s="1"/>
  <c r="O150" i="13"/>
  <c r="AA150" i="13" s="1"/>
  <c r="O48" i="13"/>
  <c r="AA48" i="13" s="1"/>
  <c r="O68" i="13"/>
  <c r="AA68" i="13" s="1"/>
  <c r="O162" i="13"/>
  <c r="AA162" i="13" s="1"/>
  <c r="O105" i="13"/>
  <c r="AA105" i="13" s="1"/>
  <c r="O199" i="13"/>
  <c r="AA199" i="13" s="1"/>
  <c r="O206" i="13"/>
  <c r="O155" i="13"/>
  <c r="AA155" i="13" s="1"/>
  <c r="O79" i="13"/>
  <c r="AA79" i="13" s="1"/>
  <c r="O186" i="13"/>
  <c r="AA186" i="13" s="1"/>
  <c r="O51" i="13"/>
  <c r="AA51" i="13" s="1"/>
  <c r="O170" i="13"/>
  <c r="AA170" i="13" s="1"/>
  <c r="O151" i="13"/>
  <c r="AA151" i="13" s="1"/>
  <c r="O102" i="13"/>
  <c r="AA102" i="13" s="1"/>
  <c r="O109" i="13"/>
  <c r="AA109" i="13" s="1"/>
  <c r="O97" i="13"/>
  <c r="AA97" i="13" s="1"/>
  <c r="O149" i="13"/>
  <c r="AA149" i="13" s="1"/>
  <c r="O56" i="13"/>
  <c r="AA56" i="13" s="1"/>
  <c r="O43" i="13"/>
  <c r="AA43" i="13" s="1"/>
  <c r="M65" i="13"/>
  <c r="Q65" i="13" s="1"/>
  <c r="O189" i="13"/>
  <c r="AA189" i="13" s="1"/>
  <c r="O165" i="13"/>
  <c r="AA165" i="13" s="1"/>
  <c r="O111" i="13"/>
  <c r="AA111" i="13" s="1"/>
  <c r="O78" i="13"/>
  <c r="AA78" i="13" s="1"/>
  <c r="M120" i="13"/>
  <c r="Q120" i="13" s="1"/>
  <c r="O91" i="13"/>
  <c r="AA91" i="13" s="1"/>
  <c r="O59" i="13"/>
  <c r="AA59" i="13" s="1"/>
  <c r="M207" i="13"/>
  <c r="M204" i="13"/>
  <c r="O55" i="13"/>
  <c r="AA55" i="13" s="1"/>
  <c r="O121" i="13"/>
  <c r="AA121" i="13" s="1"/>
  <c r="O184" i="13"/>
  <c r="AA184" i="13" s="1"/>
  <c r="O146" i="13"/>
  <c r="AA146" i="13" s="1"/>
  <c r="O65" i="13"/>
  <c r="AA65" i="13" s="1"/>
  <c r="O113" i="13"/>
  <c r="AA113" i="13" s="1"/>
  <c r="O44" i="13"/>
  <c r="AA44" i="13" s="1"/>
  <c r="O157" i="13"/>
  <c r="AA157" i="13" s="1"/>
  <c r="O101" i="13"/>
  <c r="AA101" i="13" s="1"/>
  <c r="M144" i="13"/>
  <c r="Q144" i="13" s="1"/>
  <c r="M173" i="13"/>
  <c r="Q173" i="13" s="1"/>
  <c r="M81" i="13"/>
  <c r="Q81" i="13" s="1"/>
  <c r="M196" i="13"/>
  <c r="Q196" i="13" s="1"/>
  <c r="O144" i="13"/>
  <c r="AA144" i="13" s="1"/>
  <c r="O177" i="13"/>
  <c r="AA177" i="13" s="1"/>
  <c r="O89" i="13"/>
  <c r="AA89" i="13" s="1"/>
  <c r="O182" i="13"/>
  <c r="AA182" i="13" s="1"/>
  <c r="O153" i="13"/>
  <c r="AA153" i="13" s="1"/>
  <c r="O64" i="13"/>
  <c r="AA64" i="13" s="1"/>
  <c r="O70" i="13"/>
  <c r="AA70" i="13" s="1"/>
  <c r="O142" i="13"/>
  <c r="AA142" i="13" s="1"/>
  <c r="M50" i="13"/>
  <c r="Q50" i="13" s="1"/>
  <c r="M76" i="13"/>
  <c r="Q76" i="13" s="1"/>
  <c r="M94" i="13"/>
  <c r="Q94" i="13" s="1"/>
  <c r="M121" i="13"/>
  <c r="Q121" i="13" s="1"/>
  <c r="M169" i="13"/>
  <c r="Q169" i="13" s="1"/>
  <c r="O185" i="13"/>
  <c r="AA185" i="13" s="1"/>
  <c r="M128" i="13"/>
  <c r="Q128" i="13" s="1"/>
  <c r="M88" i="13"/>
  <c r="Q88" i="13" s="1"/>
  <c r="O147" i="13"/>
  <c r="AA147" i="13" s="1"/>
  <c r="O179" i="13"/>
  <c r="AA179" i="13" s="1"/>
  <c r="O90" i="13"/>
  <c r="AA90" i="13" s="1"/>
  <c r="O180" i="13"/>
  <c r="AA180" i="13" s="1"/>
  <c r="O196" i="13"/>
  <c r="AA196" i="13" s="1"/>
  <c r="O75" i="13"/>
  <c r="AA75" i="13" s="1"/>
  <c r="O73" i="13"/>
  <c r="AA73" i="13" s="1"/>
  <c r="M90" i="13"/>
  <c r="Q90" i="13" s="1"/>
  <c r="O145" i="13"/>
  <c r="AA145" i="13" s="1"/>
  <c r="O42" i="13"/>
  <c r="M138" i="13"/>
  <c r="Q138" i="13" s="1"/>
  <c r="O159" i="13"/>
  <c r="AA159" i="13" s="1"/>
  <c r="O95" i="13"/>
  <c r="AA95" i="13" s="1"/>
  <c r="O83" i="13"/>
  <c r="AA83" i="13" s="1"/>
  <c r="O53" i="13"/>
  <c r="AA53" i="13" s="1"/>
  <c r="M124" i="13"/>
  <c r="Q124" i="13" s="1"/>
  <c r="M125" i="13"/>
  <c r="Q125" i="13" s="1"/>
  <c r="M148" i="13"/>
  <c r="Q148" i="13" s="1"/>
  <c r="M149" i="13"/>
  <c r="Q149" i="13" s="1"/>
  <c r="M190" i="13"/>
  <c r="Q190" i="13" s="1"/>
  <c r="M58" i="13"/>
  <c r="Q58" i="13" s="1"/>
  <c r="M84" i="13"/>
  <c r="Q84" i="13" s="1"/>
  <c r="M111" i="13"/>
  <c r="Q111" i="13" s="1"/>
  <c r="M137" i="13"/>
  <c r="Q137" i="13" s="1"/>
  <c r="M82" i="13"/>
  <c r="Q82" i="13" s="1"/>
  <c r="M157" i="13"/>
  <c r="Q157" i="13" s="1"/>
  <c r="M101" i="13"/>
  <c r="Q101" i="13" s="1"/>
  <c r="M160" i="13"/>
  <c r="Q160" i="13" s="1"/>
  <c r="M152" i="13"/>
  <c r="Q152" i="13" s="1"/>
  <c r="M143" i="13"/>
  <c r="Q143" i="13" s="1"/>
  <c r="M107" i="13"/>
  <c r="Q107" i="13" s="1"/>
  <c r="M194" i="13"/>
  <c r="Q194" i="13" s="1"/>
  <c r="M70" i="13"/>
  <c r="Q70" i="13" s="1"/>
  <c r="M112" i="13"/>
  <c r="Q112" i="13" s="1"/>
  <c r="M171" i="13"/>
  <c r="Q171" i="13" s="1"/>
  <c r="M47" i="13"/>
  <c r="Q47" i="13" s="1"/>
  <c r="M183" i="13"/>
  <c r="Q183" i="13" s="1"/>
  <c r="M191" i="13"/>
  <c r="Q191" i="13" s="1"/>
  <c r="M161" i="13"/>
  <c r="Q161" i="13" s="1"/>
  <c r="O137" i="13"/>
  <c r="AA137" i="13" s="1"/>
  <c r="O168" i="13"/>
  <c r="AA168" i="13" s="1"/>
  <c r="M153" i="13"/>
  <c r="Q153" i="13" s="1"/>
  <c r="M109" i="13"/>
  <c r="Q109" i="13" s="1"/>
  <c r="M119" i="13"/>
  <c r="Q119" i="13" s="1"/>
  <c r="M127" i="13"/>
  <c r="Q127" i="13" s="1"/>
  <c r="M97" i="13"/>
  <c r="Q97" i="13" s="1"/>
  <c r="M166" i="13"/>
  <c r="Q166" i="13" s="1"/>
  <c r="M69" i="13"/>
  <c r="Q69" i="13" s="1"/>
  <c r="M61" i="13"/>
  <c r="Q61" i="13" s="1"/>
  <c r="M108" i="13"/>
  <c r="Q108" i="13" s="1"/>
  <c r="M199" i="13"/>
  <c r="Q199" i="13" s="1"/>
  <c r="M179" i="13"/>
  <c r="Q179" i="13" s="1"/>
  <c r="M184" i="13"/>
  <c r="Q184" i="13" s="1"/>
  <c r="M189" i="13"/>
  <c r="Q189" i="13" s="1"/>
  <c r="M98" i="13"/>
  <c r="Q98" i="13" s="1"/>
  <c r="M176" i="13"/>
  <c r="Q176" i="13" s="1"/>
  <c r="M186" i="13"/>
  <c r="Q186" i="13" s="1"/>
  <c r="M59" i="13"/>
  <c r="Q59" i="13" s="1"/>
  <c r="M116" i="13"/>
  <c r="Q116" i="13" s="1"/>
  <c r="M164" i="13"/>
  <c r="Q164" i="13" s="1"/>
  <c r="M158" i="13"/>
  <c r="Q158" i="13" s="1"/>
  <c r="M64" i="13"/>
  <c r="Q64" i="13" s="1"/>
  <c r="M100" i="13"/>
  <c r="Q100" i="13" s="1"/>
  <c r="O203" i="13"/>
  <c r="O176" i="13"/>
  <c r="AA176" i="13" s="1"/>
  <c r="O86" i="13"/>
  <c r="AA86" i="13" s="1"/>
  <c r="O152" i="13"/>
  <c r="AA152" i="13" s="1"/>
  <c r="O140" i="13"/>
  <c r="AA140" i="13" s="1"/>
  <c r="O114" i="13"/>
  <c r="AA114" i="13" s="1"/>
  <c r="M122" i="13"/>
  <c r="Q122" i="13" s="1"/>
  <c r="M75" i="13"/>
  <c r="Q75" i="13" s="1"/>
  <c r="O195" i="13"/>
  <c r="AA195" i="13" s="1"/>
  <c r="M46" i="13"/>
  <c r="Q46" i="13" s="1"/>
  <c r="M78" i="13"/>
  <c r="Q78" i="13" s="1"/>
  <c r="M175" i="13"/>
  <c r="Q175" i="13" s="1"/>
  <c r="M142" i="13"/>
  <c r="Q142" i="13" s="1"/>
  <c r="O167" i="13"/>
  <c r="AA167" i="13" s="1"/>
  <c r="M113" i="13"/>
  <c r="Q113" i="13" s="1"/>
  <c r="M63" i="13"/>
  <c r="Q63" i="13" s="1"/>
  <c r="M139" i="13"/>
  <c r="Q139" i="13" s="1"/>
  <c r="M49" i="13"/>
  <c r="Q49" i="13" s="1"/>
  <c r="M197" i="13"/>
  <c r="Q197" i="13" s="1"/>
  <c r="M68" i="13"/>
  <c r="Q68" i="13" s="1"/>
  <c r="M51" i="13"/>
  <c r="Q51" i="13" s="1"/>
  <c r="M80" i="13"/>
  <c r="Q80" i="13" s="1"/>
  <c r="M129" i="13"/>
  <c r="Q129" i="13" s="1"/>
  <c r="M105" i="13"/>
  <c r="Q105" i="13" s="1"/>
  <c r="M115" i="13"/>
  <c r="Q115" i="13" s="1"/>
  <c r="M170" i="13"/>
  <c r="Q170" i="13" s="1"/>
  <c r="M177" i="13"/>
  <c r="Q177" i="13" s="1"/>
  <c r="M185" i="13"/>
  <c r="Q185" i="13" s="1"/>
  <c r="M53" i="13"/>
  <c r="Q53" i="13" s="1"/>
  <c r="M172" i="13"/>
  <c r="Q172" i="13" s="1"/>
  <c r="M45" i="13"/>
  <c r="Q45" i="13" s="1"/>
  <c r="M167" i="13"/>
  <c r="Q167" i="13" s="1"/>
  <c r="M188" i="13"/>
  <c r="Q188" i="13" s="1"/>
  <c r="M165" i="13"/>
  <c r="Q165" i="13" s="1"/>
  <c r="M136" i="13"/>
  <c r="Q136" i="13" s="1"/>
  <c r="M195" i="13"/>
  <c r="Q195" i="13" s="1"/>
  <c r="O202" i="13"/>
  <c r="O123" i="13"/>
  <c r="AA123" i="13" s="1"/>
  <c r="M123" i="13"/>
  <c r="Q123" i="13" s="1"/>
  <c r="M44" i="13"/>
  <c r="Q44" i="13" s="1"/>
  <c r="M140" i="13"/>
  <c r="Q140" i="13" s="1"/>
  <c r="M118" i="13"/>
  <c r="Q118" i="13" s="1"/>
  <c r="M126" i="13"/>
  <c r="Q126" i="13" s="1"/>
  <c r="M62" i="13"/>
  <c r="Q62" i="13" s="1"/>
  <c r="M93" i="13"/>
  <c r="Q93" i="13" s="1"/>
  <c r="M163" i="13"/>
  <c r="Q163" i="13" s="1"/>
  <c r="M48" i="13"/>
  <c r="Q48" i="13" s="1"/>
  <c r="M79" i="13"/>
  <c r="Q79" i="13" s="1"/>
  <c r="O139" i="13"/>
  <c r="AA139" i="13" s="1"/>
  <c r="M154" i="13"/>
  <c r="Q154" i="13" s="1"/>
  <c r="M92" i="13"/>
  <c r="Q92" i="13" s="1"/>
  <c r="M193" i="13"/>
  <c r="Q193" i="13" s="1"/>
  <c r="M182" i="13"/>
  <c r="Q182" i="13" s="1"/>
  <c r="M104" i="13"/>
  <c r="Q104" i="13" s="1"/>
  <c r="M187" i="13"/>
  <c r="Q187" i="13" s="1"/>
  <c r="M117" i="13"/>
  <c r="Q117" i="13" s="1"/>
  <c r="M145" i="13"/>
  <c r="Q145" i="13" s="1"/>
  <c r="M71" i="13"/>
  <c r="Q71" i="13" s="1"/>
  <c r="M99" i="13"/>
  <c r="Q99" i="13" s="1"/>
  <c r="M151" i="13"/>
  <c r="Q151" i="13" s="1"/>
  <c r="M55" i="13"/>
  <c r="Q55" i="13" s="1"/>
  <c r="M42" i="13"/>
  <c r="Q42" i="13" s="1"/>
  <c r="M106" i="13"/>
  <c r="Q106" i="13" s="1"/>
  <c r="M156" i="13"/>
  <c r="Q156" i="13" s="1"/>
  <c r="O166" i="13"/>
  <c r="AA166" i="13" s="1"/>
  <c r="O194" i="13"/>
  <c r="AA194" i="13" s="1"/>
  <c r="M180" i="13"/>
  <c r="Q180" i="13" s="1"/>
  <c r="M147" i="13"/>
  <c r="Q147" i="13" s="1"/>
  <c r="M95" i="13"/>
  <c r="Q95" i="13" s="1"/>
  <c r="M178" i="13"/>
  <c r="Q178" i="13" s="1"/>
  <c r="M162" i="13"/>
  <c r="Q162" i="13" s="1"/>
  <c r="M102" i="13"/>
  <c r="Q102" i="13" s="1"/>
  <c r="M83" i="13"/>
  <c r="Q83" i="13" s="1"/>
  <c r="M150" i="13"/>
  <c r="Q150" i="13" s="1"/>
  <c r="M141" i="13"/>
  <c r="Q141" i="13" s="1"/>
  <c r="O76" i="13"/>
  <c r="AA76" i="13" s="1"/>
  <c r="M86" i="13"/>
  <c r="Q86" i="13" s="1"/>
  <c r="O160" i="13"/>
  <c r="AA160" i="13" s="1"/>
  <c r="M146" i="13"/>
  <c r="Q146" i="13" s="1"/>
  <c r="M60" i="13"/>
  <c r="Q60" i="13" s="1"/>
  <c r="M114" i="13"/>
  <c r="Q114" i="13" s="1"/>
  <c r="M96" i="13"/>
  <c r="Q96" i="13" s="1"/>
  <c r="M192" i="13"/>
  <c r="Q192" i="13" s="1"/>
  <c r="O129" i="13"/>
  <c r="AA129" i="13" s="1"/>
  <c r="M73" i="13"/>
  <c r="Q73" i="13" s="1"/>
  <c r="M181" i="13"/>
  <c r="Q181" i="13" s="1"/>
  <c r="M85" i="13"/>
  <c r="Q85" i="13" s="1"/>
  <c r="M198" i="13"/>
  <c r="Q198" i="13" s="1"/>
  <c r="M89" i="13"/>
  <c r="Q89" i="13" s="1"/>
  <c r="M72" i="13"/>
  <c r="Q72" i="13" s="1"/>
  <c r="M56" i="13"/>
  <c r="Q56" i="13" s="1"/>
  <c r="M159" i="13"/>
  <c r="Q159" i="13" s="1"/>
  <c r="O188" i="13"/>
  <c r="AA188" i="13" s="1"/>
  <c r="O127" i="13"/>
  <c r="AA127" i="13" s="1"/>
  <c r="M91" i="13"/>
  <c r="Q91" i="13" s="1"/>
  <c r="M155" i="13"/>
  <c r="Q155" i="13" s="1"/>
  <c r="M67" i="13"/>
  <c r="Q67" i="13" s="1"/>
  <c r="M135" i="13"/>
  <c r="Q135" i="13" s="1"/>
  <c r="M43" i="13"/>
  <c r="Q43" i="13" s="1"/>
  <c r="M168" i="13"/>
  <c r="Q168" i="13" s="1"/>
  <c r="M74" i="13"/>
  <c r="Q74" i="13" s="1"/>
  <c r="M174" i="13"/>
  <c r="Q174" i="13" s="1"/>
  <c r="M57" i="13"/>
  <c r="Q57" i="13" s="1"/>
  <c r="O38" i="13"/>
  <c r="O8" i="13"/>
  <c r="AA20" i="13"/>
  <c r="AA38" i="13" s="1"/>
  <c r="S29" i="13"/>
  <c r="T29" i="13" s="1"/>
  <c r="V29" i="13" s="1"/>
  <c r="S23" i="13"/>
  <c r="T23" i="13" s="1"/>
  <c r="V23" i="13" s="1"/>
  <c r="S25" i="13"/>
  <c r="T25" i="13" s="1"/>
  <c r="V25" i="13" s="1"/>
  <c r="S20" i="13"/>
  <c r="T20" i="13" s="1"/>
  <c r="V20" i="13" s="1"/>
  <c r="S34" i="13"/>
  <c r="T34" i="13" s="1"/>
  <c r="V34" i="13" s="1"/>
  <c r="S31" i="13"/>
  <c r="T31" i="13" s="1"/>
  <c r="V31" i="13" s="1"/>
  <c r="S22" i="13"/>
  <c r="T22" i="13" s="1"/>
  <c r="V22" i="13" s="1"/>
  <c r="S33" i="13"/>
  <c r="T33" i="13" s="1"/>
  <c r="V33" i="13" s="1"/>
  <c r="S35" i="13"/>
  <c r="T35" i="13" s="1"/>
  <c r="V35" i="13" s="1"/>
  <c r="S36" i="13"/>
  <c r="T36" i="13" s="1"/>
  <c r="V36" i="13" s="1"/>
  <c r="S27" i="13"/>
  <c r="T27" i="13" s="1"/>
  <c r="V27" i="13" s="1"/>
  <c r="S21" i="13"/>
  <c r="T21" i="13" s="1"/>
  <c r="V21" i="13" s="1"/>
  <c r="S26" i="13"/>
  <c r="T26" i="13" s="1"/>
  <c r="V26" i="13" s="1"/>
  <c r="W26" i="13" s="1"/>
  <c r="X26" i="13" s="1"/>
  <c r="Y26" i="13" s="1"/>
  <c r="S24" i="13"/>
  <c r="T24" i="13" s="1"/>
  <c r="V24" i="13" s="1"/>
  <c r="S32" i="13"/>
  <c r="T32" i="13" s="1"/>
  <c r="V32" i="13" s="1"/>
  <c r="S28" i="13"/>
  <c r="T28" i="13" s="1"/>
  <c r="V28" i="13" s="1"/>
  <c r="S30" i="13"/>
  <c r="T30" i="13" s="1"/>
  <c r="V30" i="13" s="1"/>
  <c r="S52" i="13" l="1"/>
  <c r="T52" i="13" s="1"/>
  <c r="V52" i="13" s="1"/>
  <c r="S66" i="13"/>
  <c r="T66" i="13" s="1"/>
  <c r="V66" i="13" s="1"/>
  <c r="S77" i="13"/>
  <c r="T77" i="13" s="1"/>
  <c r="V77" i="13" s="1"/>
  <c r="S87" i="13"/>
  <c r="T87" i="13" s="1"/>
  <c r="V87" i="13" s="1"/>
  <c r="S103" i="13"/>
  <c r="T103" i="13" s="1"/>
  <c r="V103" i="13" s="1"/>
  <c r="S110" i="13"/>
  <c r="T110" i="13" s="1"/>
  <c r="V110" i="13" s="1"/>
  <c r="S54" i="13"/>
  <c r="T54" i="13" s="1"/>
  <c r="V54" i="13" s="1"/>
  <c r="AB32" i="13"/>
  <c r="W32" i="13"/>
  <c r="X32" i="13" s="1"/>
  <c r="Y32" i="13" s="1"/>
  <c r="AB35" i="13"/>
  <c r="W35" i="13"/>
  <c r="X35" i="13" s="1"/>
  <c r="Y35" i="13" s="1"/>
  <c r="AB29" i="13"/>
  <c r="W29" i="13"/>
  <c r="X29" i="13" s="1"/>
  <c r="Y29" i="13" s="1"/>
  <c r="AB24" i="13"/>
  <c r="W24" i="13"/>
  <c r="X24" i="13" s="1"/>
  <c r="Y24" i="13" s="1"/>
  <c r="W27" i="13"/>
  <c r="X27" i="13" s="1"/>
  <c r="Y27" i="13" s="1"/>
  <c r="AB27" i="13"/>
  <c r="AB33" i="13"/>
  <c r="W33" i="13"/>
  <c r="X33" i="13" s="1"/>
  <c r="Y33" i="13" s="1"/>
  <c r="AB20" i="13"/>
  <c r="W20" i="13"/>
  <c r="AB21" i="13"/>
  <c r="W21" i="13"/>
  <c r="X21" i="13" s="1"/>
  <c r="Y21" i="13" s="1"/>
  <c r="AB34" i="13"/>
  <c r="W34" i="13"/>
  <c r="X34" i="13" s="1"/>
  <c r="Y34" i="13" s="1"/>
  <c r="W30" i="13"/>
  <c r="X30" i="13" s="1"/>
  <c r="Y30" i="13" s="1"/>
  <c r="AB30" i="13"/>
  <c r="AB22" i="13"/>
  <c r="W22" i="13"/>
  <c r="X22" i="13" s="1"/>
  <c r="Y22" i="13" s="1"/>
  <c r="W25" i="13"/>
  <c r="X25" i="13" s="1"/>
  <c r="Y25" i="13" s="1"/>
  <c r="AB25" i="13"/>
  <c r="W28" i="13"/>
  <c r="X28" i="13" s="1"/>
  <c r="Y28" i="13" s="1"/>
  <c r="AB28" i="13"/>
  <c r="AB31" i="13"/>
  <c r="W31" i="13"/>
  <c r="X31" i="13" s="1"/>
  <c r="Y31" i="13" s="1"/>
  <c r="AB23" i="13"/>
  <c r="W23" i="13"/>
  <c r="X23" i="13" s="1"/>
  <c r="Y23" i="13" s="1"/>
  <c r="AB36" i="13"/>
  <c r="W36" i="13"/>
  <c r="X36" i="13" s="1"/>
  <c r="Y36" i="13" s="1"/>
  <c r="S74" i="13"/>
  <c r="T74" i="13" s="1"/>
  <c r="V74" i="13" s="1"/>
  <c r="S89" i="13"/>
  <c r="T89" i="13" s="1"/>
  <c r="V89" i="13" s="1"/>
  <c r="S114" i="13"/>
  <c r="T114" i="13" s="1"/>
  <c r="V114" i="13" s="1"/>
  <c r="S83" i="13"/>
  <c r="T83" i="13" s="1"/>
  <c r="V83" i="13" s="1"/>
  <c r="S104" i="13"/>
  <c r="T104" i="13" s="1"/>
  <c r="V104" i="13" s="1"/>
  <c r="S57" i="13"/>
  <c r="T57" i="13" s="1"/>
  <c r="V57" i="13" s="1"/>
  <c r="S43" i="13"/>
  <c r="T43" i="13" s="1"/>
  <c r="V43" i="13" s="1"/>
  <c r="S91" i="13"/>
  <c r="T91" i="13" s="1"/>
  <c r="V91" i="13" s="1"/>
  <c r="S56" i="13"/>
  <c r="T56" i="13" s="1"/>
  <c r="V56" i="13" s="1"/>
  <c r="S85" i="13"/>
  <c r="T85" i="13" s="1"/>
  <c r="V85" i="13" s="1"/>
  <c r="S192" i="13"/>
  <c r="T192" i="13" s="1"/>
  <c r="V192" i="13" s="1"/>
  <c r="S146" i="13"/>
  <c r="T146" i="13" s="1"/>
  <c r="V146" i="13" s="1"/>
  <c r="S141" i="13"/>
  <c r="T141" i="13" s="1"/>
  <c r="V141" i="13" s="1"/>
  <c r="S162" i="13"/>
  <c r="T162" i="13" s="1"/>
  <c r="V162" i="13" s="1"/>
  <c r="S180" i="13"/>
  <c r="T180" i="13" s="1"/>
  <c r="V180" i="13" s="1"/>
  <c r="S106" i="13"/>
  <c r="T106" i="13" s="1"/>
  <c r="V106" i="13" s="1"/>
  <c r="S99" i="13"/>
  <c r="T99" i="13" s="1"/>
  <c r="V99" i="13" s="1"/>
  <c r="S193" i="13"/>
  <c r="T193" i="13" s="1"/>
  <c r="V193" i="13" s="1"/>
  <c r="S79" i="13"/>
  <c r="T79" i="13" s="1"/>
  <c r="V79" i="13" s="1"/>
  <c r="S62" i="13"/>
  <c r="T62" i="13" s="1"/>
  <c r="V62" i="13" s="1"/>
  <c r="S188" i="13"/>
  <c r="T188" i="13" s="1"/>
  <c r="V188" i="13" s="1"/>
  <c r="S172" i="13"/>
  <c r="T172" i="13" s="1"/>
  <c r="V172" i="13" s="1"/>
  <c r="S170" i="13"/>
  <c r="T170" i="13" s="1"/>
  <c r="V170" i="13" s="1"/>
  <c r="S80" i="13"/>
  <c r="T80" i="13" s="1"/>
  <c r="V80" i="13" s="1"/>
  <c r="S197" i="13"/>
  <c r="T197" i="13" s="1"/>
  <c r="V197" i="13" s="1"/>
  <c r="S113" i="13"/>
  <c r="T113" i="13" s="1"/>
  <c r="V113" i="13" s="1"/>
  <c r="S78" i="13"/>
  <c r="T78" i="13" s="1"/>
  <c r="V78" i="13" s="1"/>
  <c r="S122" i="13"/>
  <c r="T122" i="13" s="1"/>
  <c r="V122" i="13" s="1"/>
  <c r="W122" i="13" s="1"/>
  <c r="X122" i="13" s="1"/>
  <c r="Y122" i="13" s="1"/>
  <c r="S64" i="13"/>
  <c r="T64" i="13" s="1"/>
  <c r="V64" i="13" s="1"/>
  <c r="S59" i="13"/>
  <c r="T59" i="13" s="1"/>
  <c r="V59" i="13" s="1"/>
  <c r="S199" i="13"/>
  <c r="T199" i="13" s="1"/>
  <c r="V199" i="13" s="1"/>
  <c r="S166" i="13"/>
  <c r="T166" i="13" s="1"/>
  <c r="V166" i="13" s="1"/>
  <c r="S109" i="13"/>
  <c r="T109" i="13" s="1"/>
  <c r="V109" i="13" s="1"/>
  <c r="S161" i="13"/>
  <c r="T161" i="13" s="1"/>
  <c r="V161" i="13" s="1"/>
  <c r="S171" i="13"/>
  <c r="T171" i="13" s="1"/>
  <c r="V171" i="13" s="1"/>
  <c r="S107" i="13"/>
  <c r="T107" i="13" s="1"/>
  <c r="V107" i="13" s="1"/>
  <c r="S101" i="13"/>
  <c r="T101" i="13" s="1"/>
  <c r="V101" i="13" s="1"/>
  <c r="S111" i="13"/>
  <c r="T111" i="13" s="1"/>
  <c r="V111" i="13" s="1"/>
  <c r="S149" i="13"/>
  <c r="T149" i="13" s="1"/>
  <c r="V149" i="13" s="1"/>
  <c r="S138" i="13"/>
  <c r="T138" i="13" s="1"/>
  <c r="V138" i="13" s="1"/>
  <c r="S90" i="13"/>
  <c r="T90" i="13" s="1"/>
  <c r="V90" i="13" s="1"/>
  <c r="S88" i="13"/>
  <c r="T88" i="13" s="1"/>
  <c r="V88" i="13" s="1"/>
  <c r="S121" i="13"/>
  <c r="T121" i="13" s="1"/>
  <c r="V121" i="13" s="1"/>
  <c r="W121" i="13" s="1"/>
  <c r="X121" i="13" s="1"/>
  <c r="Y121" i="13" s="1"/>
  <c r="S50" i="13"/>
  <c r="T50" i="13" s="1"/>
  <c r="V50" i="13" s="1"/>
  <c r="S144" i="13"/>
  <c r="T144" i="13" s="1"/>
  <c r="V144" i="13" s="1"/>
  <c r="S120" i="13"/>
  <c r="T120" i="13" s="1"/>
  <c r="V120" i="13" s="1"/>
  <c r="W120" i="13" s="1"/>
  <c r="X120" i="13" s="1"/>
  <c r="Y120" i="13" s="1"/>
  <c r="S174" i="13"/>
  <c r="T174" i="13" s="1"/>
  <c r="V174" i="13" s="1"/>
  <c r="S135" i="13"/>
  <c r="T135" i="13" s="1"/>
  <c r="V135" i="13" s="1"/>
  <c r="S72" i="13"/>
  <c r="T72" i="13" s="1"/>
  <c r="V72" i="13" s="1"/>
  <c r="S181" i="13"/>
  <c r="T181" i="13" s="1"/>
  <c r="V181" i="13" s="1"/>
  <c r="S96" i="13"/>
  <c r="T96" i="13" s="1"/>
  <c r="V96" i="13" s="1"/>
  <c r="S150" i="13"/>
  <c r="T150" i="13" s="1"/>
  <c r="V150" i="13" s="1"/>
  <c r="S178" i="13"/>
  <c r="T178" i="13" s="1"/>
  <c r="V178" i="13" s="1"/>
  <c r="S42" i="13"/>
  <c r="T42" i="13" s="1"/>
  <c r="V42" i="13" s="1"/>
  <c r="S71" i="13"/>
  <c r="T71" i="13" s="1"/>
  <c r="V71" i="13" s="1"/>
  <c r="S187" i="13"/>
  <c r="T187" i="13" s="1"/>
  <c r="V187" i="13" s="1"/>
  <c r="S92" i="13"/>
  <c r="T92" i="13" s="1"/>
  <c r="V92" i="13" s="1"/>
  <c r="S48" i="13"/>
  <c r="T48" i="13" s="1"/>
  <c r="V48" i="13" s="1"/>
  <c r="S126" i="13"/>
  <c r="T126" i="13" s="1"/>
  <c r="V126" i="13" s="1"/>
  <c r="W126" i="13" s="1"/>
  <c r="X126" i="13" s="1"/>
  <c r="Y126" i="13" s="1"/>
  <c r="S44" i="13"/>
  <c r="T44" i="13" s="1"/>
  <c r="V44" i="13" s="1"/>
  <c r="S195" i="13"/>
  <c r="T195" i="13" s="1"/>
  <c r="V195" i="13" s="1"/>
  <c r="S167" i="13"/>
  <c r="T167" i="13" s="1"/>
  <c r="V167" i="13" s="1"/>
  <c r="S53" i="13"/>
  <c r="T53" i="13" s="1"/>
  <c r="V53" i="13" s="1"/>
  <c r="S115" i="13"/>
  <c r="T115" i="13" s="1"/>
  <c r="V115" i="13" s="1"/>
  <c r="S49" i="13"/>
  <c r="T49" i="13" s="1"/>
  <c r="V49" i="13" s="1"/>
  <c r="S46" i="13"/>
  <c r="T46" i="13" s="1"/>
  <c r="V46" i="13" s="1"/>
  <c r="S158" i="13"/>
  <c r="T158" i="13" s="1"/>
  <c r="V158" i="13" s="1"/>
  <c r="S186" i="13"/>
  <c r="T186" i="13" s="1"/>
  <c r="V186" i="13" s="1"/>
  <c r="S189" i="13"/>
  <c r="T189" i="13" s="1"/>
  <c r="V189" i="13" s="1"/>
  <c r="S108" i="13"/>
  <c r="T108" i="13" s="1"/>
  <c r="V108" i="13" s="1"/>
  <c r="S97" i="13"/>
  <c r="T97" i="13" s="1"/>
  <c r="V97" i="13" s="1"/>
  <c r="S153" i="13"/>
  <c r="T153" i="13" s="1"/>
  <c r="V153" i="13" s="1"/>
  <c r="S191" i="13"/>
  <c r="T191" i="13" s="1"/>
  <c r="V191" i="13" s="1"/>
  <c r="S112" i="13"/>
  <c r="T112" i="13" s="1"/>
  <c r="V112" i="13" s="1"/>
  <c r="S143" i="13"/>
  <c r="T143" i="13" s="1"/>
  <c r="V143" i="13" s="1"/>
  <c r="S157" i="13"/>
  <c r="T157" i="13" s="1"/>
  <c r="V157" i="13" s="1"/>
  <c r="S84" i="13"/>
  <c r="T84" i="13" s="1"/>
  <c r="V84" i="13" s="1"/>
  <c r="S148" i="13"/>
  <c r="T148" i="13" s="1"/>
  <c r="V148" i="13" s="1"/>
  <c r="O131" i="13"/>
  <c r="O9" i="13"/>
  <c r="AA42" i="13"/>
  <c r="S128" i="13"/>
  <c r="T128" i="13" s="1"/>
  <c r="V128" i="13" s="1"/>
  <c r="W128" i="13" s="1"/>
  <c r="X128" i="13" s="1"/>
  <c r="Y128" i="13" s="1"/>
  <c r="S94" i="13"/>
  <c r="T94" i="13" s="1"/>
  <c r="V94" i="13" s="1"/>
  <c r="S196" i="13"/>
  <c r="T196" i="13" s="1"/>
  <c r="V196" i="13" s="1"/>
  <c r="S65" i="13"/>
  <c r="T65" i="13" s="1"/>
  <c r="V65" i="13" s="1"/>
  <c r="S67" i="13"/>
  <c r="T67" i="13" s="1"/>
  <c r="V67" i="13" s="1"/>
  <c r="S73" i="13"/>
  <c r="T73" i="13" s="1"/>
  <c r="V73" i="13" s="1"/>
  <c r="S86" i="13"/>
  <c r="T86" i="13" s="1"/>
  <c r="V86" i="13" s="1"/>
  <c r="S95" i="13"/>
  <c r="T95" i="13" s="1"/>
  <c r="V95" i="13" s="1"/>
  <c r="S55" i="13"/>
  <c r="T55" i="13" s="1"/>
  <c r="V55" i="13" s="1"/>
  <c r="S145" i="13"/>
  <c r="T145" i="13" s="1"/>
  <c r="V145" i="13" s="1"/>
  <c r="S154" i="13"/>
  <c r="T154" i="13" s="1"/>
  <c r="V154" i="13" s="1"/>
  <c r="S163" i="13"/>
  <c r="T163" i="13" s="1"/>
  <c r="V163" i="13" s="1"/>
  <c r="S118" i="13"/>
  <c r="T118" i="13" s="1"/>
  <c r="V118" i="13" s="1"/>
  <c r="S123" i="13"/>
  <c r="T123" i="13" s="1"/>
  <c r="V123" i="13" s="1"/>
  <c r="W123" i="13" s="1"/>
  <c r="X123" i="13" s="1"/>
  <c r="Y123" i="13" s="1"/>
  <c r="S136" i="13"/>
  <c r="T136" i="13" s="1"/>
  <c r="V136" i="13" s="1"/>
  <c r="S185" i="13"/>
  <c r="T185" i="13" s="1"/>
  <c r="V185" i="13" s="1"/>
  <c r="S105" i="13"/>
  <c r="T105" i="13" s="1"/>
  <c r="V105" i="13" s="1"/>
  <c r="S51" i="13"/>
  <c r="T51" i="13" s="1"/>
  <c r="V51" i="13" s="1"/>
  <c r="S139" i="13"/>
  <c r="T139" i="13" s="1"/>
  <c r="V139" i="13" s="1"/>
  <c r="S142" i="13"/>
  <c r="T142" i="13" s="1"/>
  <c r="V142" i="13" s="1"/>
  <c r="S164" i="13"/>
  <c r="T164" i="13" s="1"/>
  <c r="V164" i="13" s="1"/>
  <c r="S176" i="13"/>
  <c r="T176" i="13" s="1"/>
  <c r="V176" i="13" s="1"/>
  <c r="S184" i="13"/>
  <c r="T184" i="13" s="1"/>
  <c r="V184" i="13" s="1"/>
  <c r="S61" i="13"/>
  <c r="T61" i="13" s="1"/>
  <c r="V61" i="13" s="1"/>
  <c r="S127" i="13"/>
  <c r="T127" i="13" s="1"/>
  <c r="V127" i="13" s="1"/>
  <c r="W127" i="13" s="1"/>
  <c r="X127" i="13" s="1"/>
  <c r="Y127" i="13" s="1"/>
  <c r="S183" i="13"/>
  <c r="T183" i="13" s="1"/>
  <c r="V183" i="13" s="1"/>
  <c r="S70" i="13"/>
  <c r="T70" i="13" s="1"/>
  <c r="V70" i="13" s="1"/>
  <c r="S152" i="13"/>
  <c r="T152" i="13" s="1"/>
  <c r="V152" i="13" s="1"/>
  <c r="S82" i="13"/>
  <c r="T82" i="13" s="1"/>
  <c r="V82" i="13" s="1"/>
  <c r="S58" i="13"/>
  <c r="T58" i="13" s="1"/>
  <c r="V58" i="13" s="1"/>
  <c r="S125" i="13"/>
  <c r="T125" i="13" s="1"/>
  <c r="V125" i="13" s="1"/>
  <c r="W125" i="13" s="1"/>
  <c r="X125" i="13" s="1"/>
  <c r="Y125" i="13" s="1"/>
  <c r="S81" i="13"/>
  <c r="T81" i="13" s="1"/>
  <c r="V81" i="13" s="1"/>
  <c r="O10" i="13"/>
  <c r="O212" i="13"/>
  <c r="AA135" i="13"/>
  <c r="AA212" i="13" s="1"/>
  <c r="S168" i="13"/>
  <c r="T168" i="13" s="1"/>
  <c r="V168" i="13" s="1"/>
  <c r="S155" i="13"/>
  <c r="T155" i="13" s="1"/>
  <c r="V155" i="13" s="1"/>
  <c r="S159" i="13"/>
  <c r="T159" i="13" s="1"/>
  <c r="V159" i="13" s="1"/>
  <c r="S198" i="13"/>
  <c r="T198" i="13" s="1"/>
  <c r="V198" i="13" s="1"/>
  <c r="S60" i="13"/>
  <c r="T60" i="13" s="1"/>
  <c r="V60" i="13" s="1"/>
  <c r="S102" i="13"/>
  <c r="T102" i="13" s="1"/>
  <c r="V102" i="13" s="1"/>
  <c r="S147" i="13"/>
  <c r="T147" i="13" s="1"/>
  <c r="V147" i="13" s="1"/>
  <c r="S156" i="13"/>
  <c r="T156" i="13" s="1"/>
  <c r="V156" i="13" s="1"/>
  <c r="S151" i="13"/>
  <c r="T151" i="13" s="1"/>
  <c r="V151" i="13" s="1"/>
  <c r="S117" i="13"/>
  <c r="T117" i="13" s="1"/>
  <c r="V117" i="13" s="1"/>
  <c r="S182" i="13"/>
  <c r="T182" i="13" s="1"/>
  <c r="V182" i="13" s="1"/>
  <c r="S93" i="13"/>
  <c r="T93" i="13" s="1"/>
  <c r="V93" i="13" s="1"/>
  <c r="S140" i="13"/>
  <c r="T140" i="13" s="1"/>
  <c r="V140" i="13" s="1"/>
  <c r="S165" i="13"/>
  <c r="T165" i="13" s="1"/>
  <c r="V165" i="13" s="1"/>
  <c r="S45" i="13"/>
  <c r="T45" i="13" s="1"/>
  <c r="V45" i="13" s="1"/>
  <c r="S177" i="13"/>
  <c r="T177" i="13" s="1"/>
  <c r="V177" i="13" s="1"/>
  <c r="S129" i="13"/>
  <c r="T129" i="13" s="1"/>
  <c r="V129" i="13" s="1"/>
  <c r="W129" i="13" s="1"/>
  <c r="X129" i="13" s="1"/>
  <c r="Y129" i="13" s="1"/>
  <c r="S68" i="13"/>
  <c r="T68" i="13" s="1"/>
  <c r="V68" i="13" s="1"/>
  <c r="S63" i="13"/>
  <c r="T63" i="13" s="1"/>
  <c r="V63" i="13" s="1"/>
  <c r="S175" i="13"/>
  <c r="T175" i="13" s="1"/>
  <c r="V175" i="13" s="1"/>
  <c r="S75" i="13"/>
  <c r="T75" i="13" s="1"/>
  <c r="V75" i="13" s="1"/>
  <c r="S100" i="13"/>
  <c r="T100" i="13" s="1"/>
  <c r="V100" i="13" s="1"/>
  <c r="S116" i="13"/>
  <c r="T116" i="13" s="1"/>
  <c r="V116" i="13" s="1"/>
  <c r="S98" i="13"/>
  <c r="T98" i="13" s="1"/>
  <c r="V98" i="13" s="1"/>
  <c r="S179" i="13"/>
  <c r="T179" i="13" s="1"/>
  <c r="V179" i="13" s="1"/>
  <c r="S69" i="13"/>
  <c r="T69" i="13" s="1"/>
  <c r="V69" i="13" s="1"/>
  <c r="S119" i="13"/>
  <c r="T119" i="13" s="1"/>
  <c r="V119" i="13" s="1"/>
  <c r="W119" i="13" s="1"/>
  <c r="X119" i="13" s="1"/>
  <c r="Y119" i="13" s="1"/>
  <c r="S47" i="13"/>
  <c r="T47" i="13" s="1"/>
  <c r="V47" i="13" s="1"/>
  <c r="S194" i="13"/>
  <c r="T194" i="13" s="1"/>
  <c r="V194" i="13" s="1"/>
  <c r="S160" i="13"/>
  <c r="T160" i="13" s="1"/>
  <c r="V160" i="13" s="1"/>
  <c r="S137" i="13"/>
  <c r="T137" i="13" s="1"/>
  <c r="V137" i="13" s="1"/>
  <c r="S190" i="13"/>
  <c r="T190" i="13" s="1"/>
  <c r="V190" i="13" s="1"/>
  <c r="S124" i="13"/>
  <c r="T124" i="13" s="1"/>
  <c r="V124" i="13" s="1"/>
  <c r="W124" i="13" s="1"/>
  <c r="X124" i="13" s="1"/>
  <c r="Y124" i="13" s="1"/>
  <c r="S169" i="13"/>
  <c r="T169" i="13" s="1"/>
  <c r="V169" i="13" s="1"/>
  <c r="S76" i="13"/>
  <c r="T76" i="13" s="1"/>
  <c r="V76" i="13" s="1"/>
  <c r="S173" i="13"/>
  <c r="T173" i="13" s="1"/>
  <c r="V173" i="13" s="1"/>
  <c r="AB52" i="13" l="1"/>
  <c r="W52" i="13"/>
  <c r="X52" i="13" s="1"/>
  <c r="Y52" i="13" s="1"/>
  <c r="W66" i="13"/>
  <c r="X66" i="13" s="1"/>
  <c r="Y66" i="13" s="1"/>
  <c r="AB66" i="13"/>
  <c r="AB77" i="13"/>
  <c r="W77" i="13"/>
  <c r="X77" i="13" s="1"/>
  <c r="Y77" i="13" s="1"/>
  <c r="AB87" i="13"/>
  <c r="W87" i="13"/>
  <c r="X87" i="13" s="1"/>
  <c r="Y87" i="13" s="1"/>
  <c r="AB103" i="13"/>
  <c r="W103" i="13"/>
  <c r="X103" i="13" s="1"/>
  <c r="Y103" i="13" s="1"/>
  <c r="W110" i="13"/>
  <c r="X110" i="13" s="1"/>
  <c r="Y110" i="13" s="1"/>
  <c r="AB110" i="13"/>
  <c r="W54" i="13"/>
  <c r="X54" i="13" s="1"/>
  <c r="Y54" i="13" s="1"/>
  <c r="AB54" i="13"/>
  <c r="AA131" i="13"/>
  <c r="AA217" i="13" s="1"/>
  <c r="O7" i="13"/>
  <c r="O217" i="13"/>
  <c r="AB160" i="13"/>
  <c r="W160" i="13"/>
  <c r="X160" i="13" s="1"/>
  <c r="Y160" i="13" s="1"/>
  <c r="AB175" i="13"/>
  <c r="W175" i="13"/>
  <c r="X175" i="13" s="1"/>
  <c r="Y175" i="13" s="1"/>
  <c r="W165" i="13"/>
  <c r="X165" i="13" s="1"/>
  <c r="Y165" i="13" s="1"/>
  <c r="AB165" i="13"/>
  <c r="AB155" i="13"/>
  <c r="W155" i="13"/>
  <c r="X155" i="13" s="1"/>
  <c r="Y155" i="13" s="1"/>
  <c r="AB82" i="13"/>
  <c r="W82" i="13"/>
  <c r="X82" i="13" s="1"/>
  <c r="Y82" i="13" s="1"/>
  <c r="W183" i="13"/>
  <c r="X183" i="13" s="1"/>
  <c r="Y183" i="13" s="1"/>
  <c r="AB183" i="13"/>
  <c r="AB184" i="13"/>
  <c r="W184" i="13"/>
  <c r="X184" i="13" s="1"/>
  <c r="Y184" i="13" s="1"/>
  <c r="AB145" i="13"/>
  <c r="AC145" i="13" s="1"/>
  <c r="W145" i="13"/>
  <c r="X145" i="13" s="1"/>
  <c r="Y145" i="13" s="1"/>
  <c r="W86" i="13"/>
  <c r="X86" i="13" s="1"/>
  <c r="Y86" i="13" s="1"/>
  <c r="AB86" i="13"/>
  <c r="AB108" i="13"/>
  <c r="W108" i="13"/>
  <c r="X108" i="13" s="1"/>
  <c r="Y108" i="13" s="1"/>
  <c r="AB53" i="13"/>
  <c r="W53" i="13"/>
  <c r="X53" i="13" s="1"/>
  <c r="Y53" i="13" s="1"/>
  <c r="AB92" i="13"/>
  <c r="W92" i="13"/>
  <c r="X92" i="13" s="1"/>
  <c r="Y92" i="13" s="1"/>
  <c r="AB174" i="13"/>
  <c r="W174" i="13"/>
  <c r="X174" i="13" s="1"/>
  <c r="Y174" i="13" s="1"/>
  <c r="W88" i="13"/>
  <c r="X88" i="13" s="1"/>
  <c r="Y88" i="13" s="1"/>
  <c r="AB88" i="13"/>
  <c r="AB197" i="13"/>
  <c r="W197" i="13"/>
  <c r="X197" i="13" s="1"/>
  <c r="Y197" i="13" s="1"/>
  <c r="AB193" i="13"/>
  <c r="W193" i="13"/>
  <c r="X193" i="13" s="1"/>
  <c r="Y193" i="13" s="1"/>
  <c r="AB56" i="13"/>
  <c r="W56" i="13"/>
  <c r="X56" i="13" s="1"/>
  <c r="Y56" i="13" s="1"/>
  <c r="AB114" i="13"/>
  <c r="W114" i="13"/>
  <c r="X114" i="13" s="1"/>
  <c r="Y114" i="13" s="1"/>
  <c r="AB190" i="13"/>
  <c r="W190" i="13"/>
  <c r="X190" i="13" s="1"/>
  <c r="Y190" i="13" s="1"/>
  <c r="W98" i="13"/>
  <c r="X98" i="13" s="1"/>
  <c r="Y98" i="13" s="1"/>
  <c r="AB98" i="13"/>
  <c r="W140" i="13"/>
  <c r="X140" i="13" s="1"/>
  <c r="Y140" i="13" s="1"/>
  <c r="AB140" i="13"/>
  <c r="AB198" i="13"/>
  <c r="W198" i="13"/>
  <c r="X198" i="13" s="1"/>
  <c r="Y198" i="13" s="1"/>
  <c r="AB168" i="13"/>
  <c r="W168" i="13"/>
  <c r="X168" i="13" s="1"/>
  <c r="Y168" i="13" s="1"/>
  <c r="W105" i="13"/>
  <c r="X105" i="13" s="1"/>
  <c r="Y105" i="13" s="1"/>
  <c r="AB105" i="13"/>
  <c r="AB153" i="13"/>
  <c r="W153" i="13"/>
  <c r="X153" i="13" s="1"/>
  <c r="Y153" i="13" s="1"/>
  <c r="AB72" i="13"/>
  <c r="W72" i="13"/>
  <c r="X72" i="13" s="1"/>
  <c r="Y72" i="13" s="1"/>
  <c r="W50" i="13"/>
  <c r="X50" i="13" s="1"/>
  <c r="Y50" i="13" s="1"/>
  <c r="AB50" i="13"/>
  <c r="AB161" i="13"/>
  <c r="W161" i="13"/>
  <c r="X161" i="13" s="1"/>
  <c r="Y161" i="13" s="1"/>
  <c r="AB62" i="13"/>
  <c r="W62" i="13"/>
  <c r="X62" i="13" s="1"/>
  <c r="Y62" i="13" s="1"/>
  <c r="W192" i="13"/>
  <c r="X192" i="13" s="1"/>
  <c r="Y192" i="13" s="1"/>
  <c r="AB192" i="13"/>
  <c r="W91" i="13"/>
  <c r="X91" i="13" s="1"/>
  <c r="Y91" i="13" s="1"/>
  <c r="AB91" i="13"/>
  <c r="AB104" i="13"/>
  <c r="W104" i="13"/>
  <c r="X104" i="13" s="1"/>
  <c r="Y104" i="13" s="1"/>
  <c r="AB169" i="13"/>
  <c r="W169" i="13"/>
  <c r="X169" i="13" s="1"/>
  <c r="Y169" i="13" s="1"/>
  <c r="AB69" i="13"/>
  <c r="W69" i="13"/>
  <c r="X69" i="13" s="1"/>
  <c r="Y69" i="13" s="1"/>
  <c r="AB177" i="13"/>
  <c r="W177" i="13"/>
  <c r="X177" i="13" s="1"/>
  <c r="Y177" i="13" s="1"/>
  <c r="AB117" i="13"/>
  <c r="W117" i="13"/>
  <c r="X117" i="13" s="1"/>
  <c r="Y117" i="13" s="1"/>
  <c r="W81" i="13"/>
  <c r="X81" i="13" s="1"/>
  <c r="Y81" i="13" s="1"/>
  <c r="AB81" i="13"/>
  <c r="AB139" i="13"/>
  <c r="AC139" i="13" s="1"/>
  <c r="W139" i="13"/>
  <c r="X139" i="13" s="1"/>
  <c r="Y139" i="13" s="1"/>
  <c r="W163" i="13"/>
  <c r="X163" i="13" s="1"/>
  <c r="Y163" i="13" s="1"/>
  <c r="AB163" i="13"/>
  <c r="W157" i="13"/>
  <c r="X157" i="13" s="1"/>
  <c r="Y157" i="13" s="1"/>
  <c r="AB157" i="13"/>
  <c r="W46" i="13"/>
  <c r="X46" i="13" s="1"/>
  <c r="Y46" i="13" s="1"/>
  <c r="AB46" i="13"/>
  <c r="AB178" i="13"/>
  <c r="W178" i="13"/>
  <c r="X178" i="13" s="1"/>
  <c r="Y178" i="13" s="1"/>
  <c r="AB111" i="13"/>
  <c r="W111" i="13"/>
  <c r="X111" i="13" s="1"/>
  <c r="Y111" i="13" s="1"/>
  <c r="AB78" i="13"/>
  <c r="W78" i="13"/>
  <c r="X78" i="13" s="1"/>
  <c r="Y78" i="13" s="1"/>
  <c r="AB188" i="13"/>
  <c r="W188" i="13"/>
  <c r="X188" i="13" s="1"/>
  <c r="Y188" i="13" s="1"/>
  <c r="AB141" i="13"/>
  <c r="AC141" i="13" s="1"/>
  <c r="W141" i="13"/>
  <c r="X141" i="13" s="1"/>
  <c r="Y141" i="13" s="1"/>
  <c r="W43" i="13"/>
  <c r="X43" i="13" s="1"/>
  <c r="Y43" i="13" s="1"/>
  <c r="AB43" i="13"/>
  <c r="W173" i="13"/>
  <c r="X173" i="13" s="1"/>
  <c r="Y173" i="13" s="1"/>
  <c r="AB173" i="13"/>
  <c r="W47" i="13"/>
  <c r="X47" i="13" s="1"/>
  <c r="Y47" i="13" s="1"/>
  <c r="AB47" i="13"/>
  <c r="AB68" i="13"/>
  <c r="W68" i="13"/>
  <c r="X68" i="13" s="1"/>
  <c r="Y68" i="13" s="1"/>
  <c r="W45" i="13"/>
  <c r="X45" i="13" s="1"/>
  <c r="Y45" i="13" s="1"/>
  <c r="AB45" i="13"/>
  <c r="AB70" i="13"/>
  <c r="W70" i="13"/>
  <c r="X70" i="13" s="1"/>
  <c r="Y70" i="13" s="1"/>
  <c r="W164" i="13"/>
  <c r="X164" i="13" s="1"/>
  <c r="Y164" i="13" s="1"/>
  <c r="AB164" i="13"/>
  <c r="AB154" i="13"/>
  <c r="W154" i="13"/>
  <c r="X154" i="13" s="1"/>
  <c r="Y154" i="13" s="1"/>
  <c r="W95" i="13"/>
  <c r="X95" i="13" s="1"/>
  <c r="Y95" i="13" s="1"/>
  <c r="AB95" i="13"/>
  <c r="AB148" i="13"/>
  <c r="W148" i="13"/>
  <c r="X148" i="13" s="1"/>
  <c r="Y148" i="13" s="1"/>
  <c r="AB186" i="13"/>
  <c r="W186" i="13"/>
  <c r="X186" i="13" s="1"/>
  <c r="Y186" i="13" s="1"/>
  <c r="AB195" i="13"/>
  <c r="W195" i="13"/>
  <c r="X195" i="13" s="1"/>
  <c r="Y195" i="13" s="1"/>
  <c r="W48" i="13"/>
  <c r="X48" i="13" s="1"/>
  <c r="Y48" i="13" s="1"/>
  <c r="AB48" i="13"/>
  <c r="AB71" i="13"/>
  <c r="W71" i="13"/>
  <c r="X71" i="13" s="1"/>
  <c r="Y71" i="13" s="1"/>
  <c r="AB138" i="13"/>
  <c r="W138" i="13"/>
  <c r="X138" i="13" s="1"/>
  <c r="Y138" i="13" s="1"/>
  <c r="AB64" i="13"/>
  <c r="W64" i="13"/>
  <c r="X64" i="13" s="1"/>
  <c r="Y64" i="13" s="1"/>
  <c r="AB113" i="13"/>
  <c r="W113" i="13"/>
  <c r="X113" i="13" s="1"/>
  <c r="Y113" i="13" s="1"/>
  <c r="W170" i="13"/>
  <c r="X170" i="13" s="1"/>
  <c r="Y170" i="13" s="1"/>
  <c r="AB170" i="13"/>
  <c r="AB99" i="13"/>
  <c r="W99" i="13"/>
  <c r="X99" i="13" s="1"/>
  <c r="Y99" i="13" s="1"/>
  <c r="AB74" i="13"/>
  <c r="W74" i="13"/>
  <c r="X74" i="13" s="1"/>
  <c r="Y74" i="13" s="1"/>
  <c r="AB93" i="13"/>
  <c r="W93" i="13"/>
  <c r="X93" i="13" s="1"/>
  <c r="Y93" i="13" s="1"/>
  <c r="W73" i="13"/>
  <c r="X73" i="13" s="1"/>
  <c r="Y73" i="13" s="1"/>
  <c r="AB73" i="13"/>
  <c r="AB65" i="13"/>
  <c r="W65" i="13"/>
  <c r="X65" i="13" s="1"/>
  <c r="Y65" i="13" s="1"/>
  <c r="W94" i="13"/>
  <c r="X94" i="13" s="1"/>
  <c r="Y94" i="13" s="1"/>
  <c r="AB94" i="13"/>
  <c r="AB112" i="13"/>
  <c r="W112" i="13"/>
  <c r="X112" i="13" s="1"/>
  <c r="Y112" i="13" s="1"/>
  <c r="W96" i="13"/>
  <c r="X96" i="13" s="1"/>
  <c r="Y96" i="13" s="1"/>
  <c r="AB96" i="13"/>
  <c r="AB144" i="13"/>
  <c r="W144" i="13"/>
  <c r="X144" i="13" s="1"/>
  <c r="Y144" i="13" s="1"/>
  <c r="AB90" i="13"/>
  <c r="W90" i="13"/>
  <c r="X90" i="13" s="1"/>
  <c r="Y90" i="13" s="1"/>
  <c r="W149" i="13"/>
  <c r="X149" i="13" s="1"/>
  <c r="Y149" i="13" s="1"/>
  <c r="AB149" i="13"/>
  <c r="AB171" i="13"/>
  <c r="W171" i="13"/>
  <c r="X171" i="13" s="1"/>
  <c r="Y171" i="13" s="1"/>
  <c r="AB199" i="13"/>
  <c r="W199" i="13"/>
  <c r="X199" i="13" s="1"/>
  <c r="Y199" i="13" s="1"/>
  <c r="AB59" i="13"/>
  <c r="W59" i="13"/>
  <c r="X59" i="13" s="1"/>
  <c r="Y59" i="13" s="1"/>
  <c r="W80" i="13"/>
  <c r="X80" i="13" s="1"/>
  <c r="Y80" i="13" s="1"/>
  <c r="AB80" i="13"/>
  <c r="W162" i="13"/>
  <c r="X162" i="13" s="1"/>
  <c r="Y162" i="13" s="1"/>
  <c r="AB162" i="13"/>
  <c r="AB146" i="13"/>
  <c r="W146" i="13"/>
  <c r="X146" i="13" s="1"/>
  <c r="Y146" i="13" s="1"/>
  <c r="AB57" i="13"/>
  <c r="W57" i="13"/>
  <c r="X57" i="13" s="1"/>
  <c r="Y57" i="13" s="1"/>
  <c r="AB89" i="13"/>
  <c r="W89" i="13"/>
  <c r="X89" i="13" s="1"/>
  <c r="Y89" i="13" s="1"/>
  <c r="AB137" i="13"/>
  <c r="AC137" i="13" s="1"/>
  <c r="W137" i="13"/>
  <c r="X137" i="13" s="1"/>
  <c r="Y137" i="13" s="1"/>
  <c r="W194" i="13"/>
  <c r="X194" i="13" s="1"/>
  <c r="Y194" i="13" s="1"/>
  <c r="AB194" i="13"/>
  <c r="AB179" i="13"/>
  <c r="W179" i="13"/>
  <c r="X179" i="13" s="1"/>
  <c r="Y179" i="13" s="1"/>
  <c r="AB151" i="13"/>
  <c r="W151" i="13"/>
  <c r="X151" i="13" s="1"/>
  <c r="Y151" i="13" s="1"/>
  <c r="AB60" i="13"/>
  <c r="W60" i="13"/>
  <c r="X60" i="13" s="1"/>
  <c r="Y60" i="13" s="1"/>
  <c r="W58" i="13"/>
  <c r="X58" i="13" s="1"/>
  <c r="Y58" i="13" s="1"/>
  <c r="AB58" i="13"/>
  <c r="AB61" i="13"/>
  <c r="W61" i="13"/>
  <c r="X61" i="13" s="1"/>
  <c r="Y61" i="13" s="1"/>
  <c r="AB142" i="13"/>
  <c r="W142" i="13"/>
  <c r="X142" i="13" s="1"/>
  <c r="Y142" i="13" s="1"/>
  <c r="AB185" i="13"/>
  <c r="W185" i="13"/>
  <c r="X185" i="13" s="1"/>
  <c r="Y185" i="13" s="1"/>
  <c r="W118" i="13"/>
  <c r="X118" i="13" s="1"/>
  <c r="Y118" i="13" s="1"/>
  <c r="AB118" i="13"/>
  <c r="AB55" i="13"/>
  <c r="W55" i="13"/>
  <c r="X55" i="13" s="1"/>
  <c r="Y55" i="13" s="1"/>
  <c r="AB67" i="13"/>
  <c r="W67" i="13"/>
  <c r="X67" i="13" s="1"/>
  <c r="Y67" i="13" s="1"/>
  <c r="AB143" i="13"/>
  <c r="W143" i="13"/>
  <c r="X143" i="13" s="1"/>
  <c r="Y143" i="13" s="1"/>
  <c r="AB191" i="13"/>
  <c r="W191" i="13"/>
  <c r="X191" i="13" s="1"/>
  <c r="Y191" i="13" s="1"/>
  <c r="AB97" i="13"/>
  <c r="W97" i="13"/>
  <c r="X97" i="13" s="1"/>
  <c r="Y97" i="13" s="1"/>
  <c r="AB189" i="13"/>
  <c r="W189" i="13"/>
  <c r="X189" i="13" s="1"/>
  <c r="Y189" i="13" s="1"/>
  <c r="AB158" i="13"/>
  <c r="W158" i="13"/>
  <c r="X158" i="13" s="1"/>
  <c r="Y158" i="13" s="1"/>
  <c r="W49" i="13"/>
  <c r="X49" i="13" s="1"/>
  <c r="Y49" i="13" s="1"/>
  <c r="AB49" i="13"/>
  <c r="W115" i="13"/>
  <c r="X115" i="13" s="1"/>
  <c r="Y115" i="13" s="1"/>
  <c r="AB115" i="13"/>
  <c r="AB167" i="13"/>
  <c r="W167" i="13"/>
  <c r="X167" i="13" s="1"/>
  <c r="Y167" i="13" s="1"/>
  <c r="W44" i="13"/>
  <c r="X44" i="13" s="1"/>
  <c r="Y44" i="13" s="1"/>
  <c r="AB44" i="13"/>
  <c r="W187" i="13"/>
  <c r="X187" i="13" s="1"/>
  <c r="Y187" i="13" s="1"/>
  <c r="AB187" i="13"/>
  <c r="AB42" i="13"/>
  <c r="W42" i="13"/>
  <c r="AB150" i="13"/>
  <c r="W150" i="13"/>
  <c r="X150" i="13" s="1"/>
  <c r="Y150" i="13" s="1"/>
  <c r="AB181" i="13"/>
  <c r="W181" i="13"/>
  <c r="X181" i="13" s="1"/>
  <c r="Y181" i="13" s="1"/>
  <c r="AB135" i="13"/>
  <c r="AC135" i="13" s="1"/>
  <c r="W135" i="13"/>
  <c r="W38" i="13"/>
  <c r="X20" i="13"/>
  <c r="AB100" i="13"/>
  <c r="W100" i="13"/>
  <c r="X100" i="13" s="1"/>
  <c r="Y100" i="13" s="1"/>
  <c r="W156" i="13"/>
  <c r="X156" i="13" s="1"/>
  <c r="Y156" i="13" s="1"/>
  <c r="AB156" i="13"/>
  <c r="AB102" i="13"/>
  <c r="W102" i="13"/>
  <c r="X102" i="13" s="1"/>
  <c r="Y102" i="13" s="1"/>
  <c r="W101" i="13"/>
  <c r="X101" i="13" s="1"/>
  <c r="Y101" i="13" s="1"/>
  <c r="AB101" i="13"/>
  <c r="AB109" i="13"/>
  <c r="W109" i="13"/>
  <c r="X109" i="13" s="1"/>
  <c r="Y109" i="13" s="1"/>
  <c r="AB172" i="13"/>
  <c r="W172" i="13"/>
  <c r="X172" i="13" s="1"/>
  <c r="Y172" i="13" s="1"/>
  <c r="W79" i="13"/>
  <c r="X79" i="13" s="1"/>
  <c r="Y79" i="13" s="1"/>
  <c r="AB79" i="13"/>
  <c r="AB106" i="13"/>
  <c r="W106" i="13"/>
  <c r="X106" i="13" s="1"/>
  <c r="Y106" i="13" s="1"/>
  <c r="W85" i="13"/>
  <c r="X85" i="13" s="1"/>
  <c r="Y85" i="13" s="1"/>
  <c r="AB85" i="13"/>
  <c r="AB83" i="13"/>
  <c r="W83" i="13"/>
  <c r="X83" i="13" s="1"/>
  <c r="Y83" i="13" s="1"/>
  <c r="W76" i="13"/>
  <c r="X76" i="13" s="1"/>
  <c r="Y76" i="13" s="1"/>
  <c r="AB76" i="13"/>
  <c r="AB116" i="13"/>
  <c r="W116" i="13"/>
  <c r="X116" i="13" s="1"/>
  <c r="Y116" i="13" s="1"/>
  <c r="AB75" i="13"/>
  <c r="W75" i="13"/>
  <c r="X75" i="13" s="1"/>
  <c r="Y75" i="13" s="1"/>
  <c r="AB63" i="13"/>
  <c r="W63" i="13"/>
  <c r="X63" i="13" s="1"/>
  <c r="Y63" i="13" s="1"/>
  <c r="AB182" i="13"/>
  <c r="W182" i="13"/>
  <c r="X182" i="13" s="1"/>
  <c r="Y182" i="13" s="1"/>
  <c r="W147" i="13"/>
  <c r="X147" i="13" s="1"/>
  <c r="Y147" i="13" s="1"/>
  <c r="AB147" i="13"/>
  <c r="W159" i="13"/>
  <c r="X159" i="13" s="1"/>
  <c r="Y159" i="13" s="1"/>
  <c r="AB159" i="13"/>
  <c r="AB152" i="13"/>
  <c r="W152" i="13"/>
  <c r="X152" i="13" s="1"/>
  <c r="Y152" i="13" s="1"/>
  <c r="W176" i="13"/>
  <c r="X176" i="13" s="1"/>
  <c r="Y176" i="13" s="1"/>
  <c r="AB176" i="13"/>
  <c r="W51" i="13"/>
  <c r="X51" i="13" s="1"/>
  <c r="Y51" i="13" s="1"/>
  <c r="AB51" i="13"/>
  <c r="AB136" i="13"/>
  <c r="AC136" i="13" s="1"/>
  <c r="W136" i="13"/>
  <c r="X136" i="13" s="1"/>
  <c r="Y136" i="13" s="1"/>
  <c r="AB84" i="13"/>
  <c r="W84" i="13"/>
  <c r="X84" i="13" s="1"/>
  <c r="Y84" i="13" s="1"/>
  <c r="AB196" i="13"/>
  <c r="W196" i="13"/>
  <c r="X196" i="13" s="1"/>
  <c r="Y196" i="13" s="1"/>
  <c r="AB107" i="13"/>
  <c r="W107" i="13"/>
  <c r="X107" i="13" s="1"/>
  <c r="Y107" i="13" s="1"/>
  <c r="AB166" i="13"/>
  <c r="W166" i="13"/>
  <c r="X166" i="13" s="1"/>
  <c r="Y166" i="13" s="1"/>
  <c r="AB180" i="13"/>
  <c r="W180" i="13"/>
  <c r="X180" i="13" s="1"/>
  <c r="Y180" i="13" s="1"/>
  <c r="Y20" i="13" l="1"/>
  <c r="Y38" i="13" s="1"/>
  <c r="X38" i="13"/>
  <c r="W131" i="13"/>
  <c r="X42" i="13"/>
  <c r="W212" i="13"/>
  <c r="X135" i="13"/>
  <c r="W217" i="13" l="1"/>
  <c r="X131" i="13"/>
  <c r="Y42" i="13"/>
  <c r="Y131" i="13" s="1"/>
  <c r="AA132" i="13" s="1"/>
  <c r="X212" i="13"/>
  <c r="Y135" i="13"/>
  <c r="Y212" i="13" s="1"/>
  <c r="Y217" i="13" l="1"/>
  <c r="X217" i="13"/>
</calcChain>
</file>

<file path=xl/comments1.xml><?xml version="1.0" encoding="utf-8"?>
<comments xmlns="http://schemas.openxmlformats.org/spreadsheetml/2006/main">
  <authors>
    <author>Allied Waste</author>
  </authors>
  <commentList>
    <comment ref="L5" authorId="0">
      <text>
        <r>
          <rPr>
            <b/>
            <sz val="8"/>
            <color indexed="81"/>
            <rFont val="Tahoma"/>
            <family val="2"/>
          </rPr>
          <t>Allied Waste: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These are regulated garbage disposal tons
</t>
        </r>
      </text>
    </comment>
  </commentList>
</comments>
</file>

<file path=xl/sharedStrings.xml><?xml version="1.0" encoding="utf-8"?>
<sst xmlns="http://schemas.openxmlformats.org/spreadsheetml/2006/main" count="633" uniqueCount="353">
  <si>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</si>
  <si>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</si>
  <si>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</si>
  <si>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</si>
  <si>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</si>
  <si>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</si>
  <si>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</si>
  <si>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</si>
  <si>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</si>
  <si>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</si>
  <si>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</si>
  <si>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</si>
  <si>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</si>
  <si>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</si>
  <si>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</si>
  <si>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</si>
  <si>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</si>
  <si>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</si>
  <si>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</si>
  <si>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</si>
  <si>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</si>
  <si>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</si>
  <si>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</si>
  <si>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</si>
  <si>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</si>
  <si>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</si>
  <si>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</si>
  <si>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</si>
  <si>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</si>
  <si>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</si>
  <si>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</si>
  <si>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</si>
  <si>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</si>
  <si>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</si>
  <si>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</si>
  <si>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</si>
  <si>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</si>
  <si>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</si>
  <si>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</si>
  <si>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</si>
  <si>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</si>
  <si>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</si>
  <si>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</si>
  <si>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</si>
  <si>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 xml:space="preserve"> Company Over/(Under) collecting</t>
  </si>
  <si>
    <t>Tariff Rate Increase</t>
  </si>
  <si>
    <t>Company Increased Revenue</t>
  </si>
  <si>
    <t>Revised Tariff Rate</t>
  </si>
  <si>
    <t>Revised Revenue Increase</t>
  </si>
  <si>
    <t>Revised Revenue</t>
  </si>
  <si>
    <t>1 unit</t>
  </si>
  <si>
    <t>2 units</t>
  </si>
  <si>
    <t>3 units</t>
  </si>
  <si>
    <t>n/a</t>
  </si>
  <si>
    <t>Revenue from Revised Rates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</si>
  <si>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</si>
  <si>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</si>
  <si>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</si>
  <si>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</si>
  <si>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</si>
  <si>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</si>
  <si>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</si>
  <si>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</si>
  <si>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</si>
  <si>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</si>
  <si>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</si>
  <si>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</si>
  <si>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</si>
  <si>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</si>
  <si>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</si>
  <si>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</si>
  <si>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</si>
  <si>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</si>
  <si>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</si>
  <si>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</si>
  <si>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</si>
  <si>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</si>
  <si>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</si>
  <si>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</si>
  <si>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</si>
  <si>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</si>
  <si>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</si>
  <si>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</si>
  <si>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</si>
  <si>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</si>
  <si>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</si>
  <si>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</si>
  <si>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</si>
  <si>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</si>
  <si>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</si>
  <si>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</si>
  <si>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</si>
  <si>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</si>
  <si>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</si>
  <si>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</si>
  <si>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Staff Revised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</si>
  <si>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</si>
  <si>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</si>
  <si>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</si>
  <si>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</si>
  <si>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</si>
  <si>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35 gallon Can</t>
  </si>
  <si>
    <t>Current</t>
  </si>
  <si>
    <t>Proposed</t>
  </si>
  <si>
    <t>Tariff</t>
  </si>
  <si>
    <t>Company</t>
  </si>
  <si>
    <t>Proposed Increase</t>
  </si>
  <si>
    <t>Each</t>
  </si>
  <si>
    <t>1 Can Monthly</t>
  </si>
  <si>
    <t>Annual</t>
  </si>
  <si>
    <t>Unit</t>
  </si>
  <si>
    <t>Revenue</t>
  </si>
  <si>
    <t>* not on meeks - calculated by staff in previous cases</t>
  </si>
  <si>
    <t>1 Mini Can</t>
  </si>
  <si>
    <t>1 Can wk</t>
  </si>
  <si>
    <t>2  Can wk</t>
  </si>
  <si>
    <t>3 Can wk</t>
  </si>
  <si>
    <t>4 Can wk</t>
  </si>
  <si>
    <t>32 Gal Tote wk</t>
  </si>
  <si>
    <t>6 yd  On Call</t>
  </si>
  <si>
    <t>6 yd 1xweek</t>
  </si>
  <si>
    <t>6 yd 2xweek</t>
  </si>
  <si>
    <t>8 yd   On Call</t>
  </si>
  <si>
    <t>8 yd  1xweek</t>
  </si>
  <si>
    <t>8 yd  2xweek</t>
  </si>
  <si>
    <t xml:space="preserve">32 Gal Toter 1xweek </t>
  </si>
  <si>
    <t xml:space="preserve">64 Gal Toter 1xweek  </t>
  </si>
  <si>
    <t>96 Gal Toter 1xweek</t>
  </si>
  <si>
    <t>1 yd  1xweek</t>
  </si>
  <si>
    <t>2yd On Call</t>
  </si>
  <si>
    <t>2 yd 1xweek</t>
  </si>
  <si>
    <t>2 yd 2xweek</t>
  </si>
  <si>
    <t>3 yd  On Call</t>
  </si>
  <si>
    <t>3 yd 1xweek</t>
  </si>
  <si>
    <t>3 yd 2xweek</t>
  </si>
  <si>
    <t>3 yd 3xweek</t>
  </si>
  <si>
    <t>4 yd On Call</t>
  </si>
  <si>
    <t>4 yd 1xweek</t>
  </si>
  <si>
    <t>4 yd 2xweek</t>
  </si>
  <si>
    <t>4 yd 3xweek</t>
  </si>
  <si>
    <t>Multi-Family</t>
  </si>
  <si>
    <t>King County</t>
  </si>
  <si>
    <t>20 Gallon Can</t>
  </si>
  <si>
    <t>1 Can</t>
  </si>
  <si>
    <t>2 Can</t>
  </si>
  <si>
    <t>3 Can</t>
  </si>
  <si>
    <t>32 Gal Toter</t>
  </si>
  <si>
    <t>64 Gal Toter</t>
  </si>
  <si>
    <t>96 Gal Toter</t>
  </si>
  <si>
    <t>4 Can</t>
  </si>
  <si>
    <t>32 Gallon First Pickup</t>
  </si>
  <si>
    <t>96 Gallon First Pickup</t>
  </si>
  <si>
    <t>1 Yard First Pickup</t>
  </si>
  <si>
    <t>1.5 Yard First Pickup</t>
  </si>
  <si>
    <t>2 Yard First Pickup</t>
  </si>
  <si>
    <t>3 Yard First Pickup</t>
  </si>
  <si>
    <t>4 Yard First Pickup</t>
  </si>
  <si>
    <t>6 Yard First Pickup</t>
  </si>
  <si>
    <t>8 Yard First Pickup</t>
  </si>
  <si>
    <t>5 Can wk</t>
  </si>
  <si>
    <t>6 Can wk</t>
  </si>
  <si>
    <t>64 Gal Tote wk</t>
  </si>
  <si>
    <t>96 Gal Tote wk</t>
  </si>
  <si>
    <t>Adj Factor</t>
  </si>
  <si>
    <t>C.O.S.</t>
  </si>
  <si>
    <t>INPUTS</t>
  </si>
  <si>
    <t>RES/COMM</t>
  </si>
  <si>
    <t>COMM'L</t>
  </si>
  <si>
    <t>DROPBOX</t>
  </si>
  <si>
    <t>TOTAL ALL SERVICES</t>
  </si>
  <si>
    <t xml:space="preserve"> RESIDENTIAL</t>
  </si>
  <si>
    <t xml:space="preserve"> COMM. CANS</t>
  </si>
  <si>
    <t>Current Disposal Rate</t>
  </si>
  <si>
    <t>Current B&amp;O Tax Rate</t>
  </si>
  <si>
    <t xml:space="preserve"> CONTAINERS</t>
  </si>
  <si>
    <t>Current WUTC Fee Rate</t>
  </si>
  <si>
    <t>Difference</t>
  </si>
  <si>
    <t>Total Revenue Tax</t>
  </si>
  <si>
    <t>Per Lb Difference</t>
  </si>
  <si>
    <t>No. of</t>
  </si>
  <si>
    <t>Pickup</t>
  </si>
  <si>
    <t xml:space="preserve">Current </t>
  </si>
  <si>
    <t>adjust</t>
  </si>
  <si>
    <t>Calculated</t>
  </si>
  <si>
    <t>Actual</t>
  </si>
  <si>
    <t xml:space="preserve"> </t>
  </si>
  <si>
    <t>Cust.</t>
  </si>
  <si>
    <t>Freq</t>
  </si>
  <si>
    <t>Monthly</t>
  </si>
  <si>
    <t>Lbs.</t>
  </si>
  <si>
    <t xml:space="preserve">unit </t>
  </si>
  <si>
    <t>Disposal</t>
  </si>
  <si>
    <t xml:space="preserve">PER </t>
  </si>
  <si>
    <t>PER</t>
  </si>
  <si>
    <t>Rev Tax</t>
  </si>
  <si>
    <t>TOTAL</t>
  </si>
  <si>
    <t>Current Rates</t>
  </si>
  <si>
    <t>Per</t>
  </si>
  <si>
    <t>Tons</t>
  </si>
  <si>
    <t>PICKUP</t>
  </si>
  <si>
    <t>MONTH</t>
  </si>
  <si>
    <t>Impact</t>
  </si>
  <si>
    <t xml:space="preserve">MONTHLY </t>
  </si>
  <si>
    <t>w/Disposal Increase</t>
  </si>
  <si>
    <t>Monthly Revenue</t>
  </si>
  <si>
    <t>Annual Revenue</t>
  </si>
  <si>
    <t>Annual Disposal</t>
  </si>
  <si>
    <t>Year</t>
  </si>
  <si>
    <t>Rate</t>
  </si>
  <si>
    <t>CHANGE</t>
  </si>
  <si>
    <t xml:space="preserve">RESIDENTIAL </t>
  </si>
  <si>
    <t>Mini Can Rental</t>
  </si>
  <si>
    <t>1 Can Rental</t>
  </si>
  <si>
    <t>32 Gal Toter Rental</t>
  </si>
  <si>
    <t>total residential</t>
  </si>
  <si>
    <t>#</t>
  </si>
  <si>
    <t>pu</t>
  </si>
  <si>
    <t>yds</t>
  </si>
  <si>
    <t>1 yd  on call</t>
  </si>
  <si>
    <t>1.5 yd On Call</t>
  </si>
  <si>
    <t>1.5 yd 1xweek</t>
  </si>
  <si>
    <t>1.5 yd 2xweek</t>
  </si>
  <si>
    <t>1.5 yd 3xweek</t>
  </si>
  <si>
    <t>2 yd Comp Week (5x Comp)</t>
  </si>
  <si>
    <t>2 yd 3xweek</t>
  </si>
  <si>
    <t>2 yd 4xweek</t>
  </si>
  <si>
    <t>3 yd Comp Week</t>
  </si>
  <si>
    <t>3 yd Comp Week (5x Comp)</t>
  </si>
  <si>
    <t>4 yd Comp Week</t>
  </si>
  <si>
    <t>4 yd Comp Week (5x Comp)</t>
  </si>
  <si>
    <t>4 yd 4xweek</t>
  </si>
  <si>
    <t>5 yd Comp Week</t>
  </si>
  <si>
    <t>5 yd Comp Week (5x Comp)</t>
  </si>
  <si>
    <t>6 yd Comp Week</t>
  </si>
  <si>
    <t>6 yd Comp Week (5x Comp)</t>
  </si>
  <si>
    <t>6 yd 3xweek</t>
  </si>
  <si>
    <t>6 yd 4xweek</t>
  </si>
  <si>
    <t>8 yd  3xweek</t>
  </si>
  <si>
    <t>8 yd  4xweek</t>
  </si>
  <si>
    <t>8 yd  5xweek</t>
  </si>
  <si>
    <t>32 Gal Toter Rent</t>
  </si>
  <si>
    <t>64 Gal Toter Rent</t>
  </si>
  <si>
    <t>96 Gal Toter Rent</t>
  </si>
  <si>
    <t>1 yd Rent</t>
  </si>
  <si>
    <t>1.5 yd Rent</t>
  </si>
  <si>
    <t>2 yd Rent</t>
  </si>
  <si>
    <t>3 yd Rent</t>
  </si>
  <si>
    <t>4 yd Rent</t>
  </si>
  <si>
    <t>6 yd Rent</t>
  </si>
  <si>
    <t>8 yd Rent</t>
  </si>
  <si>
    <t>1 Yard Special Pickup</t>
  </si>
  <si>
    <t>2 Yard Special Pickup</t>
  </si>
  <si>
    <t>3 Yard Special Pickup</t>
  </si>
  <si>
    <t>4 Yard Special Pickup</t>
  </si>
  <si>
    <t>6 Yard Special Pickup</t>
  </si>
  <si>
    <t>8 Yard Special Pickup</t>
  </si>
  <si>
    <t>Alternative to 32 Gal. - Blue Bag</t>
  </si>
  <si>
    <t>Fiorito dba Kent Maridian Disposal</t>
  </si>
  <si>
    <t>Kent-Meridian Disposal</t>
  </si>
  <si>
    <t>Tariff 27</t>
  </si>
  <si>
    <t>64 Gal Toter Rental</t>
  </si>
  <si>
    <t>96 Gal Toter Rental</t>
  </si>
  <si>
    <t>COMMERCIAL-Tariff 27</t>
  </si>
  <si>
    <t>2 yd Comp Week</t>
  </si>
  <si>
    <t>4 yd 5xweek</t>
  </si>
  <si>
    <t>1.25 yd Rent</t>
  </si>
  <si>
    <t xml:space="preserve">  Commercial Subtotal-Tariff 27 </t>
  </si>
  <si>
    <t>Multi-Family-Tariff 27</t>
  </si>
  <si>
    <t>1.5 yd on call</t>
  </si>
  <si>
    <t xml:space="preserve">  Multi-Family Subtotal-Tariff 27 </t>
  </si>
  <si>
    <t>no customers</t>
  </si>
  <si>
    <t>32 Gallon or Bag, Extra</t>
  </si>
  <si>
    <t>20 Gallon</t>
  </si>
  <si>
    <t>64 Gallon</t>
  </si>
  <si>
    <t>20 Gallon Special</t>
  </si>
  <si>
    <t>64 Gallon Special</t>
  </si>
  <si>
    <t>32 Gallon Special Pickup</t>
  </si>
  <si>
    <t>96 Gallon Special Pickup</t>
  </si>
  <si>
    <t>1.5 Yard Special Pickup</t>
  </si>
  <si>
    <t>1 Yard</t>
  </si>
  <si>
    <t>2 Yard</t>
  </si>
  <si>
    <t>3 Yard</t>
  </si>
  <si>
    <t>4 Yard</t>
  </si>
  <si>
    <t>5 Yard</t>
  </si>
  <si>
    <t>6 Yard</t>
  </si>
  <si>
    <t>Loose Material</t>
  </si>
  <si>
    <t>32 Gallon Special</t>
  </si>
  <si>
    <t>96 Gallon Special</t>
  </si>
  <si>
    <t>No Customers</t>
  </si>
  <si>
    <t>Item 105, pg 28</t>
  </si>
  <si>
    <t>DF Effective 1/1/2019</t>
  </si>
  <si>
    <t xml:space="preserve">20 Gal Toter 1xweek </t>
  </si>
  <si>
    <t>20 Gal Special</t>
  </si>
  <si>
    <t>32 Gal Special</t>
  </si>
  <si>
    <t>64 Gal Special</t>
  </si>
  <si>
    <t>96 Gal Special</t>
  </si>
  <si>
    <t>64 Gal Toter Special</t>
  </si>
  <si>
    <t>1 yd Special</t>
  </si>
  <si>
    <t>1.5 yd Special</t>
  </si>
  <si>
    <t>2 yd Special</t>
  </si>
  <si>
    <t>3 yd Special</t>
  </si>
  <si>
    <t>4 yd Special</t>
  </si>
  <si>
    <t>6 yd Special</t>
  </si>
  <si>
    <t>8 yd Special</t>
  </si>
  <si>
    <t>1 yd Temp</t>
  </si>
  <si>
    <t>1.5 yd Temp</t>
  </si>
  <si>
    <t>3 yd Temp</t>
  </si>
  <si>
    <t>2 yd Temp</t>
  </si>
  <si>
    <t>4 yd Temp</t>
  </si>
  <si>
    <t>6 yd Temp</t>
  </si>
  <si>
    <t>8 yd Temp</t>
  </si>
  <si>
    <t>1 Yard Temp</t>
  </si>
  <si>
    <t>1.5 Yard Temp</t>
  </si>
  <si>
    <t>2 Yard Temp</t>
  </si>
  <si>
    <t>3 Yard Temp</t>
  </si>
  <si>
    <t>4 Yard Temp</t>
  </si>
  <si>
    <t>6 Yard Temp</t>
  </si>
  <si>
    <t>8 Yard Temp</t>
  </si>
  <si>
    <t>1 yd Comp Week</t>
  </si>
  <si>
    <t>1 yd Comp Week (5x Comp)</t>
  </si>
  <si>
    <t>Bulky Materials</t>
  </si>
  <si>
    <t>1 yd  Comp Week</t>
  </si>
  <si>
    <t>1 yd  Comp Week Special</t>
  </si>
  <si>
    <t>2 yd Comp Week Special</t>
  </si>
  <si>
    <t>3 yd Comp Week Special</t>
  </si>
  <si>
    <t>4 yd Comp Week Special</t>
  </si>
  <si>
    <t>5 yd Comp Week Special</t>
  </si>
  <si>
    <t>6 yd Comp Week Special</t>
  </si>
  <si>
    <t>1 Yard Special</t>
  </si>
  <si>
    <t>2 Yard Special</t>
  </si>
  <si>
    <t>3 Yard Special</t>
  </si>
  <si>
    <t>4 Yard Special</t>
  </si>
  <si>
    <t>5 Yard Special</t>
  </si>
  <si>
    <t>6 Yard Special</t>
  </si>
  <si>
    <t>1 yd Comp Week (5x Comp) Special</t>
  </si>
  <si>
    <t>2 yd Comp Week (5x Comp) Special</t>
  </si>
  <si>
    <t>3 yd Comp Week (5x Comp) Special</t>
  </si>
  <si>
    <t>4 yd Comp Week (5x Comp) Special</t>
  </si>
  <si>
    <t>5 yd Comp Week (5x Comp) Special</t>
  </si>
  <si>
    <t>6 yd Comp Week (5x Comp) Special</t>
  </si>
  <si>
    <t>Jan 1, 2019 Disposal Rate</t>
  </si>
  <si>
    <t>Current Bad Debt</t>
  </si>
  <si>
    <t>Total PU</t>
  </si>
  <si>
    <t xml:space="preserve">Total </t>
  </si>
  <si>
    <t>PU</t>
  </si>
  <si>
    <t>Item 106, pg 28 Compacted</t>
  </si>
  <si>
    <t>Item 106, pg 29 Compacted</t>
  </si>
  <si>
    <t>Item 240, pg 39</t>
  </si>
  <si>
    <t>Item 245, pg 40</t>
  </si>
  <si>
    <t>Item 255, pg 42 Compacted</t>
  </si>
  <si>
    <t>Item 255, pg 41 Compacted</t>
  </si>
  <si>
    <t>Item 100, pg 21 Appendix A</t>
  </si>
  <si>
    <t>Item 100, pg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</si>
</sst>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#,##0.000_);\(#,##0.000\)"/>
    <numFmt numFmtId="173" formatCode="#,##0.0_);\(#,##0.0\)"/>
    <numFmt numFmtId="174" formatCode="0.000"/>
    <numFmt numFmtId="175" formatCode="0.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theme="3" tint="0.3999755851924192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2"/>
      <name val="Arial"/>
      <family val="2"/>
    </font>
    <font>
      <sz val="12"/>
      <name val="SWISS"/>
    </font>
    <font>
      <b/>
      <sz val="8"/>
      <color indexed="45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sz val="10"/>
      <color indexed="81"/>
      <name val="Tahoma"/>
      <family val="2"/>
    </font>
    <font>
      <sz val="8"/>
      <color rgb="FF0000FF"/>
      <name val="Arial"/>
      <family val="2"/>
    </font>
    <font>
      <sz val="8"/>
      <name val="Arial"/>
    </font>
    <font>
      <b/>
      <sz val="12"/>
      <name val="Arial"/>
      <family val="2"/>
    </font>
    <font>
      <sz val="10"/>
      <color rgb="FF0000FF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4" borderId="4" applyNumberFormat="0" applyAlignment="0" applyProtection="0"/>
    <xf numFmtId="0" fontId="32" fillId="24" borderId="4" applyNumberFormat="0" applyAlignment="0" applyProtection="0"/>
    <xf numFmtId="0" fontId="17" fillId="25" borderId="5" applyNumberFormat="0" applyAlignment="0" applyProtection="0"/>
    <xf numFmtId="0" fontId="17" fillId="26" borderId="6" applyNumberFormat="0" applyAlignment="0" applyProtection="0"/>
    <xf numFmtId="0" fontId="2" fillId="27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8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9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9" borderId="0">
      <alignment horizontal="right"/>
      <protection locked="0"/>
    </xf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3" borderId="4" applyNumberFormat="0" applyAlignment="0" applyProtection="0"/>
    <xf numFmtId="0" fontId="41" fillId="13" borderId="4" applyNumberFormat="0" applyAlignment="0" applyProtection="0"/>
    <xf numFmtId="3" fontId="10" fillId="31" borderId="0">
      <protection locked="0"/>
    </xf>
    <xf numFmtId="4" fontId="10" fillId="31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3" borderId="0" applyNumberFormat="0" applyBorder="0" applyAlignment="0" applyProtection="0"/>
    <xf numFmtId="0" fontId="43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10" borderId="15" applyNumberFormat="0" applyFont="0" applyAlignment="0" applyProtection="0"/>
    <xf numFmtId="0" fontId="18" fillId="10" borderId="15" applyNumberFormat="0" applyFont="0" applyAlignment="0" applyProtection="0"/>
    <xf numFmtId="171" fontId="44" fillId="0" borderId="0" applyNumberFormat="0"/>
    <xf numFmtId="0" fontId="29" fillId="24" borderId="16" applyNumberFormat="0" applyAlignment="0" applyProtection="0"/>
    <xf numFmtId="0" fontId="24" fillId="24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8" fillId="12" borderId="0" applyNumberFormat="0" applyBorder="0" applyAlignment="0" applyProtection="0"/>
    <xf numFmtId="0" fontId="8" fillId="32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16" borderId="0" applyNumberFormat="0" applyBorder="0" applyAlignment="0" applyProtection="0"/>
    <xf numFmtId="0" fontId="48" fillId="24" borderId="4" applyNumberFormat="0" applyAlignment="0" applyProtection="0"/>
    <xf numFmtId="0" fontId="48" fillId="12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7" applyNumberFormat="0" applyFill="0" applyAlignment="0" applyProtection="0"/>
    <xf numFmtId="0" fontId="50" fillId="0" borderId="28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9" applyNumberFormat="0" applyFill="0" applyAlignment="0" applyProtection="0"/>
    <xf numFmtId="0" fontId="52" fillId="0" borderId="30" applyNumberFormat="0" applyFill="0" applyAlignment="0" applyProtection="0"/>
    <xf numFmtId="0" fontId="53" fillId="0" borderId="31" applyNumberFormat="0" applyFill="0" applyAlignment="0" applyProtection="0"/>
    <xf numFmtId="0" fontId="54" fillId="13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10" borderId="15" applyNumberFormat="0" applyFont="0" applyAlignment="0" applyProtection="0"/>
    <xf numFmtId="0" fontId="49" fillId="10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32" applyNumberFormat="0" applyFill="0" applyAlignment="0" applyProtection="0"/>
    <xf numFmtId="0" fontId="31" fillId="0" borderId="33" applyNumberFormat="0" applyFill="0" applyAlignment="0" applyProtection="0"/>
    <xf numFmtId="0" fontId="58" fillId="0" borderId="0"/>
    <xf numFmtId="43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4" fillId="38" borderId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72" fillId="0" borderId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8" borderId="0" applyNumberFormat="0" applyBorder="0" applyAlignment="0" applyProtection="0"/>
    <xf numFmtId="0" fontId="8" fillId="34" borderId="0" applyNumberFormat="0" applyBorder="0" applyAlignment="0" applyProtection="0"/>
    <xf numFmtId="0" fontId="14" fillId="22" borderId="0" applyNumberFormat="0" applyBorder="0" applyAlignment="0" applyProtection="0"/>
    <xf numFmtId="0" fontId="14" fillId="35" borderId="0" applyNumberFormat="0" applyBorder="0" applyAlignment="0" applyProtection="0"/>
    <xf numFmtId="43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25" fillId="8" borderId="4" applyNumberFormat="0" applyAlignment="0" applyProtection="0"/>
    <xf numFmtId="0" fontId="72" fillId="10" borderId="15" applyNumberFormat="0" applyFont="0" applyAlignment="0" applyProtection="0"/>
    <xf numFmtId="0" fontId="29" fillId="12" borderId="16" applyNumberFormat="0" applyAlignment="0" applyProtection="0"/>
    <xf numFmtId="9" fontId="72" fillId="0" borderId="0" applyFont="0" applyFill="0" applyBorder="0" applyAlignment="0" applyProtection="0"/>
    <xf numFmtId="37" fontId="73" fillId="0" borderId="0"/>
  </cellStyleXfs>
  <cellXfs count="309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Font="1"/>
    <xf numFmtId="44" fontId="3" fillId="0" borderId="0" xfId="0" applyNumberFormat="1" applyFont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166" fontId="0" fillId="0" borderId="0" xfId="1" applyNumberFormat="1" applyFont="1"/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/>
    <xf numFmtId="0" fontId="3" fillId="6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43" fontId="0" fillId="0" borderId="0" xfId="1" applyFont="1" applyBorder="1" applyAlignment="1">
      <alignment horizontal="right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0" fillId="6" borderId="1" xfId="0" applyFont="1" applyFill="1" applyBorder="1" applyAlignment="1">
      <alignment vertical="center" textRotation="90"/>
    </xf>
    <xf numFmtId="0" fontId="12" fillId="6" borderId="1" xfId="4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43" fontId="0" fillId="6" borderId="1" xfId="1" applyFont="1" applyFill="1" applyBorder="1"/>
    <xf numFmtId="166" fontId="3" fillId="0" borderId="1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166" fontId="0" fillId="5" borderId="0" xfId="1" applyNumberFormat="1" applyFont="1" applyFill="1" applyBorder="1" applyAlignment="1">
      <alignment horizontal="righ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44" fontId="0" fillId="2" borderId="0" xfId="2" applyFont="1" applyFill="1" applyBorder="1"/>
    <xf numFmtId="44" fontId="3" fillId="6" borderId="1" xfId="2" applyFont="1" applyFill="1" applyBorder="1"/>
    <xf numFmtId="44" fontId="0" fillId="6" borderId="1" xfId="2" applyFont="1" applyFill="1" applyBorder="1"/>
    <xf numFmtId="44" fontId="3" fillId="0" borderId="0" xfId="2" applyFont="1" applyBorder="1" applyAlignment="1">
      <alignment horizontal="right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1" fillId="0" borderId="0" xfId="274" applyFont="1" applyBorder="1" applyAlignment="1">
      <alignment horizontal="left"/>
    </xf>
    <xf numFmtId="0" fontId="9" fillId="0" borderId="0" xfId="4" applyFont="1" applyFill="1" applyBorder="1" applyAlignment="1">
      <alignment horizontal="left"/>
    </xf>
    <xf numFmtId="44" fontId="0" fillId="0" borderId="0" xfId="2" applyFont="1" applyBorder="1"/>
    <xf numFmtId="0" fontId="3" fillId="0" borderId="20" xfId="0" applyFont="1" applyBorder="1"/>
    <xf numFmtId="0" fontId="0" fillId="6" borderId="25" xfId="0" applyFont="1" applyFill="1" applyBorder="1" applyAlignment="1">
      <alignment horizontal="center"/>
    </xf>
    <xf numFmtId="0" fontId="0" fillId="0" borderId="21" xfId="0" applyFont="1" applyBorder="1"/>
    <xf numFmtId="44" fontId="0" fillId="0" borderId="22" xfId="2" applyFont="1" applyBorder="1"/>
    <xf numFmtId="0" fontId="0" fillId="0" borderId="22" xfId="0" applyFont="1" applyBorder="1"/>
    <xf numFmtId="0" fontId="3" fillId="0" borderId="21" xfId="0" applyFont="1" applyBorder="1"/>
    <xf numFmtId="0" fontId="0" fillId="6" borderId="26" xfId="0" applyFont="1" applyFill="1" applyBorder="1" applyAlignment="1">
      <alignment horizontal="center"/>
    </xf>
    <xf numFmtId="44" fontId="1" fillId="0" borderId="22" xfId="2" applyFont="1" applyBorder="1"/>
    <xf numFmtId="0" fontId="0" fillId="0" borderId="23" xfId="0" applyFont="1" applyBorder="1" applyAlignment="1">
      <alignment horizontal="left"/>
    </xf>
    <xf numFmtId="44" fontId="0" fillId="0" borderId="24" xfId="2" applyFont="1" applyBorder="1"/>
    <xf numFmtId="164" fontId="0" fillId="0" borderId="0" xfId="0" applyNumberFormat="1" applyFont="1" applyFill="1" applyBorder="1"/>
    <xf numFmtId="0" fontId="3" fillId="6" borderId="1" xfId="0" applyFont="1" applyFill="1" applyBorder="1" applyAlignment="1">
      <alignment wrapText="1"/>
    </xf>
    <xf numFmtId="0" fontId="57" fillId="0" borderId="0" xfId="1" applyNumberFormat="1" applyFont="1" applyBorder="1" applyAlignment="1">
      <alignment horizontal="left"/>
    </xf>
    <xf numFmtId="0" fontId="0" fillId="0" borderId="0" xfId="1" applyNumberFormat="1" applyFont="1" applyBorder="1"/>
    <xf numFmtId="0" fontId="3" fillId="6" borderId="0" xfId="0" applyFont="1" applyFill="1" applyBorder="1" applyAlignment="1">
      <alignment horizontal="center" wrapText="1"/>
    </xf>
    <xf numFmtId="166" fontId="3" fillId="6" borderId="0" xfId="1" applyNumberFormat="1" applyFont="1" applyFill="1" applyBorder="1" applyAlignment="1">
      <alignment horizontal="center" wrapText="1"/>
    </xf>
    <xf numFmtId="43" fontId="0" fillId="0" borderId="0" xfId="1" applyNumberFormat="1" applyFont="1" applyBorder="1"/>
    <xf numFmtId="0" fontId="59" fillId="0" borderId="0" xfId="389" applyFont="1" applyFill="1" applyBorder="1"/>
    <xf numFmtId="43" fontId="1" fillId="0" borderId="0" xfId="1" applyFont="1"/>
    <xf numFmtId="0" fontId="59" fillId="0" borderId="0" xfId="390" applyFont="1"/>
    <xf numFmtId="0" fontId="60" fillId="0" borderId="0" xfId="389" applyFont="1" applyBorder="1"/>
    <xf numFmtId="43" fontId="49" fillId="0" borderId="0" xfId="1" applyFont="1" applyFill="1" applyBorder="1"/>
    <xf numFmtId="43" fontId="2" fillId="0" borderId="0" xfId="1" applyFont="1"/>
    <xf numFmtId="0" fontId="2" fillId="0" borderId="0" xfId="390"/>
    <xf numFmtId="43" fontId="59" fillId="0" borderId="0" xfId="1" applyFont="1" applyFill="1" applyAlignment="1">
      <alignment horizontal="center"/>
    </xf>
    <xf numFmtId="43" fontId="59" fillId="0" borderId="0" xfId="1" applyFont="1" applyAlignment="1">
      <alignment horizontal="center"/>
    </xf>
    <xf numFmtId="0" fontId="2" fillId="0" borderId="0" xfId="390" applyAlignment="1">
      <alignment horizontal="center"/>
    </xf>
    <xf numFmtId="14" fontId="3" fillId="0" borderId="0" xfId="1" applyNumberFormat="1" applyFont="1" applyAlignment="1">
      <alignment horizontal="center"/>
    </xf>
    <xf numFmtId="43" fontId="2" fillId="0" borderId="0" xfId="1" applyFont="1" applyFill="1"/>
    <xf numFmtId="0" fontId="2" fillId="0" borderId="0" xfId="390" applyFill="1"/>
    <xf numFmtId="0" fontId="2" fillId="0" borderId="0" xfId="390" applyFont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/>
    <xf numFmtId="166" fontId="3" fillId="6" borderId="1" xfId="1" applyNumberFormat="1" applyFont="1" applyFill="1" applyBorder="1" applyAlignment="1">
      <alignment horizontal="left" wrapText="1" indent="2"/>
    </xf>
    <xf numFmtId="166" fontId="0" fillId="6" borderId="1" xfId="1" applyNumberFormat="1" applyFont="1" applyFill="1" applyBorder="1" applyAlignment="1">
      <alignment horizontal="left" indent="2"/>
    </xf>
    <xf numFmtId="166" fontId="3" fillId="6" borderId="1" xfId="1" applyNumberFormat="1" applyFont="1" applyFill="1" applyBorder="1" applyAlignment="1">
      <alignment horizontal="left" indent="2"/>
    </xf>
    <xf numFmtId="166" fontId="3" fillId="0" borderId="0" xfId="1" applyNumberFormat="1" applyFont="1" applyBorder="1" applyAlignment="1">
      <alignment horizontal="left" indent="2"/>
    </xf>
    <xf numFmtId="166" fontId="0" fillId="0" borderId="0" xfId="1" applyNumberFormat="1" applyFont="1" applyBorder="1" applyAlignment="1">
      <alignment horizontal="left" indent="2"/>
    </xf>
    <xf numFmtId="166" fontId="0" fillId="0" borderId="0" xfId="1" applyNumberFormat="1" applyFont="1" applyFill="1" applyBorder="1" applyAlignment="1">
      <alignment horizontal="left" indent="2"/>
    </xf>
    <xf numFmtId="166" fontId="11" fillId="0" borderId="0" xfId="1" applyNumberFormat="1" applyFont="1" applyFill="1" applyBorder="1" applyAlignment="1">
      <alignment horizontal="left" indent="2"/>
    </xf>
    <xf numFmtId="0" fontId="0" fillId="0" borderId="0" xfId="0" applyFont="1" applyAlignment="1">
      <alignment horizontal="left" vertical="top" indent="1"/>
    </xf>
    <xf numFmtId="0" fontId="0" fillId="0" borderId="0" xfId="0" applyFont="1" applyFill="1" applyBorder="1" applyAlignment="1">
      <alignment vertical="center"/>
    </xf>
    <xf numFmtId="166" fontId="11" fillId="0" borderId="0" xfId="373" applyNumberFormat="1" applyFont="1"/>
    <xf numFmtId="37" fontId="11" fillId="0" borderId="0" xfId="4" applyNumberFormat="1" applyFont="1" applyAlignment="1" applyProtection="1">
      <alignment horizontal="right"/>
    </xf>
    <xf numFmtId="166" fontId="11" fillId="0" borderId="0" xfId="1" applyNumberFormat="1" applyFont="1" applyAlignment="1">
      <alignment horizontal="left" indent="2"/>
    </xf>
    <xf numFmtId="44" fontId="11" fillId="0" borderId="0" xfId="10" applyFont="1"/>
    <xf numFmtId="0" fontId="11" fillId="0" borderId="0" xfId="4" applyFont="1" applyFill="1" applyBorder="1" applyAlignment="1">
      <alignment horizontal="left"/>
    </xf>
    <xf numFmtId="166" fontId="11" fillId="0" borderId="0" xfId="1" applyNumberFormat="1" applyFont="1"/>
    <xf numFmtId="166" fontId="11" fillId="0" borderId="0" xfId="1" applyNumberFormat="1" applyFont="1" applyFill="1"/>
    <xf numFmtId="166" fontId="11" fillId="0" borderId="0" xfId="1" applyNumberFormat="1" applyFont="1" applyFill="1" applyAlignment="1">
      <alignment horizontal="left" indent="2"/>
    </xf>
    <xf numFmtId="44" fontId="0" fillId="0" borderId="0" xfId="0" applyNumberFormat="1" applyFont="1" applyFill="1" applyBorder="1"/>
    <xf numFmtId="44" fontId="3" fillId="6" borderId="1" xfId="2" applyFont="1" applyFill="1" applyBorder="1" applyAlignment="1">
      <alignment horizontal="right"/>
    </xf>
    <xf numFmtId="0" fontId="0" fillId="0" borderId="0" xfId="0" applyFont="1" applyBorder="1" applyAlignment="1">
      <alignment horizontal="left" vertical="top" indent="1"/>
    </xf>
    <xf numFmtId="166" fontId="11" fillId="0" borderId="0" xfId="373" applyNumberFormat="1" applyFont="1" applyBorder="1"/>
    <xf numFmtId="37" fontId="11" fillId="0" borderId="0" xfId="4" applyNumberFormat="1" applyFont="1" applyBorder="1" applyAlignment="1" applyProtection="1">
      <alignment horizontal="right"/>
    </xf>
    <xf numFmtId="166" fontId="11" fillId="0" borderId="0" xfId="1" applyNumberFormat="1" applyFont="1" applyBorder="1" applyAlignment="1">
      <alignment horizontal="left" indent="2"/>
    </xf>
    <xf numFmtId="44" fontId="11" fillId="0" borderId="0" xfId="10" applyFont="1" applyBorder="1"/>
    <xf numFmtId="0" fontId="11" fillId="0" borderId="0" xfId="0" applyFont="1"/>
    <xf numFmtId="44" fontId="63" fillId="0" borderId="0" xfId="2" applyFont="1" applyFill="1" applyAlignment="1">
      <alignment horizontal="center"/>
    </xf>
    <xf numFmtId="0" fontId="49" fillId="0" borderId="0" xfId="4" applyFont="1" applyFill="1" applyAlignment="1">
      <alignment horizontal="left"/>
    </xf>
    <xf numFmtId="3" fontId="63" fillId="0" borderId="0" xfId="4" applyNumberFormat="1" applyFont="1" applyFill="1" applyAlignment="1">
      <alignment horizontal="center"/>
    </xf>
    <xf numFmtId="0" fontId="49" fillId="0" borderId="0" xfId="391" applyNumberFormat="1" applyFont="1" applyFill="1"/>
    <xf numFmtId="41" fontId="49" fillId="0" borderId="0" xfId="391" applyNumberFormat="1" applyFont="1" applyFill="1"/>
    <xf numFmtId="0" fontId="49" fillId="0" borderId="0" xfId="391" applyNumberFormat="1" applyFont="1" applyFill="1" applyBorder="1"/>
    <xf numFmtId="0" fontId="49" fillId="0" borderId="0" xfId="391" applyNumberFormat="1" applyFont="1" applyFill="1" applyAlignment="1">
      <alignment horizontal="center"/>
    </xf>
    <xf numFmtId="37" fontId="49" fillId="0" borderId="0" xfId="391" applyNumberFormat="1" applyFont="1" applyFill="1"/>
    <xf numFmtId="172" fontId="49" fillId="0" borderId="0" xfId="391" applyNumberFormat="1" applyFont="1" applyFill="1"/>
    <xf numFmtId="166" fontId="49" fillId="0" borderId="0" xfId="1" applyNumberFormat="1" applyFont="1" applyFill="1"/>
    <xf numFmtId="43" fontId="49" fillId="0" borderId="0" xfId="1" applyFont="1" applyFill="1"/>
    <xf numFmtId="43" fontId="49" fillId="0" borderId="0" xfId="391" applyNumberFormat="1" applyFont="1" applyFill="1"/>
    <xf numFmtId="3" fontId="49" fillId="0" borderId="0" xfId="391" applyNumberFormat="1" applyFont="1" applyFill="1"/>
    <xf numFmtId="37" fontId="63" fillId="0" borderId="0" xfId="391" applyNumberFormat="1" applyFont="1" applyFill="1"/>
    <xf numFmtId="37" fontId="65" fillId="0" borderId="0" xfId="391" applyNumberFormat="1" applyFont="1" applyFill="1"/>
    <xf numFmtId="0" fontId="49" fillId="0" borderId="34" xfId="391" applyNumberFormat="1" applyFont="1" applyFill="1" applyBorder="1"/>
    <xf numFmtId="37" fontId="49" fillId="0" borderId="34" xfId="391" applyNumberFormat="1" applyFont="1" applyFill="1" applyBorder="1"/>
    <xf numFmtId="37" fontId="49" fillId="0" borderId="34" xfId="391" applyNumberFormat="1" applyFont="1" applyFill="1" applyBorder="1" applyAlignment="1"/>
    <xf numFmtId="41" fontId="49" fillId="0" borderId="34" xfId="391" applyNumberFormat="1" applyFont="1" applyFill="1" applyBorder="1"/>
    <xf numFmtId="0" fontId="49" fillId="0" borderId="35" xfId="391" applyNumberFormat="1" applyFont="1" applyFill="1" applyBorder="1"/>
    <xf numFmtId="10" fontId="49" fillId="0" borderId="0" xfId="3" applyNumberFormat="1" applyFont="1" applyFill="1"/>
    <xf numFmtId="166" fontId="49" fillId="0" borderId="0" xfId="1" applyNumberFormat="1" applyFont="1" applyFill="1" applyAlignment="1">
      <alignment horizontal="center"/>
    </xf>
    <xf numFmtId="0" fontId="49" fillId="0" borderId="36" xfId="391" applyNumberFormat="1" applyFont="1" applyFill="1" applyBorder="1"/>
    <xf numFmtId="0" fontId="49" fillId="0" borderId="0" xfId="391" applyNumberFormat="1" applyFont="1" applyFill="1" applyAlignment="1">
      <alignment horizontal="right"/>
    </xf>
    <xf numFmtId="44" fontId="49" fillId="4" borderId="37" xfId="2" applyFont="1" applyFill="1" applyBorder="1"/>
    <xf numFmtId="168" fontId="49" fillId="4" borderId="37" xfId="391" applyNumberFormat="1" applyFont="1" applyFill="1" applyBorder="1"/>
    <xf numFmtId="37" fontId="49" fillId="0" borderId="0" xfId="391" applyNumberFormat="1" applyFont="1" applyFill="1" applyBorder="1"/>
    <xf numFmtId="41" fontId="49" fillId="0" borderId="0" xfId="391" applyNumberFormat="1" applyFont="1" applyFill="1" applyBorder="1"/>
    <xf numFmtId="0" fontId="49" fillId="0" borderId="0" xfId="391" applyNumberFormat="1" applyFont="1" applyFill="1" applyBorder="1" applyAlignment="1">
      <alignment horizontal="right"/>
    </xf>
    <xf numFmtId="166" fontId="65" fillId="0" borderId="0" xfId="1" applyNumberFormat="1" applyFont="1" applyFill="1" applyAlignment="1">
      <alignment horizontal="center"/>
    </xf>
    <xf numFmtId="44" fontId="49" fillId="0" borderId="0" xfId="2" applyFont="1" applyFill="1"/>
    <xf numFmtId="0" fontId="49" fillId="0" borderId="2" xfId="391" applyNumberFormat="1" applyFont="1" applyFill="1" applyBorder="1"/>
    <xf numFmtId="37" fontId="66" fillId="0" borderId="2" xfId="391" applyNumberFormat="1" applyFont="1" applyFill="1" applyBorder="1"/>
    <xf numFmtId="166" fontId="66" fillId="0" borderId="2" xfId="1" applyNumberFormat="1" applyFont="1" applyFill="1" applyBorder="1"/>
    <xf numFmtId="41" fontId="66" fillId="0" borderId="2" xfId="391" applyNumberFormat="1" applyFont="1" applyFill="1" applyBorder="1"/>
    <xf numFmtId="165" fontId="49" fillId="0" borderId="0" xfId="2" applyNumberFormat="1" applyFont="1" applyFill="1"/>
    <xf numFmtId="0" fontId="49" fillId="0" borderId="38" xfId="391" applyNumberFormat="1" applyFont="1" applyFill="1" applyBorder="1"/>
    <xf numFmtId="2" fontId="49" fillId="0" borderId="0" xfId="391" applyNumberFormat="1" applyFont="1" applyFill="1" applyAlignment="1">
      <alignment horizontal="center"/>
    </xf>
    <xf numFmtId="41" fontId="49" fillId="0" borderId="0" xfId="391" applyNumberFormat="1" applyFont="1" applyFill="1" applyAlignment="1">
      <alignment horizontal="center"/>
    </xf>
    <xf numFmtId="0" fontId="49" fillId="39" borderId="39" xfId="391" applyNumberFormat="1" applyFont="1" applyFill="1" applyBorder="1"/>
    <xf numFmtId="0" fontId="49" fillId="0" borderId="39" xfId="391" applyNumberFormat="1" applyFont="1" applyFill="1" applyBorder="1"/>
    <xf numFmtId="0" fontId="49" fillId="39" borderId="40" xfId="391" applyNumberFormat="1" applyFont="1" applyFill="1" applyBorder="1" applyAlignment="1">
      <alignment horizontal="center"/>
    </xf>
    <xf numFmtId="0" fontId="60" fillId="39" borderId="40" xfId="391" applyNumberFormat="1" applyFont="1" applyFill="1" applyBorder="1" applyAlignment="1">
      <alignment horizontal="center"/>
    </xf>
    <xf numFmtId="0" fontId="49" fillId="0" borderId="40" xfId="391" applyNumberFormat="1" applyFont="1" applyFill="1" applyBorder="1" applyAlignment="1">
      <alignment horizontal="center"/>
    </xf>
    <xf numFmtId="37" fontId="49" fillId="0" borderId="0" xfId="391" applyNumberFormat="1" applyFont="1" applyFill="1" applyAlignment="1">
      <alignment horizontal="center"/>
    </xf>
    <xf numFmtId="0" fontId="49" fillId="39" borderId="41" xfId="391" applyNumberFormat="1" applyFont="1" applyFill="1" applyBorder="1"/>
    <xf numFmtId="0" fontId="60" fillId="39" borderId="41" xfId="391" applyNumberFormat="1" applyFont="1" applyFill="1" applyBorder="1" applyAlignment="1">
      <alignment horizontal="center"/>
    </xf>
    <xf numFmtId="0" fontId="49" fillId="0" borderId="41" xfId="391" applyNumberFormat="1" applyFont="1" applyFill="1" applyBorder="1"/>
    <xf numFmtId="0" fontId="49" fillId="0" borderId="41" xfId="391" applyNumberFormat="1" applyFont="1" applyFill="1" applyBorder="1" applyAlignment="1">
      <alignment horizontal="center"/>
    </xf>
    <xf numFmtId="37" fontId="66" fillId="0" borderId="0" xfId="391" applyNumberFormat="1" applyFont="1" applyFill="1" applyBorder="1"/>
    <xf numFmtId="41" fontId="66" fillId="0" borderId="0" xfId="391" applyNumberFormat="1" applyFont="1" applyFill="1" applyBorder="1"/>
    <xf numFmtId="0" fontId="49" fillId="0" borderId="42" xfId="391" applyNumberFormat="1" applyFont="1" applyFill="1" applyBorder="1"/>
    <xf numFmtId="43" fontId="63" fillId="0" borderId="0" xfId="1" applyFont="1" applyFill="1" applyProtection="1"/>
    <xf numFmtId="2" fontId="49" fillId="0" borderId="0" xfId="391" applyNumberFormat="1" applyFont="1" applyFill="1"/>
    <xf numFmtId="44" fontId="49" fillId="0" borderId="0" xfId="391" applyNumberFormat="1" applyFont="1" applyFill="1"/>
    <xf numFmtId="44" fontId="49" fillId="0" borderId="43" xfId="391" applyNumberFormat="1" applyFont="1" applyFill="1" applyBorder="1"/>
    <xf numFmtId="164" fontId="49" fillId="0" borderId="0" xfId="391" applyNumberFormat="1" applyFont="1" applyFill="1"/>
    <xf numFmtId="164" fontId="49" fillId="0" borderId="0" xfId="2" applyNumberFormat="1" applyFont="1" applyFill="1"/>
    <xf numFmtId="164" fontId="49" fillId="0" borderId="36" xfId="391" applyNumberFormat="1" applyFont="1" applyFill="1" applyBorder="1"/>
    <xf numFmtId="171" fontId="49" fillId="0" borderId="0" xfId="3" applyNumberFormat="1" applyFont="1" applyFill="1" applyBorder="1"/>
    <xf numFmtId="44" fontId="67" fillId="0" borderId="0" xfId="391" applyNumberFormat="1" applyFont="1" applyFill="1"/>
    <xf numFmtId="4" fontId="63" fillId="0" borderId="0" xfId="4" applyNumberFormat="1" applyFont="1" applyFill="1" applyAlignment="1">
      <alignment horizontal="center"/>
    </xf>
    <xf numFmtId="0" fontId="63" fillId="0" borderId="0" xfId="391" applyFont="1" applyFill="1" applyAlignment="1">
      <alignment horizontal="center"/>
    </xf>
    <xf numFmtId="39" fontId="63" fillId="0" borderId="0" xfId="391" applyNumberFormat="1" applyFont="1" applyFill="1" applyAlignment="1" applyProtection="1">
      <alignment horizontal="center"/>
    </xf>
    <xf numFmtId="41" fontId="49" fillId="0" borderId="0" xfId="1" applyNumberFormat="1" applyFont="1" applyFill="1"/>
    <xf numFmtId="164" fontId="49" fillId="0" borderId="36" xfId="2" applyNumberFormat="1" applyFont="1" applyFill="1" applyBorder="1"/>
    <xf numFmtId="10" fontId="49" fillId="0" borderId="36" xfId="3" applyNumberFormat="1" applyFont="1" applyFill="1" applyBorder="1"/>
    <xf numFmtId="0" fontId="60" fillId="0" borderId="2" xfId="391" applyNumberFormat="1" applyFont="1" applyFill="1" applyBorder="1"/>
    <xf numFmtId="41" fontId="60" fillId="0" borderId="2" xfId="391" applyNumberFormat="1" applyFont="1" applyFill="1" applyBorder="1"/>
    <xf numFmtId="37" fontId="60" fillId="0" borderId="2" xfId="391" applyNumberFormat="1" applyFont="1" applyFill="1" applyBorder="1"/>
    <xf numFmtId="0" fontId="60" fillId="0" borderId="38" xfId="391" applyNumberFormat="1" applyFont="1" applyFill="1" applyBorder="1"/>
    <xf numFmtId="0" fontId="60" fillId="0" borderId="0" xfId="391" applyNumberFormat="1" applyFont="1" applyFill="1" applyBorder="1"/>
    <xf numFmtId="0" fontId="68" fillId="0" borderId="0" xfId="391" applyNumberFormat="1" applyFont="1" applyFill="1" applyAlignment="1">
      <alignment horizontal="center"/>
    </xf>
    <xf numFmtId="0" fontId="60" fillId="0" borderId="0" xfId="391" applyNumberFormat="1" applyFont="1" applyFill="1"/>
    <xf numFmtId="0" fontId="49" fillId="0" borderId="0" xfId="0" applyFont="1" applyFill="1"/>
    <xf numFmtId="37" fontId="69" fillId="0" borderId="0" xfId="4" applyNumberFormat="1" applyFont="1" applyAlignment="1" applyProtection="1"/>
    <xf numFmtId="1" fontId="63" fillId="0" borderId="0" xfId="391" applyNumberFormat="1" applyFont="1" applyFill="1" applyAlignment="1">
      <alignment horizontal="center"/>
    </xf>
    <xf numFmtId="44" fontId="63" fillId="0" borderId="0" xfId="2" applyFont="1" applyFill="1" applyAlignment="1" applyProtection="1">
      <alignment horizontal="center"/>
    </xf>
    <xf numFmtId="173" fontId="49" fillId="0" borderId="0" xfId="391" applyNumberFormat="1" applyFont="1" applyFill="1"/>
    <xf numFmtId="171" fontId="49" fillId="0" borderId="0" xfId="3" applyNumberFormat="1" applyFont="1" applyFill="1"/>
    <xf numFmtId="166" fontId="49" fillId="0" borderId="0" xfId="391" applyNumberFormat="1" applyFont="1" applyFill="1"/>
    <xf numFmtId="0" fontId="49" fillId="0" borderId="0" xfId="4" applyFont="1" applyFill="1" applyBorder="1" applyAlignment="1" applyProtection="1">
      <alignment horizontal="left"/>
    </xf>
    <xf numFmtId="37" fontId="49" fillId="0" borderId="0" xfId="391" applyNumberFormat="1" applyFont="1" applyFill="1" applyAlignment="1" applyProtection="1">
      <alignment horizontal="center"/>
    </xf>
    <xf numFmtId="4" fontId="63" fillId="0" borderId="0" xfId="4" applyNumberFormat="1" applyFont="1" applyFill="1" applyAlignment="1" applyProtection="1">
      <alignment horizontal="center"/>
    </xf>
    <xf numFmtId="174" fontId="63" fillId="0" borderId="0" xfId="391" applyNumberFormat="1" applyFont="1" applyFill="1" applyProtection="1"/>
    <xf numFmtId="0" fontId="49" fillId="0" borderId="0" xfId="4" applyFont="1" applyFill="1" applyBorder="1" applyAlignment="1" applyProtection="1">
      <alignment horizontal="center"/>
    </xf>
    <xf numFmtId="171" fontId="49" fillId="0" borderId="36" xfId="3" applyNumberFormat="1" applyFont="1" applyFill="1" applyBorder="1"/>
    <xf numFmtId="0" fontId="60" fillId="0" borderId="1" xfId="4" applyFont="1" applyFill="1" applyBorder="1" applyProtection="1"/>
    <xf numFmtId="0" fontId="68" fillId="0" borderId="0" xfId="4" applyFont="1" applyFill="1" applyBorder="1" applyAlignment="1" applyProtection="1">
      <alignment horizontal="center"/>
    </xf>
    <xf numFmtId="1" fontId="49" fillId="0" borderId="0" xfId="391" applyNumberFormat="1" applyFont="1" applyFill="1"/>
    <xf numFmtId="2" fontId="63" fillId="0" borderId="0" xfId="391" applyNumberFormat="1" applyFont="1" applyFill="1"/>
    <xf numFmtId="175" fontId="63" fillId="0" borderId="0" xfId="391" applyNumberFormat="1" applyFont="1" applyFill="1" applyAlignment="1">
      <alignment horizontal="center"/>
    </xf>
    <xf numFmtId="0" fontId="49" fillId="0" borderId="0" xfId="4" applyFont="1" applyFill="1"/>
    <xf numFmtId="41" fontId="60" fillId="0" borderId="0" xfId="391" applyNumberFormat="1" applyFont="1" applyFill="1" applyBorder="1"/>
    <xf numFmtId="37" fontId="60" fillId="0" borderId="0" xfId="391" applyNumberFormat="1" applyFont="1" applyFill="1" applyBorder="1"/>
    <xf numFmtId="0" fontId="60" fillId="0" borderId="44" xfId="391" applyNumberFormat="1" applyFont="1" applyFill="1" applyBorder="1"/>
    <xf numFmtId="0" fontId="49" fillId="0" borderId="44" xfId="391" applyNumberFormat="1" applyFont="1" applyFill="1" applyBorder="1"/>
    <xf numFmtId="43" fontId="49" fillId="0" borderId="44" xfId="391" applyNumberFormat="1" applyFont="1" applyFill="1" applyBorder="1"/>
    <xf numFmtId="37" fontId="49" fillId="0" borderId="44" xfId="391" applyNumberFormat="1" applyFont="1" applyFill="1" applyBorder="1"/>
    <xf numFmtId="164" fontId="49" fillId="0" borderId="44" xfId="2" applyNumberFormat="1" applyFont="1" applyFill="1" applyBorder="1"/>
    <xf numFmtId="164" fontId="49" fillId="0" borderId="45" xfId="2" applyNumberFormat="1" applyFont="1" applyFill="1" applyBorder="1"/>
    <xf numFmtId="0" fontId="0" fillId="0" borderId="0" xfId="0" applyFont="1" applyFill="1" applyBorder="1" applyAlignment="1">
      <alignment horizontal="center" vertical="center" textRotation="90"/>
    </xf>
    <xf numFmtId="0" fontId="59" fillId="0" borderId="0" xfId="390" applyFont="1" applyFill="1"/>
    <xf numFmtId="37" fontId="49" fillId="0" borderId="0" xfId="4" applyNumberFormat="1" applyFont="1" applyAlignment="1" applyProtection="1">
      <alignment horizontal="right"/>
    </xf>
    <xf numFmtId="0" fontId="49" fillId="0" borderId="0" xfId="0" applyFont="1"/>
    <xf numFmtId="44" fontId="63" fillId="0" borderId="0" xfId="2" applyFont="1" applyFill="1"/>
    <xf numFmtId="37" fontId="49" fillId="0" borderId="0" xfId="4" applyNumberFormat="1" applyFont="1" applyAlignment="1" applyProtection="1"/>
    <xf numFmtId="0" fontId="0" fillId="5" borderId="0" xfId="0" applyFill="1"/>
    <xf numFmtId="0" fontId="59" fillId="0" borderId="0" xfId="390" applyFont="1" applyBorder="1"/>
    <xf numFmtId="0" fontId="0" fillId="5" borderId="0" xfId="0" applyFont="1" applyFill="1" applyAlignment="1">
      <alignment horizontal="left" vertical="top" indent="1"/>
    </xf>
    <xf numFmtId="0" fontId="2" fillId="5" borderId="0" xfId="390" applyFont="1" applyFill="1"/>
    <xf numFmtId="43" fontId="2" fillId="5" borderId="0" xfId="1" applyFont="1" applyFill="1"/>
    <xf numFmtId="0" fontId="0" fillId="5" borderId="0" xfId="0" applyFont="1" applyFill="1" applyBorder="1" applyAlignment="1">
      <alignment horizontal="left" vertical="top" indent="1"/>
    </xf>
    <xf numFmtId="0" fontId="11" fillId="5" borderId="0" xfId="4" applyFont="1" applyFill="1" applyBorder="1" applyAlignment="1">
      <alignment horizontal="left"/>
    </xf>
    <xf numFmtId="0" fontId="2" fillId="5" borderId="0" xfId="390" applyFill="1"/>
    <xf numFmtId="0" fontId="0" fillId="0" borderId="0" xfId="0" applyFill="1"/>
    <xf numFmtId="0" fontId="0" fillId="6" borderId="46" xfId="0" applyFont="1" applyFill="1" applyBorder="1"/>
    <xf numFmtId="0" fontId="0" fillId="6" borderId="34" xfId="0" applyFont="1" applyFill="1" applyBorder="1" applyAlignment="1">
      <alignment horizontal="center"/>
    </xf>
    <xf numFmtId="0" fontId="3" fillId="6" borderId="34" xfId="0" applyFont="1" applyFill="1" applyBorder="1"/>
    <xf numFmtId="0" fontId="0" fillId="6" borderId="34" xfId="0" applyFont="1" applyFill="1" applyBorder="1" applyAlignment="1">
      <alignment horizontal="right"/>
    </xf>
    <xf numFmtId="0" fontId="0" fillId="6" borderId="34" xfId="0" applyFont="1" applyFill="1" applyBorder="1"/>
    <xf numFmtId="166" fontId="0" fillId="6" borderId="34" xfId="1" applyNumberFormat="1" applyFont="1" applyFill="1" applyBorder="1" applyAlignment="1">
      <alignment horizontal="left" indent="2"/>
    </xf>
    <xf numFmtId="166" fontId="0" fillId="6" borderId="34" xfId="1" applyNumberFormat="1" applyFont="1" applyFill="1" applyBorder="1"/>
    <xf numFmtId="44" fontId="0" fillId="6" borderId="34" xfId="1" applyNumberFormat="1" applyFont="1" applyFill="1" applyBorder="1"/>
    <xf numFmtId="0" fontId="0" fillId="6" borderId="35" xfId="0" applyFont="1" applyFill="1" applyBorder="1"/>
    <xf numFmtId="0" fontId="0" fillId="0" borderId="43" xfId="0" applyFont="1" applyBorder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0" fontId="0" fillId="0" borderId="43" xfId="0" applyFont="1" applyFill="1" applyBorder="1" applyAlignment="1">
      <alignment vertical="center" textRotation="90"/>
    </xf>
    <xf numFmtId="0" fontId="0" fillId="0" borderId="47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166" fontId="11" fillId="0" borderId="1" xfId="373" applyNumberFormat="1" applyFont="1" applyBorder="1"/>
    <xf numFmtId="43" fontId="0" fillId="0" borderId="1" xfId="1" applyNumberFormat="1" applyFont="1" applyFill="1" applyBorder="1"/>
    <xf numFmtId="37" fontId="11" fillId="0" borderId="1" xfId="4" applyNumberFormat="1" applyFont="1" applyBorder="1" applyAlignment="1" applyProtection="1">
      <alignment horizontal="right"/>
    </xf>
    <xf numFmtId="166" fontId="11" fillId="0" borderId="1" xfId="1" applyNumberFormat="1" applyFont="1" applyBorder="1" applyAlignment="1">
      <alignment horizontal="left" indent="2"/>
    </xf>
    <xf numFmtId="166" fontId="0" fillId="0" borderId="1" xfId="1" applyNumberFormat="1" applyFont="1" applyFill="1" applyBorder="1"/>
    <xf numFmtId="166" fontId="0" fillId="0" borderId="1" xfId="1" applyNumberFormat="1" applyFont="1" applyFill="1" applyBorder="1" applyAlignment="1">
      <alignment horizontal="center" wrapText="1"/>
    </xf>
    <xf numFmtId="44" fontId="0" fillId="0" borderId="1" xfId="2" applyFont="1" applyFill="1" applyBorder="1"/>
    <xf numFmtId="44" fontId="11" fillId="0" borderId="1" xfId="10" applyFont="1" applyBorder="1"/>
    <xf numFmtId="44" fontId="11" fillId="0" borderId="48" xfId="10" applyFont="1" applyBorder="1"/>
    <xf numFmtId="0" fontId="0" fillId="0" borderId="0" xfId="0" applyFont="1" applyFill="1" applyBorder="1" applyAlignment="1">
      <alignment horizontal="left"/>
    </xf>
    <xf numFmtId="43" fontId="1" fillId="0" borderId="0" xfId="1" applyFont="1" applyFill="1"/>
    <xf numFmtId="44" fontId="0" fillId="0" borderId="0" xfId="2" applyFont="1" applyFill="1"/>
    <xf numFmtId="165" fontId="0" fillId="0" borderId="0" xfId="2" applyNumberFormat="1" applyFont="1" applyFill="1"/>
    <xf numFmtId="165" fontId="0" fillId="0" borderId="1" xfId="2" applyNumberFormat="1" applyFont="1" applyFill="1" applyBorder="1"/>
    <xf numFmtId="169" fontId="0" fillId="0" borderId="0" xfId="2" applyNumberFormat="1" applyFont="1" applyFill="1"/>
    <xf numFmtId="44" fontId="49" fillId="0" borderId="0" xfId="391" applyNumberFormat="1" applyFont="1" applyFill="1" applyBorder="1"/>
    <xf numFmtId="43" fontId="1" fillId="5" borderId="0" xfId="1" applyFont="1" applyFill="1"/>
    <xf numFmtId="168" fontId="71" fillId="0" borderId="49" xfId="391" applyNumberFormat="1" applyFont="1" applyFill="1" applyBorder="1"/>
    <xf numFmtId="43" fontId="2" fillId="0" borderId="0" xfId="1" applyFont="1"/>
    <xf numFmtId="43" fontId="59" fillId="0" borderId="0" xfId="1" applyFont="1" applyFill="1" applyAlignment="1">
      <alignment horizontal="center"/>
    </xf>
    <xf numFmtId="43" fontId="2" fillId="0" borderId="0" xfId="1" applyFont="1" applyFill="1"/>
    <xf numFmtId="0" fontId="49" fillId="0" borderId="0" xfId="391" applyNumberFormat="1" applyFont="1" applyFill="1"/>
    <xf numFmtId="0" fontId="0" fillId="0" borderId="0" xfId="0" applyFill="1"/>
    <xf numFmtId="0" fontId="0" fillId="0" borderId="0" xfId="0" applyFont="1" applyFill="1"/>
    <xf numFmtId="168" fontId="71" fillId="40" borderId="49" xfId="391" applyNumberFormat="1" applyFont="1" applyFill="1" applyBorder="1"/>
    <xf numFmtId="171" fontId="60" fillId="0" borderId="0" xfId="3" applyNumberFormat="1" applyFont="1" applyFill="1" applyBorder="1"/>
    <xf numFmtId="166" fontId="63" fillId="0" borderId="0" xfId="391" applyNumberFormat="1" applyFont="1" applyFill="1" applyAlignment="1">
      <alignment horizontal="center"/>
    </xf>
    <xf numFmtId="1" fontId="63" fillId="0" borderId="0" xfId="0" applyNumberFormat="1" applyFont="1" applyAlignment="1"/>
    <xf numFmtId="43" fontId="74" fillId="40" borderId="50" xfId="1" applyFont="1" applyFill="1" applyBorder="1"/>
    <xf numFmtId="0" fontId="0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</cellXfs>
  <cellStyles count="412">
    <cellStyle name="20% - Accent1 2" xfId="40"/>
    <cellStyle name="20% - Accent1 2 2" xfId="299"/>
    <cellStyle name="20% - Accent1 3" xfId="39"/>
    <cellStyle name="20% - Accent1 3 2" xfId="300"/>
    <cellStyle name="20% - Accent2 2" xfId="42"/>
    <cellStyle name="20% - Accent2 3" xfId="41"/>
    <cellStyle name="20% - Accent2 4" xfId="398"/>
    <cellStyle name="20% - Accent3 2" xfId="44"/>
    <cellStyle name="20% - Accent3 3" xfId="43"/>
    <cellStyle name="20% - Accent3 4" xfId="399"/>
    <cellStyle name="20% - Accent4 2" xfId="46"/>
    <cellStyle name="20% - Accent4 2 2" xfId="301"/>
    <cellStyle name="20% - Accent4 3" xfId="45"/>
    <cellStyle name="20% - Accent4 3 2" xfId="302"/>
    <cellStyle name="20% - Accent5 2" xfId="48"/>
    <cellStyle name="20% - Accent5 3" xfId="47"/>
    <cellStyle name="20% - Accent6 2" xfId="50"/>
    <cellStyle name="20% - Accent6 3" xfId="49"/>
    <cellStyle name="20% - Accent6 4" xfId="400"/>
    <cellStyle name="40% - Accent1 2" xfId="52"/>
    <cellStyle name="40% - Accent1 3" xfId="51"/>
    <cellStyle name="40% - Accent1 3 2" xfId="303"/>
    <cellStyle name="40% - Accent2 2" xfId="54"/>
    <cellStyle name="40% - Accent2 3" xfId="53"/>
    <cellStyle name="40% - Accent3 2" xfId="56"/>
    <cellStyle name="40% - Accent3 3" xfId="55"/>
    <cellStyle name="40% - Accent3 4" xfId="401"/>
    <cellStyle name="40% - Accent4 2" xfId="58"/>
    <cellStyle name="40% - Accent4 3" xfId="57"/>
    <cellStyle name="40% - Accent4 3 2" xfId="304"/>
    <cellStyle name="40% - Accent5 2" xfId="60"/>
    <cellStyle name="40% - Accent5 3" xfId="59"/>
    <cellStyle name="40% - Accent6 2" xfId="62"/>
    <cellStyle name="40% - Accent6 3" xfId="61"/>
    <cellStyle name="40% - Accent6 3 2" xfId="305"/>
    <cellStyle name="60% - Accent1 2" xfId="64"/>
    <cellStyle name="60% - Accent1 2 2" xfId="306"/>
    <cellStyle name="60% - Accent1 3" xfId="63"/>
    <cellStyle name="60% - Accent1 3 2" xfId="307"/>
    <cellStyle name="60% - Accent2 2" xfId="66"/>
    <cellStyle name="60% - Accent2 3" xfId="65"/>
    <cellStyle name="60% - Accent3 2" xfId="68"/>
    <cellStyle name="60% - Accent3 3" xfId="67"/>
    <cellStyle name="60% - Accent3 3 2" xfId="308"/>
    <cellStyle name="60% - Accent4 2" xfId="70"/>
    <cellStyle name="60% - Accent4 3" xfId="69"/>
    <cellStyle name="60% - Accent4 3 2" xfId="309"/>
    <cellStyle name="60% - Accent5 2" xfId="72"/>
    <cellStyle name="60% - Accent5 2 2" xfId="310"/>
    <cellStyle name="60% - Accent5 3" xfId="71"/>
    <cellStyle name="60% - Accent6 2" xfId="74"/>
    <cellStyle name="60% - Accent6 3" xfId="73"/>
    <cellStyle name="60% - Accent6 4" xfId="402"/>
    <cellStyle name="Accent1 2" xfId="76"/>
    <cellStyle name="Accent1 2 2" xfId="311"/>
    <cellStyle name="Accent1 3" xfId="75"/>
    <cellStyle name="Accent1 3 2" xfId="312"/>
    <cellStyle name="Accent2 2" xfId="78"/>
    <cellStyle name="Accent2 3" xfId="77"/>
    <cellStyle name="Accent3 2" xfId="80"/>
    <cellStyle name="Accent3 2 2" xfId="313"/>
    <cellStyle name="Accent3 3" xfId="79"/>
    <cellStyle name="Accent4 2" xfId="82"/>
    <cellStyle name="Accent4 3" xfId="81"/>
    <cellStyle name="Accent4 4" xfId="403"/>
    <cellStyle name="Accent5 2" xfId="84"/>
    <cellStyle name="Accent5 3" xfId="83"/>
    <cellStyle name="Accent6 2" xfId="86"/>
    <cellStyle name="Accent6 2 2" xfId="314"/>
    <cellStyle name="Accent6 3" xfId="85"/>
    <cellStyle name="Accounting" xfId="87"/>
    <cellStyle name="Accounting 2" xfId="88"/>
    <cellStyle name="Accounting 3" xfId="89"/>
    <cellStyle name="Accounting_2011-11" xfId="90"/>
    <cellStyle name="Bad 2" xfId="92"/>
    <cellStyle name="Bad 3" xfId="91"/>
    <cellStyle name="Budget" xfId="93"/>
    <cellStyle name="Budget 2" xfId="94"/>
    <cellStyle name="Budget 3" xfId="95"/>
    <cellStyle name="Budget_2011-11" xfId="96"/>
    <cellStyle name="Calculation 2" xfId="98"/>
    <cellStyle name="Calculation 2 2" xfId="315"/>
    <cellStyle name="Calculation 3" xfId="97"/>
    <cellStyle name="Calculation 3 2" xfId="316"/>
    <cellStyle name="Check Cell 2" xfId="100"/>
    <cellStyle name="Check Cell 3" xfId="99"/>
    <cellStyle name="combo" xfId="101"/>
    <cellStyle name="Comma" xfId="1" builtinId="3"/>
    <cellStyle name="Comma 10" xfId="103"/>
    <cellStyle name="Comma 11" xfId="104"/>
    <cellStyle name="Comma 12" xfId="102"/>
    <cellStyle name="Comma 12 2" xfId="277"/>
    <cellStyle name="Comma 12 3" xfId="282"/>
    <cellStyle name="Comma 13" xfId="283"/>
    <cellStyle name="Comma 14" xfId="284"/>
    <cellStyle name="Comma 15" xfId="285"/>
    <cellStyle name="Comma 16" xfId="286"/>
    <cellStyle name="Comma 17" xfId="317"/>
    <cellStyle name="Comma 18" xfId="318"/>
    <cellStyle name="Comma 19" xfId="319"/>
    <cellStyle name="Comma 2" xfId="5"/>
    <cellStyle name="Comma 2 2" xfId="6"/>
    <cellStyle name="Comma 2 2 2" xfId="320"/>
    <cellStyle name="Comma 2 3" xfId="105"/>
    <cellStyle name="Comma 2 4" xfId="321"/>
    <cellStyle name="Comma 2 6" xfId="7"/>
    <cellStyle name="Comma 2 6 2" xfId="8"/>
    <cellStyle name="Comma 20" xfId="370"/>
    <cellStyle name="Comma 20 2" xfId="393"/>
    <cellStyle name="Comma 21" xfId="404"/>
    <cellStyle name="Comma 3" xfId="9"/>
    <cellStyle name="Comma 3 2" xfId="106"/>
    <cellStyle name="Comma 3 2 2" xfId="107"/>
    <cellStyle name="Comma 3 3" xfId="287"/>
    <cellStyle name="Comma 3 4" xfId="322"/>
    <cellStyle name="Comma 4" xfId="108"/>
    <cellStyle name="Comma 4 2" xfId="109"/>
    <cellStyle name="Comma 4 2 2" xfId="288"/>
    <cellStyle name="Comma 4 3" xfId="110"/>
    <cellStyle name="Comma 4 3 2" xfId="289"/>
    <cellStyle name="Comma 4 4" xfId="290"/>
    <cellStyle name="Comma 4 5" xfId="111"/>
    <cellStyle name="Comma 4 6" xfId="280"/>
    <cellStyle name="Comma 5" xfId="112"/>
    <cellStyle name="Comma 6" xfId="113"/>
    <cellStyle name="Comma 6 2" xfId="323"/>
    <cellStyle name="Comma 7" xfId="114"/>
    <cellStyle name="Comma 8" xfId="115"/>
    <cellStyle name="Comma 9" xfId="116"/>
    <cellStyle name="Comma(2)" xfId="117"/>
    <cellStyle name="Comma0 - Style2" xfId="118"/>
    <cellStyle name="Comma1 - Style1" xfId="119"/>
    <cellStyle name="Comments" xfId="120"/>
    <cellStyle name="Currency" xfId="2" builtinId="4"/>
    <cellStyle name="Currency 10" xfId="324"/>
    <cellStyle name="Currency 11" xfId="371"/>
    <cellStyle name="Currency 11 2" xfId="394"/>
    <cellStyle name="Currency 12" xfId="405"/>
    <cellStyle name="Currency 2" xfId="10"/>
    <cellStyle name="Currency 2 2" xfId="11"/>
    <cellStyle name="Currency 2 2 2" xfId="123"/>
    <cellStyle name="Currency 2 3" xfId="122"/>
    <cellStyle name="Currency 2 3 2" xfId="325"/>
    <cellStyle name="Currency 2 6" xfId="12"/>
    <cellStyle name="Currency 2 6 2" xfId="13"/>
    <cellStyle name="Currency 3" xfId="14"/>
    <cellStyle name="Currency 3 2" xfId="125"/>
    <cellStyle name="Currency 3 3" xfId="124"/>
    <cellStyle name="Currency 3 4" xfId="291"/>
    <cellStyle name="Currency 4" xfId="15"/>
    <cellStyle name="Currency 4 2" xfId="16"/>
    <cellStyle name="Currency 5" xfId="121"/>
    <cellStyle name="Currency 5 2" xfId="276"/>
    <cellStyle name="Currency 5 3" xfId="292"/>
    <cellStyle name="Currency 6" xfId="293"/>
    <cellStyle name="Currency 7" xfId="294"/>
    <cellStyle name="Currency 8" xfId="326"/>
    <cellStyle name="Currency 9" xfId="327"/>
    <cellStyle name="Data Enter" xfId="126"/>
    <cellStyle name="date" xfId="328"/>
    <cellStyle name="Explanatory Text 2" xfId="128"/>
    <cellStyle name="Explanatory Text 3" xfId="127"/>
    <cellStyle name="FactSheet" xfId="129"/>
    <cellStyle name="fish" xfId="329"/>
    <cellStyle name="Good 2" xfId="131"/>
    <cellStyle name="Good 3" xfId="130"/>
    <cellStyle name="Heading 1 2" xfId="133"/>
    <cellStyle name="Heading 1 2 2" xfId="330"/>
    <cellStyle name="Heading 1 3" xfId="132"/>
    <cellStyle name="Heading 1 3 2" xfId="331"/>
    <cellStyle name="Heading 2 2" xfId="135"/>
    <cellStyle name="Heading 2 2 2" xfId="332"/>
    <cellStyle name="Heading 2 3" xfId="134"/>
    <cellStyle name="Heading 2 3 2" xfId="333"/>
    <cellStyle name="Heading 3 2" xfId="137"/>
    <cellStyle name="Heading 3 2 2" xfId="334"/>
    <cellStyle name="Heading 3 3" xfId="136"/>
    <cellStyle name="Heading 3 3 2" xfId="335"/>
    <cellStyle name="Heading 4 2" xfId="139"/>
    <cellStyle name="Heading 4 3" xfId="138"/>
    <cellStyle name="Heading 4 4" xfId="406"/>
    <cellStyle name="Hyperlink 2" xfId="140"/>
    <cellStyle name="Hyperlink 3" xfId="141"/>
    <cellStyle name="Hyperlink 3 2" xfId="295"/>
    <cellStyle name="Input 2" xfId="143"/>
    <cellStyle name="Input 3" xfId="142"/>
    <cellStyle name="Input 4" xfId="407"/>
    <cellStyle name="input(0)" xfId="144"/>
    <cellStyle name="Input(2)" xfId="145"/>
    <cellStyle name="Linked Cell 2" xfId="147"/>
    <cellStyle name="Linked Cell 2 2" xfId="336"/>
    <cellStyle name="Linked Cell 3" xfId="146"/>
    <cellStyle name="Neutral 2" xfId="149"/>
    <cellStyle name="Neutral 2 2" xfId="337"/>
    <cellStyle name="Neutral 3" xfId="148"/>
    <cellStyle name="New_normal" xfId="150"/>
    <cellStyle name="Normal" xfId="0" builtinId="0"/>
    <cellStyle name="Normal - Style1" xfId="151"/>
    <cellStyle name="Normal - Style2" xfId="152"/>
    <cellStyle name="Normal - Style3" xfId="153"/>
    <cellStyle name="Normal - Style4" xfId="154"/>
    <cellStyle name="Normal - Style5" xfId="155"/>
    <cellStyle name="Normal 10" xfId="156"/>
    <cellStyle name="Normal 10 2" xfId="17"/>
    <cellStyle name="Normal 10 2 2" xfId="339"/>
    <cellStyle name="Normal 10 2 3" xfId="338"/>
    <cellStyle name="Normal 10_2112 DF Schedule" xfId="340"/>
    <cellStyle name="Normal 100" xfId="380"/>
    <cellStyle name="Normal 101" xfId="382"/>
    <cellStyle name="Normal 102" xfId="383"/>
    <cellStyle name="Normal 103" xfId="384"/>
    <cellStyle name="Normal 104" xfId="385"/>
    <cellStyle name="Normal 105" xfId="381"/>
    <cellStyle name="Normal 106" xfId="386"/>
    <cellStyle name="Normal 107" xfId="387"/>
    <cellStyle name="Normal 108" xfId="388"/>
    <cellStyle name="Normal 109" xfId="397"/>
    <cellStyle name="Normal 11" xfId="157"/>
    <cellStyle name="Normal 12" xfId="158"/>
    <cellStyle name="Normal 12 2" xfId="341"/>
    <cellStyle name="Normal 13" xfId="159"/>
    <cellStyle name="Normal 13 2" xfId="342"/>
    <cellStyle name="Normal 14" xfId="160"/>
    <cellStyle name="Normal 14 2" xfId="343"/>
    <cellStyle name="Normal 15" xfId="161"/>
    <cellStyle name="Normal 15 2" xfId="344"/>
    <cellStyle name="Normal 16" xfId="162"/>
    <cellStyle name="Normal 16 2" xfId="345"/>
    <cellStyle name="Normal 17" xfId="163"/>
    <cellStyle name="Normal 17 2" xfId="346"/>
    <cellStyle name="Normal 18" xfId="164"/>
    <cellStyle name="Normal 18 2" xfId="347"/>
    <cellStyle name="Normal 19" xfId="165"/>
    <cellStyle name="Normal 19 2" xfId="348"/>
    <cellStyle name="Normal 2" xfId="18"/>
    <cellStyle name="Normal 2 2" xfId="19"/>
    <cellStyle name="Normal 2 2 2" xfId="167"/>
    <cellStyle name="Normal 2 2 3" xfId="166"/>
    <cellStyle name="Normal 2 2_Actual_Fuel" xfId="168"/>
    <cellStyle name="Normal 2 3" xfId="169"/>
    <cellStyle name="Normal 2 3 2" xfId="170"/>
    <cellStyle name="Normal 2 3 3" xfId="296"/>
    <cellStyle name="Normal 2 4" xfId="297"/>
    <cellStyle name="Normal 2 5" xfId="298"/>
    <cellStyle name="Normal 2_2012-10" xfId="171"/>
    <cellStyle name="Normal 20" xfId="172"/>
    <cellStyle name="Normal 21" xfId="173"/>
    <cellStyle name="Normal 22" xfId="174"/>
    <cellStyle name="Normal 23" xfId="175"/>
    <cellStyle name="Normal 24" xfId="176"/>
    <cellStyle name="Normal 25" xfId="177"/>
    <cellStyle name="Normal 26" xfId="178"/>
    <cellStyle name="Normal 27" xfId="179"/>
    <cellStyle name="Normal 28" xfId="180"/>
    <cellStyle name="Normal 29" xfId="181"/>
    <cellStyle name="Normal 3" xfId="20"/>
    <cellStyle name="Normal 3 2" xfId="183"/>
    <cellStyle name="Normal 3 3" xfId="182"/>
    <cellStyle name="Normal 3 4" xfId="281"/>
    <cellStyle name="Normal 3_2012 PR" xfId="184"/>
    <cellStyle name="Normal 30" xfId="185"/>
    <cellStyle name="Normal 31" xfId="186"/>
    <cellStyle name="Normal 32" xfId="187"/>
    <cellStyle name="Normal 33" xfId="188"/>
    <cellStyle name="Normal 34" xfId="189"/>
    <cellStyle name="Normal 35" xfId="190"/>
    <cellStyle name="Normal 36" xfId="191"/>
    <cellStyle name="Normal 37" xfId="192"/>
    <cellStyle name="Normal 38" xfId="193"/>
    <cellStyle name="Normal 39" xfId="194"/>
    <cellStyle name="Normal 4" xfId="21"/>
    <cellStyle name="Normal 4 2" xfId="195"/>
    <cellStyle name="Normal 40" xfId="196"/>
    <cellStyle name="Normal 41" xfId="197"/>
    <cellStyle name="Normal 42" xfId="198"/>
    <cellStyle name="Normal 43" xfId="199"/>
    <cellStyle name="Normal 44" xfId="200"/>
    <cellStyle name="Normal 45" xfId="201"/>
    <cellStyle name="Normal 46" xfId="202"/>
    <cellStyle name="Normal 47" xfId="203"/>
    <cellStyle name="Normal 48" xfId="204"/>
    <cellStyle name="Normal 49" xfId="205"/>
    <cellStyle name="Normal 5" xfId="22"/>
    <cellStyle name="Normal 5 2" xfId="206"/>
    <cellStyle name="Normal 5_2112 DF Schedule" xfId="349"/>
    <cellStyle name="Normal 50" xfId="207"/>
    <cellStyle name="Normal 51" xfId="208"/>
    <cellStyle name="Normal 52" xfId="209"/>
    <cellStyle name="Normal 53" xfId="210"/>
    <cellStyle name="Normal 54" xfId="211"/>
    <cellStyle name="Normal 55" xfId="212"/>
    <cellStyle name="Normal 56" xfId="213"/>
    <cellStyle name="Normal 57" xfId="214"/>
    <cellStyle name="Normal 58" xfId="215"/>
    <cellStyle name="Normal 59" xfId="216"/>
    <cellStyle name="Normal 6" xfId="23"/>
    <cellStyle name="Normal 6 2" xfId="217"/>
    <cellStyle name="Normal 60" xfId="218"/>
    <cellStyle name="Normal 61" xfId="219"/>
    <cellStyle name="Normal 62" xfId="220"/>
    <cellStyle name="Normal 63" xfId="221"/>
    <cellStyle name="Normal 64" xfId="222"/>
    <cellStyle name="Normal 65" xfId="223"/>
    <cellStyle name="Normal 66" xfId="224"/>
    <cellStyle name="Normal 67" xfId="225"/>
    <cellStyle name="Normal 68" xfId="226"/>
    <cellStyle name="Normal 69" xfId="227"/>
    <cellStyle name="Normal 7" xfId="228"/>
    <cellStyle name="Normal 70" xfId="229"/>
    <cellStyle name="Normal 71" xfId="230"/>
    <cellStyle name="Normal 72" xfId="231"/>
    <cellStyle name="Normal 73" xfId="232"/>
    <cellStyle name="Normal 74" xfId="233"/>
    <cellStyle name="Normal 75" xfId="234"/>
    <cellStyle name="Normal 76" xfId="235"/>
    <cellStyle name="Normal 77" xfId="236"/>
    <cellStyle name="Normal 78" xfId="237"/>
    <cellStyle name="Normal 79" xfId="238"/>
    <cellStyle name="Normal 8" xfId="239"/>
    <cellStyle name="Normal 80" xfId="240"/>
    <cellStyle name="Normal 81" xfId="241"/>
    <cellStyle name="Normal 82" xfId="242"/>
    <cellStyle name="Normal 83" xfId="243"/>
    <cellStyle name="Normal 84" xfId="38"/>
    <cellStyle name="Normal 84 2" xfId="278"/>
    <cellStyle name="Normal 84 3" xfId="350"/>
    <cellStyle name="Normal 85" xfId="252"/>
    <cellStyle name="Normal 86" xfId="270"/>
    <cellStyle name="Normal 87" xfId="271"/>
    <cellStyle name="Normal 88" xfId="272"/>
    <cellStyle name="Normal 89" xfId="273"/>
    <cellStyle name="Normal 9" xfId="244"/>
    <cellStyle name="Normal 90" xfId="274"/>
    <cellStyle name="Normal 91" xfId="279"/>
    <cellStyle name="Normal 92" xfId="369"/>
    <cellStyle name="Normal 92 2" xfId="392"/>
    <cellStyle name="Normal 93" xfId="373"/>
    <cellStyle name="Normal 93 2" xfId="396"/>
    <cellStyle name="Normal 94" xfId="374"/>
    <cellStyle name="Normal 95" xfId="375"/>
    <cellStyle name="Normal 96" xfId="376"/>
    <cellStyle name="Normal 97" xfId="377"/>
    <cellStyle name="Normal 98" xfId="378"/>
    <cellStyle name="Normal 99" xfId="379"/>
    <cellStyle name="Normal_Book3" xfId="389"/>
    <cellStyle name="Normal_CostStudyTCII" xfId="391"/>
    <cellStyle name="Normal_Price out" xfId="4"/>
    <cellStyle name="Normal_Sheet1" xfId="390"/>
    <cellStyle name="Note 2" xfId="246"/>
    <cellStyle name="Note 2 2" xfId="351"/>
    <cellStyle name="Note 3" xfId="245"/>
    <cellStyle name="Note 3 2" xfId="352"/>
    <cellStyle name="Note 4" xfId="408"/>
    <cellStyle name="Notes" xfId="247"/>
    <cellStyle name="Output 2" xfId="249"/>
    <cellStyle name="Output 3" xfId="248"/>
    <cellStyle name="Output 4" xfId="409"/>
    <cellStyle name="Percent" xfId="3" builtinId="5"/>
    <cellStyle name="Percent 10" xfId="410"/>
    <cellStyle name="Percent 2" xfId="24"/>
    <cellStyle name="Percent 2 2" xfId="25"/>
    <cellStyle name="Percent 2 2 2" xfId="251"/>
    <cellStyle name="Percent 2 3" xfId="353"/>
    <cellStyle name="Percent 2 6" xfId="26"/>
    <cellStyle name="Percent 3" xfId="27"/>
    <cellStyle name="Percent 3 2" xfId="28"/>
    <cellStyle name="Percent 4" xfId="29"/>
    <cellStyle name="Percent 4 2" xfId="355"/>
    <cellStyle name="Percent 4 3" xfId="354"/>
    <cellStyle name="Percent 5" xfId="253"/>
    <cellStyle name="Percent 6" xfId="254"/>
    <cellStyle name="Percent 7" xfId="250"/>
    <cellStyle name="Percent 7 2" xfId="275"/>
    <cellStyle name="Percent 7 3" xfId="356"/>
    <cellStyle name="Percent 8" xfId="357"/>
    <cellStyle name="Percent 9" xfId="372"/>
    <cellStyle name="Percent 9 2" xfId="395"/>
    <cellStyle name="Percent(1)" xfId="255"/>
    <cellStyle name="Percent(2)" xfId="256"/>
    <cellStyle name="PRM" xfId="257"/>
    <cellStyle name="PRM 2" xfId="258"/>
    <cellStyle name="PRM 3" xfId="259"/>
    <cellStyle name="PRM_2011-11" xfId="260"/>
    <cellStyle name="PS_Comma" xfId="30"/>
    <cellStyle name="PSChar" xfId="31"/>
    <cellStyle name="PSDate" xfId="32"/>
    <cellStyle name="PSDec" xfId="33"/>
    <cellStyle name="PSHeading" xfId="34"/>
    <cellStyle name="PSInt" xfId="35"/>
    <cellStyle name="PSSpacer" xfId="36"/>
    <cellStyle name="STYL0 - Style1" xfId="358"/>
    <cellStyle name="STYL1 - Style2" xfId="359"/>
    <cellStyle name="STYL2 - Style3" xfId="360"/>
    <cellStyle name="STYL3 - Style4" xfId="361"/>
    <cellStyle name="STYL4 - Style5" xfId="362"/>
    <cellStyle name="STYL5 - Style6" xfId="363"/>
    <cellStyle name="STYL6 - Style7" xfId="364"/>
    <cellStyle name="STYL7 - Style8" xfId="365"/>
    <cellStyle name="Style 1" xfId="261"/>
    <cellStyle name="Style 1 2" xfId="262"/>
    <cellStyle name="STYLE1" xfId="263"/>
    <cellStyle name="sub heading" xfId="366"/>
    <cellStyle name="Title 2" xfId="265"/>
    <cellStyle name="Title 3" xfId="264"/>
    <cellStyle name="title 4" xfId="411"/>
    <cellStyle name="Total 2" xfId="267"/>
    <cellStyle name="Total 2 2" xfId="367"/>
    <cellStyle name="Total 3" xfId="266"/>
    <cellStyle name="Total 3 2" xfId="368"/>
    <cellStyle name="Warning Text 2" xfId="269"/>
    <cellStyle name="Warning Text 3" xfId="268"/>
    <cellStyle name="WM_STANDARD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TransportationPvt/SolidWaste/Company%20Filed/TG-161217%20-%20FEI_R_KMD%20-%20KMD%20COS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Disposal"/>
      <sheetName val="Yardwaste Analysis"/>
      <sheetName val="Roll Off Average Cost"/>
    </sheetNames>
    <sheetDataSet>
      <sheetData sheetId="0"/>
      <sheetData sheetId="1">
        <row r="58">
          <cell r="R58">
            <v>3785.5674491783266</v>
          </cell>
        </row>
        <row r="63">
          <cell r="R63">
            <v>16888.814150156399</v>
          </cell>
        </row>
        <row r="69">
          <cell r="R69">
            <v>3061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opLeftCell="A40" zoomScaleNormal="100" workbookViewId="0">
      <selection activeCell="B64" sqref="B64"/>
    </sheetView>
  </sheetViews>
  <sheetFormatPr defaultColWidth="9.140625" defaultRowHeight="15"/>
  <cols>
    <col min="1" max="1" width="36.28515625" style="3" bestFit="1" customWidth="1"/>
    <col min="2" max="2" width="22.140625" style="3" bestFit="1" customWidth="1"/>
    <col min="3" max="3" width="19.5703125" style="3" customWidth="1"/>
    <col min="4" max="4" width="10.5703125" style="3" bestFit="1" customWidth="1"/>
    <col min="5" max="5" width="8.85546875" style="3" customWidth="1"/>
    <col min="6" max="6" width="11.42578125" style="3" bestFit="1" customWidth="1"/>
    <col min="7" max="7" width="11" style="3" bestFit="1" customWidth="1"/>
    <col min="8" max="8" width="8" style="3" bestFit="1" customWidth="1"/>
    <col min="9" max="9" width="15.85546875" style="3" bestFit="1" customWidth="1"/>
    <col min="10" max="10" width="12" style="3" bestFit="1" customWidth="1"/>
    <col min="11" max="16384" width="9.140625" style="3"/>
  </cols>
  <sheetData>
    <row r="1" spans="1:8">
      <c r="A1" s="304" t="s">
        <v>19</v>
      </c>
      <c r="B1" s="304"/>
      <c r="C1" s="304"/>
      <c r="D1" s="304"/>
      <c r="E1" s="304"/>
      <c r="F1" s="304"/>
      <c r="G1" s="304"/>
      <c r="H1" s="304"/>
    </row>
    <row r="2" spans="1:8">
      <c r="A2" s="3" t="s">
        <v>64</v>
      </c>
      <c r="B2" s="12" t="s">
        <v>50</v>
      </c>
      <c r="C2" s="12" t="s">
        <v>51</v>
      </c>
      <c r="D2" s="12" t="s">
        <v>52</v>
      </c>
      <c r="E2" s="13" t="s">
        <v>55</v>
      </c>
      <c r="F2" s="13" t="s">
        <v>56</v>
      </c>
      <c r="G2" s="13" t="s">
        <v>57</v>
      </c>
      <c r="H2" s="12" t="s">
        <v>60</v>
      </c>
    </row>
    <row r="3" spans="1:8">
      <c r="A3" s="3" t="s">
        <v>61</v>
      </c>
      <c r="B3" s="1">
        <f>52*5/12</f>
        <v>21.666666666666668</v>
      </c>
      <c r="C3" s="14">
        <f>$B$3*2</f>
        <v>43.333333333333336</v>
      </c>
      <c r="D3" s="14">
        <f>$B$3*3</f>
        <v>65</v>
      </c>
      <c r="E3" s="14">
        <f>$B$3*4</f>
        <v>86.666666666666671</v>
      </c>
      <c r="F3" s="14">
        <f>$B$3*5</f>
        <v>108.33333333333334</v>
      </c>
      <c r="G3" s="14">
        <f>$B$3*6</f>
        <v>130</v>
      </c>
      <c r="H3" s="14">
        <f>$B$3*7</f>
        <v>151.66666666666669</v>
      </c>
    </row>
    <row r="4" spans="1:8">
      <c r="A4" s="3" t="s">
        <v>97</v>
      </c>
      <c r="B4" s="1">
        <f>52*4/12</f>
        <v>17.333333333333332</v>
      </c>
      <c r="C4" s="14">
        <f>$B$4*2</f>
        <v>34.666666666666664</v>
      </c>
      <c r="D4" s="14">
        <f>$B$4*3</f>
        <v>52</v>
      </c>
      <c r="E4" s="14">
        <f>$B$4*4</f>
        <v>69.333333333333329</v>
      </c>
      <c r="F4" s="14">
        <f>$B$4*5</f>
        <v>86.666666666666657</v>
      </c>
      <c r="G4" s="14">
        <f>$B$4*6</f>
        <v>104</v>
      </c>
      <c r="H4" s="14">
        <f>$B$4*7</f>
        <v>121.33333333333333</v>
      </c>
    </row>
    <row r="5" spans="1:8">
      <c r="A5" s="3" t="s">
        <v>62</v>
      </c>
      <c r="B5" s="1">
        <f>52*3/12</f>
        <v>13</v>
      </c>
      <c r="C5" s="14">
        <f>$B$5*2</f>
        <v>26</v>
      </c>
      <c r="D5" s="14">
        <f>$B$5*3</f>
        <v>39</v>
      </c>
      <c r="E5" s="14">
        <f>$B$5*4</f>
        <v>52</v>
      </c>
      <c r="F5" s="14">
        <f>$B$5*5</f>
        <v>65</v>
      </c>
      <c r="G5" s="14">
        <f>$B$5*6</f>
        <v>78</v>
      </c>
      <c r="H5" s="14">
        <f>$B$5*7</f>
        <v>91</v>
      </c>
    </row>
    <row r="6" spans="1:8">
      <c r="A6" s="3" t="s">
        <v>63</v>
      </c>
      <c r="B6" s="1">
        <f>52*2/12</f>
        <v>8.6666666666666661</v>
      </c>
      <c r="C6" s="15">
        <f>$B$6*2</f>
        <v>17.333333333333332</v>
      </c>
      <c r="D6" s="15">
        <f>$B$6*3</f>
        <v>26</v>
      </c>
      <c r="E6" s="15">
        <f>$B$6*4</f>
        <v>34.666666666666664</v>
      </c>
      <c r="F6" s="15">
        <f>$B$6*5</f>
        <v>43.333333333333329</v>
      </c>
      <c r="G6" s="15">
        <f>$B$6*6</f>
        <v>52</v>
      </c>
      <c r="H6" s="15">
        <f>$B$6*7</f>
        <v>60.666666666666664</v>
      </c>
    </row>
    <row r="7" spans="1:8">
      <c r="A7" s="3" t="s">
        <v>22</v>
      </c>
      <c r="B7" s="1">
        <f>52/12</f>
        <v>4.333333333333333</v>
      </c>
      <c r="C7" s="15">
        <f>$B$7*2</f>
        <v>8.6666666666666661</v>
      </c>
      <c r="D7" s="15">
        <f>$B$7*3</f>
        <v>13</v>
      </c>
      <c r="E7" s="15">
        <f>$B$7*4</f>
        <v>17.333333333333332</v>
      </c>
      <c r="F7" s="15">
        <f>$B$7*5</f>
        <v>21.666666666666664</v>
      </c>
      <c r="G7" s="15">
        <f>$B$7*6</f>
        <v>26</v>
      </c>
      <c r="H7" s="15">
        <f>$B$7*7</f>
        <v>30.333333333333332</v>
      </c>
    </row>
    <row r="8" spans="1:8">
      <c r="A8" s="3" t="s">
        <v>24</v>
      </c>
      <c r="B8" s="1">
        <f>26/12</f>
        <v>2.1666666666666665</v>
      </c>
      <c r="C8" s="15">
        <f>$B$8*2</f>
        <v>4.333333333333333</v>
      </c>
      <c r="D8" s="15">
        <f>$B$8*3</f>
        <v>6.5</v>
      </c>
      <c r="E8" s="15">
        <f>$B$8*4</f>
        <v>8.6666666666666661</v>
      </c>
      <c r="F8" s="15">
        <f>$B$8*5</f>
        <v>10.833333333333332</v>
      </c>
      <c r="G8" s="15">
        <f>$B$8*6</f>
        <v>13</v>
      </c>
      <c r="H8" s="15">
        <f>$B$8*7</f>
        <v>15.166666666666666</v>
      </c>
    </row>
    <row r="9" spans="1:8">
      <c r="A9" s="3" t="s">
        <v>23</v>
      </c>
      <c r="B9" s="1">
        <f>12/12</f>
        <v>1</v>
      </c>
      <c r="C9" s="15">
        <f>$B$9*2</f>
        <v>2</v>
      </c>
      <c r="D9" s="15">
        <f>$B$9*3</f>
        <v>3</v>
      </c>
      <c r="E9" s="15">
        <f>$B$9*4</f>
        <v>4</v>
      </c>
      <c r="F9" s="15">
        <f>$B$9*5</f>
        <v>5</v>
      </c>
      <c r="G9" s="15">
        <f>$B$9*6</f>
        <v>6</v>
      </c>
      <c r="H9" s="15">
        <f>$B$9*7</f>
        <v>7</v>
      </c>
    </row>
    <row r="10" spans="1:8">
      <c r="B10" s="1"/>
      <c r="C10" s="15"/>
      <c r="D10" s="15"/>
      <c r="E10" s="15"/>
      <c r="F10" s="15"/>
      <c r="G10" s="15"/>
      <c r="H10" s="15"/>
    </row>
    <row r="11" spans="1:8">
      <c r="A11" s="304" t="s">
        <v>11</v>
      </c>
      <c r="B11" s="304"/>
      <c r="C11" s="29"/>
      <c r="D11" s="15"/>
      <c r="E11" s="15"/>
      <c r="F11" s="15"/>
      <c r="G11" s="15"/>
      <c r="H11" s="15"/>
    </row>
    <row r="12" spans="1:8">
      <c r="A12" s="27" t="s">
        <v>59</v>
      </c>
      <c r="B12" s="31" t="s">
        <v>89</v>
      </c>
      <c r="C12" s="29"/>
      <c r="D12" s="15"/>
      <c r="E12" s="15"/>
      <c r="F12" s="15"/>
      <c r="G12" s="15"/>
      <c r="H12" s="15"/>
    </row>
    <row r="13" spans="1:8">
      <c r="A13" s="30" t="s">
        <v>90</v>
      </c>
      <c r="B13" s="28">
        <v>20</v>
      </c>
      <c r="C13" s="29"/>
      <c r="D13" s="15"/>
      <c r="E13" s="15"/>
      <c r="F13" s="15"/>
      <c r="G13" s="15"/>
      <c r="H13" s="15"/>
    </row>
    <row r="14" spans="1:8">
      <c r="A14" s="30" t="s">
        <v>65</v>
      </c>
      <c r="B14" s="28">
        <v>34</v>
      </c>
      <c r="C14" s="29"/>
      <c r="D14" s="15"/>
      <c r="E14" s="15"/>
      <c r="F14" s="15"/>
      <c r="G14" s="15"/>
      <c r="H14" s="15"/>
    </row>
    <row r="15" spans="1:8">
      <c r="A15" s="30" t="s">
        <v>66</v>
      </c>
      <c r="B15" s="28">
        <v>51</v>
      </c>
      <c r="C15" s="29"/>
      <c r="D15" s="15"/>
      <c r="E15" s="15"/>
      <c r="F15" s="15"/>
      <c r="G15" s="15"/>
      <c r="H15" s="15"/>
    </row>
    <row r="16" spans="1:8">
      <c r="A16" s="30" t="s">
        <v>67</v>
      </c>
      <c r="B16" s="28">
        <v>77</v>
      </c>
      <c r="C16" s="29"/>
      <c r="D16" s="15"/>
      <c r="E16" s="15"/>
      <c r="F16" s="3" t="s">
        <v>20</v>
      </c>
      <c r="G16" s="8">
        <v>2000</v>
      </c>
      <c r="H16" s="15"/>
    </row>
    <row r="17" spans="1:8">
      <c r="A17" s="30" t="s">
        <v>68</v>
      </c>
      <c r="B17" s="28">
        <v>97</v>
      </c>
      <c r="C17" s="29"/>
      <c r="D17" s="15"/>
      <c r="E17" s="15"/>
      <c r="F17" s="3" t="s">
        <v>21</v>
      </c>
      <c r="G17" s="17" t="s">
        <v>53</v>
      </c>
      <c r="H17" s="15"/>
    </row>
    <row r="18" spans="1:8">
      <c r="A18" s="30" t="s">
        <v>69</v>
      </c>
      <c r="B18" s="28">
        <v>117</v>
      </c>
      <c r="C18" s="29"/>
      <c r="D18" s="15"/>
      <c r="E18" s="15"/>
      <c r="H18" s="15"/>
    </row>
    <row r="19" spans="1:8">
      <c r="A19" s="30" t="s">
        <v>70</v>
      </c>
      <c r="B19" s="28">
        <v>157</v>
      </c>
      <c r="C19" s="29"/>
      <c r="D19" s="15"/>
      <c r="E19" s="15"/>
      <c r="F19" s="10"/>
      <c r="G19" s="11"/>
      <c r="H19" s="15"/>
    </row>
    <row r="20" spans="1:8" s="25" customFormat="1">
      <c r="A20" s="49" t="s">
        <v>101</v>
      </c>
      <c r="B20" s="40">
        <v>37</v>
      </c>
      <c r="C20" s="48" t="s">
        <v>91</v>
      </c>
      <c r="D20" s="29"/>
      <c r="E20" s="29"/>
      <c r="F20" s="10"/>
      <c r="G20" s="11"/>
      <c r="H20" s="29"/>
    </row>
    <row r="21" spans="1:8">
      <c r="A21" s="30" t="s">
        <v>71</v>
      </c>
      <c r="B21" s="28">
        <v>47</v>
      </c>
      <c r="C21" s="29"/>
      <c r="D21" s="15"/>
      <c r="E21" s="15"/>
      <c r="F21" s="15"/>
      <c r="G21" s="15"/>
      <c r="H21" s="15"/>
    </row>
    <row r="22" spans="1:8">
      <c r="A22" s="30" t="s">
        <v>72</v>
      </c>
      <c r="B22" s="28">
        <v>68</v>
      </c>
      <c r="C22" s="29"/>
      <c r="D22" s="15"/>
      <c r="E22" s="15"/>
      <c r="F22" s="15"/>
      <c r="G22" s="15"/>
      <c r="H22" s="15"/>
    </row>
    <row r="23" spans="1:8">
      <c r="A23" s="30" t="s">
        <v>73</v>
      </c>
      <c r="B23" s="28">
        <v>34</v>
      </c>
      <c r="C23" s="29"/>
      <c r="D23" s="15"/>
      <c r="E23" s="15"/>
      <c r="F23" s="15"/>
      <c r="G23" s="15"/>
      <c r="H23" s="15"/>
    </row>
    <row r="24" spans="1:8">
      <c r="A24" s="30" t="s">
        <v>32</v>
      </c>
      <c r="B24" s="28">
        <v>34</v>
      </c>
      <c r="C24" s="29"/>
      <c r="D24" s="15"/>
      <c r="E24" s="15"/>
      <c r="F24" s="15"/>
      <c r="G24" s="15"/>
      <c r="H24" s="15"/>
    </row>
    <row r="25" spans="1:8">
      <c r="A25" s="27" t="s">
        <v>74</v>
      </c>
      <c r="B25" s="28"/>
      <c r="C25" s="29"/>
      <c r="D25" s="15"/>
      <c r="E25" s="15"/>
      <c r="F25" s="15"/>
      <c r="G25" s="15"/>
      <c r="H25" s="15"/>
    </row>
    <row r="26" spans="1:8">
      <c r="A26" s="30" t="s">
        <v>75</v>
      </c>
      <c r="B26" s="28">
        <v>29</v>
      </c>
      <c r="C26" s="29"/>
      <c r="D26" s="15"/>
      <c r="E26" s="15"/>
      <c r="F26" s="15"/>
      <c r="G26" s="15"/>
      <c r="H26" s="15"/>
    </row>
    <row r="27" spans="1:8">
      <c r="A27" s="30" t="s">
        <v>76</v>
      </c>
      <c r="B27" s="28">
        <v>175</v>
      </c>
      <c r="C27" s="29"/>
      <c r="D27" s="15"/>
      <c r="E27" s="15"/>
      <c r="F27" s="15"/>
      <c r="G27" s="15"/>
      <c r="H27" s="15"/>
    </row>
    <row r="28" spans="1:8">
      <c r="A28" s="30" t="s">
        <v>77</v>
      </c>
      <c r="B28" s="28">
        <v>250</v>
      </c>
      <c r="C28" s="29"/>
      <c r="D28" s="15"/>
      <c r="E28" s="15"/>
      <c r="F28" s="15"/>
      <c r="G28" s="15"/>
      <c r="H28" s="15"/>
    </row>
    <row r="29" spans="1:8">
      <c r="A29" s="30" t="s">
        <v>78</v>
      </c>
      <c r="B29" s="28">
        <v>324</v>
      </c>
      <c r="C29" s="29"/>
      <c r="D29" s="15"/>
      <c r="E29" s="15"/>
      <c r="F29" s="15"/>
      <c r="G29" s="15"/>
      <c r="H29" s="15"/>
    </row>
    <row r="30" spans="1:8">
      <c r="A30" s="30" t="s">
        <v>79</v>
      </c>
      <c r="B30" s="28">
        <v>473</v>
      </c>
      <c r="C30" s="29"/>
      <c r="D30" s="15"/>
      <c r="E30" s="15"/>
      <c r="F30" s="15"/>
      <c r="G30" s="15"/>
      <c r="H30" s="15"/>
    </row>
    <row r="31" spans="1:8">
      <c r="A31" s="30" t="s">
        <v>80</v>
      </c>
      <c r="B31" s="28">
        <v>613</v>
      </c>
      <c r="C31" s="29"/>
      <c r="D31" s="15"/>
      <c r="E31" s="15"/>
      <c r="F31" s="15"/>
      <c r="G31" s="15"/>
      <c r="H31" s="15"/>
    </row>
    <row r="32" spans="1:8">
      <c r="A32" s="30" t="s">
        <v>81</v>
      </c>
      <c r="B32" s="28">
        <v>840</v>
      </c>
      <c r="C32" s="29"/>
      <c r="D32" s="15"/>
      <c r="E32" s="15"/>
      <c r="F32" s="15"/>
      <c r="G32" s="15"/>
      <c r="H32" s="15"/>
    </row>
    <row r="33" spans="1:8">
      <c r="A33" s="30" t="s">
        <v>82</v>
      </c>
      <c r="B33" s="28">
        <v>980</v>
      </c>
      <c r="C33" s="29"/>
      <c r="D33" s="15"/>
      <c r="E33" s="15"/>
      <c r="F33" s="15"/>
      <c r="G33" s="15"/>
      <c r="H33" s="15"/>
    </row>
    <row r="34" spans="1:8">
      <c r="A34" s="30" t="s">
        <v>98</v>
      </c>
      <c r="B34" s="28">
        <v>482</v>
      </c>
      <c r="C34" s="29" t="s">
        <v>91</v>
      </c>
      <c r="D34" s="15"/>
      <c r="E34" s="15"/>
      <c r="F34" s="15"/>
      <c r="G34" s="15"/>
      <c r="H34" s="15"/>
    </row>
    <row r="35" spans="1:8">
      <c r="A35" s="30" t="s">
        <v>99</v>
      </c>
      <c r="B35" s="28">
        <v>689</v>
      </c>
      <c r="C35" s="29" t="s">
        <v>91</v>
      </c>
      <c r="D35" s="15"/>
      <c r="E35" s="15"/>
      <c r="F35" s="15"/>
      <c r="G35" s="15"/>
      <c r="H35" s="15"/>
    </row>
    <row r="36" spans="1:8" s="25" customFormat="1">
      <c r="A36" s="30" t="s">
        <v>84</v>
      </c>
      <c r="B36" s="28">
        <v>892</v>
      </c>
      <c r="C36" s="29" t="s">
        <v>91</v>
      </c>
      <c r="D36" s="26"/>
      <c r="E36" s="26"/>
      <c r="F36" s="26"/>
      <c r="G36" s="26"/>
      <c r="H36" s="26"/>
    </row>
    <row r="37" spans="1:8" s="25" customFormat="1">
      <c r="A37" s="30" t="s">
        <v>83</v>
      </c>
      <c r="B37" s="28">
        <v>1301</v>
      </c>
      <c r="C37" s="29"/>
      <c r="D37" s="26"/>
      <c r="E37" s="26"/>
      <c r="F37" s="26"/>
      <c r="G37" s="26"/>
      <c r="H37" s="26"/>
    </row>
    <row r="38" spans="1:8" s="25" customFormat="1">
      <c r="A38" s="30" t="s">
        <v>85</v>
      </c>
      <c r="B38" s="28">
        <v>1686</v>
      </c>
      <c r="C38" s="29"/>
      <c r="D38" s="26"/>
      <c r="E38" s="26"/>
      <c r="F38" s="26"/>
      <c r="G38" s="26"/>
      <c r="H38" s="26"/>
    </row>
    <row r="39" spans="1:8" s="25" customFormat="1">
      <c r="A39" s="30" t="s">
        <v>86</v>
      </c>
      <c r="B39" s="28">
        <v>2046</v>
      </c>
      <c r="C39" s="29"/>
      <c r="D39" s="26"/>
      <c r="E39" s="26"/>
      <c r="F39" s="26"/>
      <c r="G39" s="26"/>
      <c r="H39" s="26"/>
    </row>
    <row r="40" spans="1:8" s="25" customFormat="1">
      <c r="A40" s="30" t="s">
        <v>87</v>
      </c>
      <c r="B40" s="28">
        <v>2310</v>
      </c>
      <c r="C40" s="29"/>
      <c r="D40" s="26"/>
      <c r="E40" s="26"/>
      <c r="F40" s="26"/>
      <c r="G40" s="26"/>
      <c r="H40" s="26"/>
    </row>
    <row r="41" spans="1:8" s="25" customFormat="1">
      <c r="A41" s="30" t="s">
        <v>100</v>
      </c>
      <c r="B41" s="28">
        <v>2800</v>
      </c>
      <c r="C41" s="29" t="s">
        <v>91</v>
      </c>
      <c r="D41" s="26"/>
      <c r="E41" s="26"/>
      <c r="F41" s="26"/>
      <c r="G41" s="26"/>
      <c r="H41" s="26"/>
    </row>
    <row r="42" spans="1:8" s="25" customFormat="1">
      <c r="A42" s="30" t="s">
        <v>88</v>
      </c>
      <c r="B42" s="28">
        <v>125</v>
      </c>
      <c r="C42" s="29"/>
      <c r="D42" s="26"/>
      <c r="E42" s="26"/>
      <c r="F42" s="26"/>
      <c r="G42" s="26"/>
      <c r="H42" s="26"/>
    </row>
    <row r="43" spans="1:8">
      <c r="B43" s="117" t="s">
        <v>112</v>
      </c>
      <c r="C43" s="117"/>
      <c r="D43" s="117"/>
    </row>
    <row r="46" spans="1:8">
      <c r="A46" s="24" t="s">
        <v>141</v>
      </c>
      <c r="B46" s="22" t="s">
        <v>6</v>
      </c>
      <c r="C46" s="22" t="s">
        <v>7</v>
      </c>
      <c r="F46" s="305" t="s">
        <v>27</v>
      </c>
      <c r="G46" s="305"/>
    </row>
    <row r="47" spans="1:8">
      <c r="A47" s="18" t="s">
        <v>8</v>
      </c>
      <c r="B47" s="286">
        <v>134.59</v>
      </c>
      <c r="C47" s="287">
        <f>B47/2000</f>
        <v>6.7295000000000008E-2</v>
      </c>
      <c r="F47" s="3" t="s">
        <v>28</v>
      </c>
      <c r="G47" s="5">
        <f>0.015</f>
        <v>1.4999999999999999E-2</v>
      </c>
    </row>
    <row r="48" spans="1:8">
      <c r="A48" s="18" t="s">
        <v>9</v>
      </c>
      <c r="B48" s="281">
        <v>140.82</v>
      </c>
      <c r="C48" s="288">
        <f>B48/2000</f>
        <v>7.041E-2</v>
      </c>
      <c r="F48" s="3" t="s">
        <v>29</v>
      </c>
      <c r="G48" s="6">
        <v>5.1000000000000004E-3</v>
      </c>
    </row>
    <row r="49" spans="1:7">
      <c r="A49" s="16" t="s">
        <v>10</v>
      </c>
      <c r="B49" s="286">
        <f>B48-B47</f>
        <v>6.2299999999999898</v>
      </c>
      <c r="C49" s="289">
        <f>C48-C47</f>
        <v>3.1149999999999928E-3</v>
      </c>
      <c r="F49" s="3" t="s">
        <v>58</v>
      </c>
      <c r="G49" s="7">
        <v>6.0000000000000001E-3</v>
      </c>
    </row>
    <row r="50" spans="1:7">
      <c r="F50" s="3" t="s">
        <v>17</v>
      </c>
      <c r="G50" s="19">
        <f>SUM(G47:G49)</f>
        <v>2.6099999999999998E-2</v>
      </c>
    </row>
    <row r="51" spans="1:7">
      <c r="B51" s="23" t="str">
        <f>A46</f>
        <v>King County</v>
      </c>
    </row>
    <row r="52" spans="1:7">
      <c r="A52" s="3" t="s">
        <v>4</v>
      </c>
      <c r="B52" s="20">
        <f>B49</f>
        <v>6.2299999999999898</v>
      </c>
      <c r="F52" s="3" t="s">
        <v>30</v>
      </c>
      <c r="G52" s="21">
        <f>1-G50</f>
        <v>0.97389999999999999</v>
      </c>
    </row>
    <row r="53" spans="1:7">
      <c r="A53" s="3" t="s">
        <v>26</v>
      </c>
      <c r="B53" s="20">
        <f>B52/$G$52</f>
        <v>6.3969606735804394</v>
      </c>
    </row>
    <row r="54" spans="1:7">
      <c r="A54" s="3" t="s">
        <v>25</v>
      </c>
      <c r="B54" s="9">
        <f>'Staff Calcs '!D102</f>
        <v>20675</v>
      </c>
    </row>
    <row r="55" spans="1:7">
      <c r="A55" s="2" t="s">
        <v>31</v>
      </c>
      <c r="B55" s="4">
        <f>B53*B54</f>
        <v>132257.16192627558</v>
      </c>
    </row>
    <row r="58" spans="1:7" ht="15.75" thickBot="1"/>
    <row r="59" spans="1:7">
      <c r="A59" s="85" t="s">
        <v>94</v>
      </c>
      <c r="B59" s="86" t="s">
        <v>92</v>
      </c>
      <c r="D59" s="20"/>
    </row>
    <row r="60" spans="1:7">
      <c r="A60" s="87" t="s">
        <v>93</v>
      </c>
      <c r="B60" s="88">
        <f>'Staff Calcs '!R43</f>
        <v>131269.92102343548</v>
      </c>
    </row>
    <row r="61" spans="1:7">
      <c r="A61" s="87" t="s">
        <v>13</v>
      </c>
      <c r="B61" s="88">
        <f>B60-B55</f>
        <v>-987.24090284010163</v>
      </c>
    </row>
    <row r="62" spans="1:7">
      <c r="A62" s="87"/>
      <c r="B62" s="89"/>
    </row>
    <row r="63" spans="1:7">
      <c r="A63" s="90" t="s">
        <v>95</v>
      </c>
      <c r="B63" s="91" t="s">
        <v>92</v>
      </c>
    </row>
    <row r="64" spans="1:7">
      <c r="A64" s="87" t="s">
        <v>54</v>
      </c>
      <c r="B64" s="92">
        <f>'Staff Calcs '!W43</f>
        <v>132257.16192627553</v>
      </c>
    </row>
    <row r="65" spans="1:3" ht="15.75" thickBot="1">
      <c r="A65" s="93" t="s">
        <v>13</v>
      </c>
      <c r="B65" s="94">
        <f>B64-B55</f>
        <v>0</v>
      </c>
      <c r="C65" s="20">
        <f>B61-B65</f>
        <v>-987.24090284010163</v>
      </c>
    </row>
  </sheetData>
  <mergeCells count="3">
    <mergeCell ref="A1:H1"/>
    <mergeCell ref="F46:G46"/>
    <mergeCell ref="A11:B11"/>
  </mergeCells>
  <pageMargins left="0.28000000000000003" right="0.52" top="0.75" bottom="0.75" header="0.3" footer="0.3"/>
  <pageSetup scale="72" orientation="portrait" r:id="rId1"/>
  <headerFooter>
    <oddHeader>&amp;C&amp;12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3"/>
  <sheetViews>
    <sheetView tabSelected="1" zoomScale="80" zoomScaleNormal="80" workbookViewId="0">
      <pane xSplit="3" ySplit="1" topLeftCell="R20" activePane="bottomRight" state="frozen"/>
      <selection pane="topRight" activeCell="D1" sqref="D1"/>
      <selection pane="bottomLeft" activeCell="A6" sqref="A6"/>
      <selection pane="bottomRight" activeCell="W44" sqref="W44"/>
    </sheetView>
  </sheetViews>
  <sheetFormatPr defaultColWidth="8.85546875" defaultRowHeight="15"/>
  <cols>
    <col min="1" max="1" width="5.42578125" style="61" bestFit="1" customWidth="1"/>
    <col min="2" max="2" width="27.7109375" style="65" bestFit="1" customWidth="1"/>
    <col min="3" max="3" width="30.7109375" style="61" customWidth="1"/>
    <col min="4" max="4" width="23.7109375" style="62" customWidth="1"/>
    <col min="5" max="5" width="13.7109375" style="61" customWidth="1"/>
    <col min="6" max="6" width="16" style="61" customWidth="1"/>
    <col min="7" max="7" width="19.28515625" style="122" customWidth="1"/>
    <col min="8" max="8" width="25.7109375" style="61" customWidth="1"/>
    <col min="9" max="9" width="21.7109375" style="60" customWidth="1"/>
    <col min="10" max="10" width="13.28515625" style="61" customWidth="1"/>
    <col min="11" max="11" width="12.140625" style="61" customWidth="1"/>
    <col min="12" max="12" width="13.7109375" style="61" customWidth="1"/>
    <col min="13" max="13" width="21.7109375" style="61" customWidth="1"/>
    <col min="14" max="14" width="26.28515625" style="61" bestFit="1" customWidth="1"/>
    <col min="15" max="15" width="24.28515625" style="61" bestFit="1" customWidth="1"/>
    <col min="16" max="16" width="32.7109375" style="61" bestFit="1" customWidth="1"/>
    <col min="17" max="17" width="35.140625" style="61" bestFit="1" customWidth="1"/>
    <col min="18" max="18" width="24.5703125" style="61" bestFit="1" customWidth="1"/>
    <col min="19" max="19" width="31.28515625" style="61" bestFit="1" customWidth="1"/>
    <col min="20" max="20" width="29" style="61" bestFit="1" customWidth="1"/>
    <col min="21" max="21" width="18.140625" style="61" bestFit="1" customWidth="1"/>
    <col min="22" max="23" width="21.5703125" style="61" bestFit="1" customWidth="1"/>
    <col min="24" max="16384" width="8.85546875" style="61"/>
  </cols>
  <sheetData>
    <row r="1" spans="1:23" ht="30">
      <c r="A1" s="53"/>
      <c r="B1" s="99" t="s">
        <v>16</v>
      </c>
      <c r="C1" s="79" t="s">
        <v>18</v>
      </c>
      <c r="D1" s="78" t="s">
        <v>43</v>
      </c>
      <c r="E1" s="99" t="s">
        <v>0</v>
      </c>
      <c r="F1" s="53" t="s">
        <v>1</v>
      </c>
      <c r="G1" s="118" t="s">
        <v>11</v>
      </c>
      <c r="H1" s="99" t="s">
        <v>35</v>
      </c>
      <c r="I1" s="100" t="s">
        <v>36</v>
      </c>
      <c r="J1" s="96" t="s">
        <v>10</v>
      </c>
      <c r="K1" s="78" t="s">
        <v>2</v>
      </c>
      <c r="L1" s="99" t="s">
        <v>45</v>
      </c>
      <c r="M1" s="78" t="s">
        <v>40</v>
      </c>
      <c r="N1" s="99" t="s">
        <v>37</v>
      </c>
      <c r="O1" s="99" t="s">
        <v>38</v>
      </c>
      <c r="P1" s="99" t="s">
        <v>41</v>
      </c>
      <c r="Q1" s="78" t="s">
        <v>39</v>
      </c>
      <c r="R1" s="99" t="s">
        <v>46</v>
      </c>
      <c r="S1" s="99" t="s">
        <v>42</v>
      </c>
      <c r="T1" s="99" t="s">
        <v>44</v>
      </c>
      <c r="U1" s="99" t="s">
        <v>47</v>
      </c>
      <c r="V1" s="99" t="s">
        <v>49</v>
      </c>
      <c r="W1" s="99" t="s">
        <v>48</v>
      </c>
    </row>
    <row r="2" spans="1:23" s="63" customFormat="1" ht="14.45" customHeight="1">
      <c r="A2" s="307" t="s">
        <v>14</v>
      </c>
      <c r="B2" s="269" t="str">
        <f>'Tariff Changes'!$A$7</f>
        <v>Item 100, pg 21 Appendix A</v>
      </c>
      <c r="C2" s="137" t="s">
        <v>142</v>
      </c>
      <c r="D2" s="138">
        <v>1110.4166666666667</v>
      </c>
      <c r="E2" s="73">
        <f>References!$B$7</f>
        <v>4.333333333333333</v>
      </c>
      <c r="F2" s="139">
        <f>D2*E2*12</f>
        <v>57741.666666666672</v>
      </c>
      <c r="G2" s="140">
        <f>References!$B$13</f>
        <v>20</v>
      </c>
      <c r="H2" s="72">
        <f>G2*F2</f>
        <v>1154833.3333333335</v>
      </c>
      <c r="I2" s="50">
        <f t="shared" ref="I2:I10" si="0">$D$105*H2</f>
        <v>868117.78765909513</v>
      </c>
      <c r="J2" s="71">
        <f>(References!$C$49*I2)</f>
        <v>2704.1869085580752</v>
      </c>
      <c r="K2" s="71">
        <f>J2/References!$G$52</f>
        <v>2776.6576738454414</v>
      </c>
      <c r="L2" s="71">
        <f>K2/F2*E2</f>
        <v>0.20837956276513628</v>
      </c>
      <c r="M2" s="141">
        <f>'Tariff Changes'!C8</f>
        <v>9.7899999999999991</v>
      </c>
      <c r="N2" s="71">
        <f>L2+M2</f>
        <v>9.9983795627651357</v>
      </c>
      <c r="O2" s="141">
        <f>'Tariff Changes'!E8</f>
        <v>9.9546474765655404</v>
      </c>
      <c r="P2" s="71">
        <f>M2*D2*12</f>
        <v>130451.75</v>
      </c>
      <c r="Q2" s="71">
        <f>O2*D2*12</f>
        <v>132645.67762523584</v>
      </c>
      <c r="R2" s="71">
        <f>Q2-P2</f>
        <v>2193.9276252358395</v>
      </c>
      <c r="S2" s="71">
        <f>N2*D2*12</f>
        <v>133228.40767384545</v>
      </c>
      <c r="T2" s="71">
        <f t="shared" ref="T2:T9" si="1">Q2-S2</f>
        <v>-582.73004860960646</v>
      </c>
      <c r="U2" s="74">
        <f t="shared" ref="U2:U9" si="2">N2</f>
        <v>9.9983795627651357</v>
      </c>
      <c r="V2" s="74">
        <f>U2*D2*12</f>
        <v>133228.40767384545</v>
      </c>
      <c r="W2" s="74">
        <f>V2-P2</f>
        <v>2776.657673845446</v>
      </c>
    </row>
    <row r="3" spans="1:23" s="63" customFormat="1">
      <c r="A3" s="308"/>
      <c r="B3" s="269" t="str">
        <f>'Tariff Changes'!$A$7</f>
        <v>Item 100, pg 21 Appendix A</v>
      </c>
      <c r="C3" s="125" t="s">
        <v>143</v>
      </c>
      <c r="D3" s="127">
        <v>7211.583333333333</v>
      </c>
      <c r="E3" s="73">
        <f>References!$B$7</f>
        <v>4.333333333333333</v>
      </c>
      <c r="F3" s="128">
        <f>D3*E3*12</f>
        <v>375002.33333333331</v>
      </c>
      <c r="G3" s="129">
        <f>References!B23</f>
        <v>34</v>
      </c>
      <c r="H3" s="72">
        <f t="shared" ref="H3:H9" si="3">G3*F3</f>
        <v>12750079.333333332</v>
      </c>
      <c r="I3" s="50">
        <f t="shared" si="0"/>
        <v>9584561.1170425303</v>
      </c>
      <c r="J3" s="71">
        <f>(References!$C$49*I3)</f>
        <v>29855.907879587412</v>
      </c>
      <c r="K3" s="71">
        <f>J3/References!$G$52</f>
        <v>30656.030269624614</v>
      </c>
      <c r="L3" s="71">
        <f t="shared" ref="L3:L9" si="4">K3/F3*E3</f>
        <v>0.35424525670073165</v>
      </c>
      <c r="M3" s="141">
        <f>'Tariff Changes'!C9</f>
        <v>16.05</v>
      </c>
      <c r="N3" s="71">
        <f t="shared" ref="N3:N9" si="5">L3+M3</f>
        <v>16.404245256700733</v>
      </c>
      <c r="O3" s="141">
        <f>'Tariff Changes'!E9</f>
        <v>16.327273216349351</v>
      </c>
      <c r="P3" s="71">
        <f t="shared" ref="P3:P9" si="6">M3*D3*12</f>
        <v>1388950.9500000002</v>
      </c>
      <c r="Q3" s="71">
        <f t="shared" ref="Q3:Q9" si="7">O3*D3*12</f>
        <v>1412945.8968696564</v>
      </c>
      <c r="R3" s="71">
        <f t="shared" ref="R3:R9" si="8">Q3-P3</f>
        <v>23994.946869656211</v>
      </c>
      <c r="S3" s="71">
        <f t="shared" ref="S3:S9" si="9">N3*D3*12</f>
        <v>1419606.9802696246</v>
      </c>
      <c r="T3" s="71">
        <f t="shared" si="1"/>
        <v>-6661.0833999682218</v>
      </c>
      <c r="U3" s="74">
        <f t="shared" si="2"/>
        <v>16.404245256700733</v>
      </c>
      <c r="V3" s="74">
        <f t="shared" ref="V3:V9" si="10">U3*D3*12</f>
        <v>1419606.9802696246</v>
      </c>
      <c r="W3" s="74">
        <f t="shared" ref="W3:W9" si="11">V3-P3</f>
        <v>30656.030269624433</v>
      </c>
    </row>
    <row r="4" spans="1:23" s="63" customFormat="1">
      <c r="A4" s="308"/>
      <c r="B4" s="269" t="str">
        <f>'Tariff Changes'!$A$7</f>
        <v>Item 100, pg 21 Appendix A</v>
      </c>
      <c r="C4" s="125" t="s">
        <v>144</v>
      </c>
      <c r="D4" s="127">
        <v>528.58333333333337</v>
      </c>
      <c r="E4" s="73">
        <f>References!$B$7</f>
        <v>4.333333333333333</v>
      </c>
      <c r="F4" s="128">
        <f t="shared" ref="F4:F9" si="12">D4*E4*12</f>
        <v>27486.333333333336</v>
      </c>
      <c r="G4" s="129">
        <f>References!B15</f>
        <v>51</v>
      </c>
      <c r="H4" s="72">
        <f t="shared" si="3"/>
        <v>1401803.0000000002</v>
      </c>
      <c r="I4" s="50">
        <f t="shared" si="0"/>
        <v>1053771.2100683064</v>
      </c>
      <c r="J4" s="71">
        <f>(References!$C$49*I4)</f>
        <v>3282.497319362767</v>
      </c>
      <c r="K4" s="71">
        <f>J4/References!$G$52</f>
        <v>3370.4664948791119</v>
      </c>
      <c r="L4" s="71">
        <f t="shared" si="4"/>
        <v>0.53136788505109744</v>
      </c>
      <c r="M4" s="141">
        <f>'Tariff Changes'!C10</f>
        <v>25.9</v>
      </c>
      <c r="N4" s="71">
        <f t="shared" si="5"/>
        <v>26.431367885051095</v>
      </c>
      <c r="O4" s="141">
        <f>'Tariff Changes'!E10</f>
        <v>26.454546432698695</v>
      </c>
      <c r="P4" s="71">
        <f t="shared" si="6"/>
        <v>164283.70000000001</v>
      </c>
      <c r="Q4" s="71">
        <f t="shared" si="7"/>
        <v>167801.18802260782</v>
      </c>
      <c r="R4" s="71">
        <f t="shared" si="8"/>
        <v>3517.4880226078094</v>
      </c>
      <c r="S4" s="71">
        <f t="shared" si="9"/>
        <v>167654.16649487911</v>
      </c>
      <c r="T4" s="71">
        <f t="shared" si="1"/>
        <v>147.02152772870613</v>
      </c>
      <c r="U4" s="74">
        <f t="shared" si="2"/>
        <v>26.431367885051095</v>
      </c>
      <c r="V4" s="74">
        <f t="shared" si="10"/>
        <v>167654.16649487911</v>
      </c>
      <c r="W4" s="74">
        <f t="shared" si="11"/>
        <v>3370.4664948791033</v>
      </c>
    </row>
    <row r="5" spans="1:23" s="63" customFormat="1">
      <c r="A5" s="308"/>
      <c r="B5" s="269" t="str">
        <f>'Tariff Changes'!$A$7</f>
        <v>Item 100, pg 21 Appendix A</v>
      </c>
      <c r="C5" s="125" t="s">
        <v>145</v>
      </c>
      <c r="D5" s="127">
        <v>19.416666666666668</v>
      </c>
      <c r="E5" s="73">
        <f>References!$B$7</f>
        <v>4.333333333333333</v>
      </c>
      <c r="F5" s="128">
        <f t="shared" si="12"/>
        <v>1009.6666666666666</v>
      </c>
      <c r="G5" s="129">
        <f>References!B16</f>
        <v>77</v>
      </c>
      <c r="H5" s="72">
        <f t="shared" si="3"/>
        <v>77744.333333333328</v>
      </c>
      <c r="I5" s="50">
        <f t="shared" si="0"/>
        <v>58442.40611028827</v>
      </c>
      <c r="J5" s="71">
        <f>(References!$C$49*I5)</f>
        <v>182.04809503354753</v>
      </c>
      <c r="K5" s="71">
        <f>J5/References!$G$52</f>
        <v>186.92688677846547</v>
      </c>
      <c r="L5" s="71">
        <f t="shared" si="4"/>
        <v>0.8022613166457746</v>
      </c>
      <c r="M5" s="141">
        <f>'Tariff Changes'!C11</f>
        <v>37.19</v>
      </c>
      <c r="N5" s="71">
        <f t="shared" si="5"/>
        <v>37.992261316645774</v>
      </c>
      <c r="O5" s="141">
        <f>'Tariff Changes'!E11</f>
        <v>38.021819649048041</v>
      </c>
      <c r="P5" s="71">
        <f t="shared" si="6"/>
        <v>8665.27</v>
      </c>
      <c r="Q5" s="71">
        <f t="shared" si="7"/>
        <v>8859.0839782281946</v>
      </c>
      <c r="R5" s="71">
        <f t="shared" si="8"/>
        <v>193.81397822819417</v>
      </c>
      <c r="S5" s="71">
        <f t="shared" si="9"/>
        <v>8852.1968867784672</v>
      </c>
      <c r="T5" s="71">
        <f t="shared" si="1"/>
        <v>6.8870914497274498</v>
      </c>
      <c r="U5" s="74">
        <f t="shared" si="2"/>
        <v>37.992261316645774</v>
      </c>
      <c r="V5" s="74">
        <f t="shared" si="10"/>
        <v>8852.1968867784672</v>
      </c>
      <c r="W5" s="74">
        <f t="shared" si="11"/>
        <v>186.92688677846672</v>
      </c>
    </row>
    <row r="6" spans="1:23" s="63" customFormat="1">
      <c r="A6" s="308"/>
      <c r="B6" s="269" t="str">
        <f>'Tariff Changes'!$A$7</f>
        <v>Item 100, pg 21 Appendix A</v>
      </c>
      <c r="C6" s="125" t="s">
        <v>149</v>
      </c>
      <c r="D6" s="127">
        <v>1</v>
      </c>
      <c r="E6" s="73">
        <f>References!$B$7</f>
        <v>4.333333333333333</v>
      </c>
      <c r="F6" s="128">
        <f t="shared" si="12"/>
        <v>52</v>
      </c>
      <c r="G6" s="129">
        <f>References!B17</f>
        <v>97</v>
      </c>
      <c r="H6" s="72">
        <f t="shared" si="3"/>
        <v>5044</v>
      </c>
      <c r="I6" s="50">
        <f t="shared" si="0"/>
        <v>3791.7039581057661</v>
      </c>
      <c r="J6" s="71">
        <f>(References!$C$49*I6)</f>
        <v>11.811157829499434</v>
      </c>
      <c r="K6" s="71">
        <f>J6/References!$G$52</f>
        <v>12.127690552930932</v>
      </c>
      <c r="L6" s="71">
        <f t="shared" si="4"/>
        <v>1.010640879410911</v>
      </c>
      <c r="M6" s="141">
        <f>'Tariff Changes'!C12</f>
        <v>49.56</v>
      </c>
      <c r="N6" s="71">
        <f t="shared" si="5"/>
        <v>50.570640879410917</v>
      </c>
      <c r="O6" s="141">
        <f>'Tariff Changes'!E12</f>
        <v>50.669092865397396</v>
      </c>
      <c r="P6" s="71">
        <f t="shared" si="6"/>
        <v>594.72</v>
      </c>
      <c r="Q6" s="71">
        <f t="shared" si="7"/>
        <v>608.02911438476872</v>
      </c>
      <c r="R6" s="71">
        <f t="shared" si="8"/>
        <v>13.309114384768691</v>
      </c>
      <c r="S6" s="71">
        <f t="shared" si="9"/>
        <v>606.847690552931</v>
      </c>
      <c r="T6" s="71">
        <f t="shared" si="1"/>
        <v>1.1814238318377193</v>
      </c>
      <c r="U6" s="74">
        <f t="shared" si="2"/>
        <v>50.570640879410917</v>
      </c>
      <c r="V6" s="74">
        <f t="shared" si="10"/>
        <v>606.847690552931</v>
      </c>
      <c r="W6" s="74">
        <f t="shared" si="11"/>
        <v>12.127690552930972</v>
      </c>
    </row>
    <row r="7" spans="1:23" s="63" customFormat="1">
      <c r="A7" s="308"/>
      <c r="B7" s="269" t="str">
        <f>'Tariff Changes'!$A$7</f>
        <v>Item 100, pg 21 Appendix A</v>
      </c>
      <c r="C7" s="125" t="s">
        <v>146</v>
      </c>
      <c r="D7" s="127">
        <v>5859.25</v>
      </c>
      <c r="E7" s="73">
        <f>References!$B$7</f>
        <v>4.333333333333333</v>
      </c>
      <c r="F7" s="128">
        <f t="shared" si="12"/>
        <v>304681</v>
      </c>
      <c r="G7" s="129">
        <f>References!$B$14</f>
        <v>34</v>
      </c>
      <c r="H7" s="72">
        <f t="shared" si="3"/>
        <v>10359154</v>
      </c>
      <c r="I7" s="50">
        <f t="shared" si="0"/>
        <v>7787241.3212583624</v>
      </c>
      <c r="J7" s="71">
        <f>(References!$C$49*I7)</f>
        <v>24257.256715719741</v>
      </c>
      <c r="K7" s="71">
        <f>J7/References!$G$52</f>
        <v>24907.338243885144</v>
      </c>
      <c r="L7" s="71">
        <f t="shared" si="4"/>
        <v>0.35424525670073165</v>
      </c>
      <c r="M7" s="141">
        <f>'Tariff Changes'!C14</f>
        <v>14.77</v>
      </c>
      <c r="N7" s="71">
        <f t="shared" si="5"/>
        <v>15.124245256700732</v>
      </c>
      <c r="O7" s="141">
        <f>'Tariff Changes'!E14</f>
        <v>15.047273216349348</v>
      </c>
      <c r="P7" s="71">
        <f t="shared" si="6"/>
        <v>1038493.47</v>
      </c>
      <c r="Q7" s="71">
        <f t="shared" si="7"/>
        <v>1057988.827114739</v>
      </c>
      <c r="R7" s="71">
        <f t="shared" si="8"/>
        <v>19495.357114739018</v>
      </c>
      <c r="S7" s="71">
        <f t="shared" si="9"/>
        <v>1063400.8082438852</v>
      </c>
      <c r="T7" s="71">
        <f t="shared" si="1"/>
        <v>-5411.981129146181</v>
      </c>
      <c r="U7" s="74">
        <f t="shared" si="2"/>
        <v>15.124245256700732</v>
      </c>
      <c r="V7" s="74">
        <f t="shared" si="10"/>
        <v>1063400.8082438852</v>
      </c>
      <c r="W7" s="74">
        <f t="shared" si="11"/>
        <v>24907.338243885199</v>
      </c>
    </row>
    <row r="8" spans="1:23" s="63" customFormat="1">
      <c r="A8" s="308"/>
      <c r="B8" s="269" t="str">
        <f>'Tariff Changes'!$A$7</f>
        <v>Item 100, pg 21 Appendix A</v>
      </c>
      <c r="C8" s="125" t="s">
        <v>147</v>
      </c>
      <c r="D8" s="127">
        <v>5760.666666666667</v>
      </c>
      <c r="E8" s="73">
        <f>References!$B$7</f>
        <v>4.333333333333333</v>
      </c>
      <c r="F8" s="128">
        <f t="shared" si="12"/>
        <v>299554.66666666663</v>
      </c>
      <c r="G8" s="129">
        <f>References!B21</f>
        <v>47</v>
      </c>
      <c r="H8" s="72">
        <f t="shared" si="3"/>
        <v>14079069.333333332</v>
      </c>
      <c r="I8" s="50">
        <f t="shared" si="0"/>
        <v>10583596.930540346</v>
      </c>
      <c r="J8" s="71">
        <f>(References!$C$49*I8)</f>
        <v>32967.904438633101</v>
      </c>
      <c r="K8" s="71">
        <f>J8/References!$G$52</f>
        <v>33851.426674846596</v>
      </c>
      <c r="L8" s="71">
        <f t="shared" si="4"/>
        <v>0.48969197249807023</v>
      </c>
      <c r="M8" s="141">
        <f>'Tariff Changes'!C15</f>
        <v>23.26</v>
      </c>
      <c r="N8" s="71">
        <f t="shared" si="5"/>
        <v>23.749691972498074</v>
      </c>
      <c r="O8" s="141">
        <f>'Tariff Changes'!E15</f>
        <v>23.814546432698698</v>
      </c>
      <c r="P8" s="71">
        <f t="shared" si="6"/>
        <v>1607917.2800000003</v>
      </c>
      <c r="Q8" s="71">
        <f t="shared" si="7"/>
        <v>1646251.9657995957</v>
      </c>
      <c r="R8" s="71">
        <f t="shared" si="8"/>
        <v>38334.685799595434</v>
      </c>
      <c r="S8" s="71">
        <f t="shared" si="9"/>
        <v>1641768.7066748471</v>
      </c>
      <c r="T8" s="71">
        <f t="shared" si="1"/>
        <v>4483.2591247486416</v>
      </c>
      <c r="U8" s="74">
        <f t="shared" si="2"/>
        <v>23.749691972498074</v>
      </c>
      <c r="V8" s="74">
        <f t="shared" si="10"/>
        <v>1641768.7066748471</v>
      </c>
      <c r="W8" s="74">
        <f t="shared" si="11"/>
        <v>33851.426674846793</v>
      </c>
    </row>
    <row r="9" spans="1:23" s="63" customFormat="1">
      <c r="A9" s="308"/>
      <c r="B9" s="269" t="str">
        <f>'Tariff Changes'!$A$7</f>
        <v>Item 100, pg 21 Appendix A</v>
      </c>
      <c r="C9" s="125" t="s">
        <v>148</v>
      </c>
      <c r="D9" s="127">
        <v>1556</v>
      </c>
      <c r="E9" s="73">
        <f>References!$B$7</f>
        <v>4.333333333333333</v>
      </c>
      <c r="F9" s="128">
        <f t="shared" si="12"/>
        <v>80912</v>
      </c>
      <c r="G9" s="129">
        <f>References!B22</f>
        <v>68</v>
      </c>
      <c r="H9" s="72">
        <f t="shared" si="3"/>
        <v>5502016</v>
      </c>
      <c r="I9" s="50">
        <f t="shared" si="0"/>
        <v>4136006.3133943803</v>
      </c>
      <c r="J9" s="71">
        <f>(References!$C$49*I9)</f>
        <v>12883.659666223464</v>
      </c>
      <c r="K9" s="71">
        <f>J9/References!$G$52</f>
        <v>13228.934866232123</v>
      </c>
      <c r="L9" s="71">
        <f t="shared" si="4"/>
        <v>0.7084905134014633</v>
      </c>
      <c r="M9" s="141">
        <f>'Tariff Changes'!C16</f>
        <v>31.82</v>
      </c>
      <c r="N9" s="71">
        <f t="shared" si="5"/>
        <v>32.528490513401465</v>
      </c>
      <c r="O9" s="141">
        <f>'Tariff Changes'!E16</f>
        <v>32.651819649048043</v>
      </c>
      <c r="P9" s="71">
        <f t="shared" si="6"/>
        <v>594143.04</v>
      </c>
      <c r="Q9" s="71">
        <f t="shared" si="7"/>
        <v>609674.77648702497</v>
      </c>
      <c r="R9" s="71">
        <f t="shared" si="8"/>
        <v>15531.736487024929</v>
      </c>
      <c r="S9" s="71">
        <f t="shared" si="9"/>
        <v>607371.97486623214</v>
      </c>
      <c r="T9" s="71">
        <f t="shared" si="1"/>
        <v>2302.8016207928304</v>
      </c>
      <c r="U9" s="74">
        <f t="shared" si="2"/>
        <v>32.528490513401465</v>
      </c>
      <c r="V9" s="74">
        <f t="shared" si="10"/>
        <v>607371.97486623214</v>
      </c>
      <c r="W9" s="74">
        <f t="shared" si="11"/>
        <v>13228.934866232099</v>
      </c>
    </row>
    <row r="10" spans="1:23" s="63" customFormat="1">
      <c r="A10" s="66"/>
      <c r="B10" s="269" t="str">
        <f>'Tariff Changes'!$A$7</f>
        <v>Item 100, pg 21 Appendix A</v>
      </c>
      <c r="C10" s="125" t="s">
        <v>108</v>
      </c>
      <c r="D10" s="127">
        <v>422.91666666666669</v>
      </c>
      <c r="E10" s="73">
        <f>References!$B$9</f>
        <v>1</v>
      </c>
      <c r="F10" s="128">
        <f t="shared" ref="F10" si="13">D10*E10*12</f>
        <v>5075</v>
      </c>
      <c r="G10" s="129">
        <f>References!B23</f>
        <v>34</v>
      </c>
      <c r="H10" s="72">
        <f t="shared" ref="H10" si="14">G10*F10</f>
        <v>172550</v>
      </c>
      <c r="I10" s="50">
        <f t="shared" si="0"/>
        <v>129710.25336462133</v>
      </c>
      <c r="J10" s="71">
        <f>(References!$C$49*I10)</f>
        <v>404.04743923079451</v>
      </c>
      <c r="K10" s="71">
        <f>J10/References!$G$52</f>
        <v>414.87569486681849</v>
      </c>
      <c r="L10" s="71">
        <f t="shared" ref="L10" si="15">K10/F10*E10</f>
        <v>8.1748905392476548E-2</v>
      </c>
      <c r="M10" s="141">
        <f>'Tariff Changes'!C17</f>
        <v>6.78</v>
      </c>
      <c r="N10" s="71">
        <f t="shared" ref="N10" si="16">L10+M10</f>
        <v>6.8617489053924769</v>
      </c>
      <c r="O10" s="141">
        <f>'Tariff Changes'!E17</f>
        <v>6.844035384838187</v>
      </c>
      <c r="P10" s="71">
        <f t="shared" ref="P10" si="17">M10*D10*12</f>
        <v>34408.500000000007</v>
      </c>
      <c r="Q10" s="71">
        <f t="shared" ref="Q10" si="18">O10*D10*12</f>
        <v>34733.479578053804</v>
      </c>
      <c r="R10" s="71">
        <f t="shared" ref="R10" si="19">Q10-P10</f>
        <v>324.97957805379701</v>
      </c>
      <c r="S10" s="71">
        <f t="shared" ref="S10" si="20">N10*D10*12</f>
        <v>34823.375694866823</v>
      </c>
      <c r="T10" s="71">
        <f t="shared" ref="T10" si="21">Q10-S10</f>
        <v>-89.896116813019034</v>
      </c>
      <c r="U10" s="74">
        <f t="shared" ref="U10" si="22">N10</f>
        <v>6.8617489053924769</v>
      </c>
      <c r="V10" s="74">
        <f t="shared" ref="V10" si="23">U10*D10*12</f>
        <v>34823.375694866823</v>
      </c>
      <c r="W10" s="74">
        <f t="shared" ref="W10" si="24">V10-P10</f>
        <v>414.87569486681605</v>
      </c>
    </row>
    <row r="11" spans="1:23" s="63" customFormat="1">
      <c r="A11" s="66"/>
      <c r="B11" s="116"/>
      <c r="C11" s="125"/>
      <c r="D11" s="127"/>
      <c r="E11" s="73"/>
      <c r="F11" s="72"/>
      <c r="G11" s="129"/>
      <c r="H11" s="72"/>
      <c r="I11" s="50"/>
      <c r="J11" s="71"/>
      <c r="K11" s="71"/>
      <c r="L11" s="71"/>
      <c r="M11" s="130"/>
      <c r="N11" s="71"/>
      <c r="O11" s="71"/>
      <c r="P11" s="71"/>
      <c r="Q11" s="71"/>
      <c r="R11" s="71"/>
      <c r="S11" s="71"/>
      <c r="T11" s="71"/>
      <c r="U11" s="74"/>
      <c r="V11" s="74"/>
      <c r="W11" s="74"/>
    </row>
    <row r="12" spans="1:23" s="63" customFormat="1">
      <c r="A12" s="54"/>
      <c r="B12" s="80"/>
      <c r="C12" s="55" t="s">
        <v>17</v>
      </c>
      <c r="D12" s="56">
        <f>SUM(D2:D11)</f>
        <v>22469.833333333336</v>
      </c>
      <c r="E12" s="57"/>
      <c r="F12" s="56">
        <f>SUM(F2:F11)</f>
        <v>1151514.6666666665</v>
      </c>
      <c r="G12" s="119"/>
      <c r="H12" s="56">
        <f>SUM(H2:H11)</f>
        <v>45502293.333333328</v>
      </c>
      <c r="I12" s="56">
        <f>SUM(I2:I11)</f>
        <v>34205239.043396041</v>
      </c>
      <c r="J12" s="76"/>
      <c r="K12" s="76"/>
      <c r="L12" s="76"/>
      <c r="M12" s="76"/>
      <c r="N12" s="76"/>
      <c r="O12" s="76"/>
      <c r="P12" s="56">
        <f>SUM(P2:P11)</f>
        <v>4967908.6800000006</v>
      </c>
      <c r="Q12" s="136">
        <f>SUM(Q2:Q11)</f>
        <v>5071508.9245895259</v>
      </c>
      <c r="R12" s="136">
        <f>SUM(R2:R11)</f>
        <v>103600.244589526</v>
      </c>
      <c r="S12" s="136">
        <f>SUM(S2:S11)</f>
        <v>5077313.4644955117</v>
      </c>
      <c r="T12" s="136">
        <f>SUM(T2:T11)</f>
        <v>-5804.5399059852862</v>
      </c>
      <c r="U12" s="136"/>
      <c r="V12" s="136">
        <f>SUM(V2:V11)</f>
        <v>5077313.4644955117</v>
      </c>
      <c r="W12" s="136">
        <f>SUM(W2:W11)</f>
        <v>109404.7844955113</v>
      </c>
    </row>
    <row r="13" spans="1:23" s="63" customFormat="1" ht="14.45" customHeight="1">
      <c r="A13" s="307" t="s">
        <v>15</v>
      </c>
      <c r="B13" s="126" t="str">
        <f>'Tariff Changes'!$A$73</f>
        <v>Item 240, pg 39</v>
      </c>
      <c r="C13" s="131" t="s">
        <v>150</v>
      </c>
      <c r="D13" s="60"/>
      <c r="E13" s="73"/>
      <c r="F13" s="132">
        <f>784.273*12</f>
        <v>9411.2759999999998</v>
      </c>
      <c r="G13" s="129">
        <f>References!B26</f>
        <v>29</v>
      </c>
      <c r="H13" s="72">
        <f t="shared" ref="H13:H24" si="25">G13*F13</f>
        <v>272927.00400000002</v>
      </c>
      <c r="I13" s="50">
        <f t="shared" ref="I13:I27" si="26">$D$105*H13</f>
        <v>205166.2175536773</v>
      </c>
      <c r="J13" s="71">
        <f>(References!$C$49*I13)</f>
        <v>639.09276767970334</v>
      </c>
      <c r="K13" s="71">
        <f>J13/References!$G$52</f>
        <v>656.22011261906084</v>
      </c>
      <c r="L13" s="71">
        <f t="shared" ref="L13:L14" si="27">K13/F13</f>
        <v>6.9727007540641761E-2</v>
      </c>
      <c r="M13" s="71">
        <f>'Tariff Changes'!C74</f>
        <v>3.93</v>
      </c>
      <c r="N13" s="71">
        <f t="shared" ref="N13:N14" si="28">L13+M13</f>
        <v>3.9997270075406419</v>
      </c>
      <c r="O13" s="71">
        <f>'Tariff Changes'!E74</f>
        <v>3.9998595555544219</v>
      </c>
      <c r="P13" s="71">
        <f t="shared" ref="P13:P14" si="29">M13*F13</f>
        <v>36986.314680000003</v>
      </c>
      <c r="Q13" s="71">
        <f t="shared" ref="Q13:Q14" si="30">O13*F13</f>
        <v>37643.782238559994</v>
      </c>
      <c r="R13" s="71">
        <f t="shared" ref="R13:R14" si="31">Q13-P13</f>
        <v>657.46755855999072</v>
      </c>
      <c r="S13" s="71">
        <f t="shared" ref="S13:S14" si="32">N13*F13</f>
        <v>37642.534792619059</v>
      </c>
      <c r="T13" s="71">
        <f t="shared" ref="T13:T14" si="33">Q13-S13</f>
        <v>1.2474459409349947</v>
      </c>
      <c r="U13" s="74">
        <f t="shared" ref="U13:U14" si="34">N13</f>
        <v>3.9997270075406419</v>
      </c>
      <c r="V13" s="74">
        <f t="shared" ref="V13:V14" si="35">U13*F13</f>
        <v>37642.534792619059</v>
      </c>
      <c r="W13" s="74">
        <f t="shared" ref="W13:W14" si="36">V13-P13</f>
        <v>656.22011261905573</v>
      </c>
    </row>
    <row r="14" spans="1:23" s="63" customFormat="1">
      <c r="A14" s="308"/>
      <c r="B14" s="126" t="str">
        <f>'Tariff Changes'!$A$73</f>
        <v>Item 240, pg 39</v>
      </c>
      <c r="C14" s="131" t="s">
        <v>152</v>
      </c>
      <c r="D14" s="60"/>
      <c r="E14" s="73"/>
      <c r="F14" s="132">
        <f>289.22775*12</f>
        <v>3470.7330000000002</v>
      </c>
      <c r="G14" s="129">
        <f>References!B27</f>
        <v>175</v>
      </c>
      <c r="H14" s="72">
        <f t="shared" si="25"/>
        <v>607378.27500000002</v>
      </c>
      <c r="I14" s="50">
        <f t="shared" si="26"/>
        <v>456581.80201922136</v>
      </c>
      <c r="J14" s="71">
        <f>(References!$C$49*I14)</f>
        <v>1422.2523132898712</v>
      </c>
      <c r="K14" s="71">
        <f>J14/References!$G$52</f>
        <v>1460.3679158947234</v>
      </c>
      <c r="L14" s="71">
        <f t="shared" si="27"/>
        <v>0.42076642481421744</v>
      </c>
      <c r="M14" s="71">
        <f>'Tariff Changes'!C77</f>
        <v>20.440000000000001</v>
      </c>
      <c r="N14" s="71">
        <f t="shared" si="28"/>
        <v>20.860766424814219</v>
      </c>
      <c r="O14" s="71">
        <f>'Tariff Changes'!E77</f>
        <v>20.882149085787482</v>
      </c>
      <c r="P14" s="71">
        <f t="shared" si="29"/>
        <v>70941.782520000008</v>
      </c>
      <c r="Q14" s="71">
        <f t="shared" si="30"/>
        <v>72476.363942962445</v>
      </c>
      <c r="R14" s="71">
        <f t="shared" si="31"/>
        <v>1534.5814229624375</v>
      </c>
      <c r="S14" s="71">
        <f t="shared" si="32"/>
        <v>72402.150435894728</v>
      </c>
      <c r="T14" s="71">
        <f t="shared" si="33"/>
        <v>74.213507067717728</v>
      </c>
      <c r="U14" s="74">
        <f t="shared" si="34"/>
        <v>20.860766424814219</v>
      </c>
      <c r="V14" s="74">
        <f t="shared" si="35"/>
        <v>72402.150435894728</v>
      </c>
      <c r="W14" s="74">
        <f t="shared" si="36"/>
        <v>1460.3679158947198</v>
      </c>
    </row>
    <row r="15" spans="1:23" s="63" customFormat="1">
      <c r="A15" s="308"/>
      <c r="B15" s="126" t="str">
        <f>'Tariff Changes'!$A$73</f>
        <v>Item 240, pg 39</v>
      </c>
      <c r="C15" s="131" t="s">
        <v>153</v>
      </c>
      <c r="D15" s="72"/>
      <c r="E15" s="73"/>
      <c r="F15" s="133">
        <f>83.41025*12</f>
        <v>1000.923</v>
      </c>
      <c r="G15" s="134">
        <f>References!B28</f>
        <v>250</v>
      </c>
      <c r="H15" s="72">
        <f t="shared" si="25"/>
        <v>250230.75</v>
      </c>
      <c r="I15" s="50">
        <f t="shared" si="26"/>
        <v>188104.86225510991</v>
      </c>
      <c r="J15" s="71">
        <f>(References!$C$49*I15)</f>
        <v>585.94664592466597</v>
      </c>
      <c r="K15" s="71">
        <f>J15/References!$G$52</f>
        <v>601.6497031776014</v>
      </c>
      <c r="L15" s="71">
        <f t="shared" ref="L15:L24" si="37">K15/F15</f>
        <v>0.6010948925917392</v>
      </c>
      <c r="M15" s="71">
        <f>'Tariff Changes'!C78</f>
        <v>27.48</v>
      </c>
      <c r="N15" s="71">
        <f t="shared" ref="N15:N24" si="38">L15+M15</f>
        <v>28.081094892591739</v>
      </c>
      <c r="O15" s="71">
        <f>'Tariff Changes'!E78</f>
        <v>28.14322362868122</v>
      </c>
      <c r="P15" s="71">
        <f t="shared" ref="P15:P24" si="39">M15*F15</f>
        <v>27505.36404</v>
      </c>
      <c r="Q15" s="71">
        <f t="shared" ref="Q15:Q24" si="40">O15*F15</f>
        <v>28169.199824090494</v>
      </c>
      <c r="R15" s="71">
        <f t="shared" ref="R15:R24" si="41">Q15-P15</f>
        <v>663.83578409049369</v>
      </c>
      <c r="S15" s="71">
        <f t="shared" ref="S15:S24" si="42">N15*F15</f>
        <v>28107.013743177602</v>
      </c>
      <c r="T15" s="71">
        <f t="shared" ref="T15:T24" si="43">Q15-S15</f>
        <v>62.186080912892066</v>
      </c>
      <c r="U15" s="74">
        <f t="shared" ref="U15:U24" si="44">N15</f>
        <v>28.081094892591739</v>
      </c>
      <c r="V15" s="74">
        <f t="shared" ref="V15:V24" si="45">U15*F15</f>
        <v>28107.013743177602</v>
      </c>
      <c r="W15" s="74">
        <f t="shared" ref="W15:W24" si="46">V15-P15</f>
        <v>601.64970317760162</v>
      </c>
    </row>
    <row r="16" spans="1:23" s="63" customFormat="1">
      <c r="A16" s="308"/>
      <c r="B16" s="126" t="str">
        <f>'Tariff Changes'!$A$73</f>
        <v>Item 240, pg 39</v>
      </c>
      <c r="C16" s="131" t="s">
        <v>154</v>
      </c>
      <c r="D16" s="72"/>
      <c r="E16" s="73"/>
      <c r="F16" s="133">
        <f>361.8055*12</f>
        <v>4341.6660000000002</v>
      </c>
      <c r="G16" s="134">
        <f>References!B29</f>
        <v>324</v>
      </c>
      <c r="H16" s="72">
        <f t="shared" si="25"/>
        <v>1406699.784</v>
      </c>
      <c r="I16" s="50">
        <f t="shared" si="26"/>
        <v>1057452.2479895572</v>
      </c>
      <c r="J16" s="71">
        <f>(References!$C$49*I16)</f>
        <v>3293.9637524874629</v>
      </c>
      <c r="K16" s="71">
        <f>J16/References!$G$52</f>
        <v>3382.2402222892115</v>
      </c>
      <c r="L16" s="71">
        <f t="shared" si="37"/>
        <v>0.77901898079889409</v>
      </c>
      <c r="M16" s="71">
        <f>'Tariff Changes'!C79</f>
        <v>38.130000000000003</v>
      </c>
      <c r="N16" s="71">
        <f t="shared" si="38"/>
        <v>38.909018980798898</v>
      </c>
      <c r="O16" s="71">
        <f>'Tariff Changes'!E79</f>
        <v>39.014298171574964</v>
      </c>
      <c r="P16" s="71">
        <f t="shared" si="39"/>
        <v>165547.72458000001</v>
      </c>
      <c r="Q16" s="71">
        <f t="shared" si="40"/>
        <v>169387.0518853892</v>
      </c>
      <c r="R16" s="71">
        <f t="shared" si="41"/>
        <v>3839.3273053891899</v>
      </c>
      <c r="S16" s="71">
        <f t="shared" si="42"/>
        <v>168929.96480228924</v>
      </c>
      <c r="T16" s="71">
        <f t="shared" si="43"/>
        <v>457.08708309996291</v>
      </c>
      <c r="U16" s="74">
        <f t="shared" si="44"/>
        <v>38.909018980798898</v>
      </c>
      <c r="V16" s="74">
        <f t="shared" si="45"/>
        <v>168929.96480228924</v>
      </c>
      <c r="W16" s="74">
        <f t="shared" si="46"/>
        <v>3382.2402222892269</v>
      </c>
    </row>
    <row r="17" spans="1:23" s="63" customFormat="1">
      <c r="A17" s="308"/>
      <c r="B17" s="126" t="str">
        <f>'Tariff Changes'!$A$73</f>
        <v>Item 240, pg 39</v>
      </c>
      <c r="C17" s="131" t="s">
        <v>155</v>
      </c>
      <c r="D17" s="60"/>
      <c r="E17" s="73"/>
      <c r="F17" s="132">
        <f>188.4855*12</f>
        <v>2261.826</v>
      </c>
      <c r="G17" s="134">
        <f>References!B30</f>
        <v>473</v>
      </c>
      <c r="H17" s="72">
        <f t="shared" si="25"/>
        <v>1069843.6980000001</v>
      </c>
      <c r="I17" s="50">
        <f t="shared" si="26"/>
        <v>804228.90251013287</v>
      </c>
      <c r="J17" s="71">
        <f>(References!$C$49*I17)</f>
        <v>2505.1730313190583</v>
      </c>
      <c r="K17" s="71">
        <f>J17/References!$G$52</f>
        <v>2572.310330957037</v>
      </c>
      <c r="L17" s="71">
        <f t="shared" si="37"/>
        <v>1.1372715367835708</v>
      </c>
      <c r="M17" s="71">
        <f>'Tariff Changes'!C80</f>
        <v>54.17</v>
      </c>
      <c r="N17" s="71">
        <f t="shared" si="38"/>
        <v>55.307271536783574</v>
      </c>
      <c r="O17" s="71">
        <f>'Tariff Changes'!E80</f>
        <v>55.496447257362441</v>
      </c>
      <c r="P17" s="71">
        <f t="shared" si="39"/>
        <v>122523.11442</v>
      </c>
      <c r="Q17" s="71">
        <f t="shared" si="40"/>
        <v>125523.30731433106</v>
      </c>
      <c r="R17" s="71">
        <f t="shared" si="41"/>
        <v>3000.1928943310631</v>
      </c>
      <c r="S17" s="71">
        <f t="shared" si="42"/>
        <v>125095.42475095704</v>
      </c>
      <c r="T17" s="71">
        <f t="shared" si="43"/>
        <v>427.88256337401981</v>
      </c>
      <c r="U17" s="74">
        <f t="shared" si="44"/>
        <v>55.307271536783574</v>
      </c>
      <c r="V17" s="74">
        <f t="shared" si="45"/>
        <v>125095.42475095704</v>
      </c>
      <c r="W17" s="74">
        <f t="shared" si="46"/>
        <v>2572.3103309570433</v>
      </c>
    </row>
    <row r="18" spans="1:23" s="63" customFormat="1">
      <c r="A18" s="308"/>
      <c r="B18" s="126" t="str">
        <f>'Tariff Changes'!$A$73</f>
        <v>Item 240, pg 39</v>
      </c>
      <c r="C18" s="131" t="s">
        <v>156</v>
      </c>
      <c r="D18" s="60"/>
      <c r="E18" s="73"/>
      <c r="F18" s="132">
        <f>265.39625*12</f>
        <v>3184.7550000000001</v>
      </c>
      <c r="G18" s="134">
        <f>References!B31</f>
        <v>613</v>
      </c>
      <c r="H18" s="72">
        <f t="shared" si="25"/>
        <v>1952254.8150000002</v>
      </c>
      <c r="I18" s="50">
        <f t="shared" si="26"/>
        <v>1467559.9344303214</v>
      </c>
      <c r="J18" s="71">
        <f>(References!$C$49*I18)</f>
        <v>4571.4491957504406</v>
      </c>
      <c r="K18" s="71">
        <f>J18/References!$G$52</f>
        <v>4693.9615933365239</v>
      </c>
      <c r="L18" s="71">
        <f t="shared" si="37"/>
        <v>1.4738846766349449</v>
      </c>
      <c r="M18" s="71">
        <f>'Tariff Changes'!C81</f>
        <v>67.62</v>
      </c>
      <c r="N18" s="71">
        <f t="shared" si="38"/>
        <v>69.093884676634943</v>
      </c>
      <c r="O18" s="71">
        <f>'Tariff Changes'!E81</f>
        <v>69.388596343149928</v>
      </c>
      <c r="P18" s="71">
        <f t="shared" si="39"/>
        <v>215353.13310000004</v>
      </c>
      <c r="Q18" s="71">
        <f t="shared" si="40"/>
        <v>220985.67914682845</v>
      </c>
      <c r="R18" s="71">
        <f t="shared" si="41"/>
        <v>5632.5460468284145</v>
      </c>
      <c r="S18" s="71">
        <f t="shared" si="42"/>
        <v>220047.09469333652</v>
      </c>
      <c r="T18" s="71">
        <f t="shared" si="43"/>
        <v>938.58445349193062</v>
      </c>
      <c r="U18" s="74">
        <f t="shared" si="44"/>
        <v>69.093884676634943</v>
      </c>
      <c r="V18" s="74">
        <f t="shared" si="45"/>
        <v>220047.09469333652</v>
      </c>
      <c r="W18" s="74">
        <f t="shared" si="46"/>
        <v>4693.9615933364839</v>
      </c>
    </row>
    <row r="19" spans="1:23" s="63" customFormat="1">
      <c r="A19" s="308"/>
      <c r="B19" s="126" t="str">
        <f>'Tariff Changes'!$A$73</f>
        <v>Item 240, pg 39</v>
      </c>
      <c r="C19" s="131" t="s">
        <v>157</v>
      </c>
      <c r="D19" s="60"/>
      <c r="E19" s="73"/>
      <c r="F19" s="132">
        <f>121.324*12</f>
        <v>1455.8879999999999</v>
      </c>
      <c r="G19" s="134">
        <f>References!B32</f>
        <v>840</v>
      </c>
      <c r="H19" s="72">
        <f t="shared" si="25"/>
        <v>1222945.92</v>
      </c>
      <c r="I19" s="50">
        <f t="shared" si="26"/>
        <v>919319.76316679164</v>
      </c>
      <c r="J19" s="71">
        <f>(References!$C$49*I19)</f>
        <v>2863.6810622645494</v>
      </c>
      <c r="K19" s="71">
        <f>J19/References!$G$52</f>
        <v>2940.4261857116226</v>
      </c>
      <c r="L19" s="71">
        <f t="shared" si="37"/>
        <v>2.0196788391082436</v>
      </c>
      <c r="M19" s="71">
        <f>'Tariff Changes'!C82</f>
        <v>100.52</v>
      </c>
      <c r="N19" s="71">
        <f t="shared" si="38"/>
        <v>102.53967883910823</v>
      </c>
      <c r="O19" s="71">
        <f>'Tariff Changes'!E82</f>
        <v>103.17289451472487</v>
      </c>
      <c r="P19" s="71">
        <f t="shared" si="39"/>
        <v>146345.86176</v>
      </c>
      <c r="Q19" s="71">
        <f t="shared" si="40"/>
        <v>150208.17904925375</v>
      </c>
      <c r="R19" s="71">
        <f t="shared" si="41"/>
        <v>3862.317289253755</v>
      </c>
      <c r="S19" s="71">
        <f t="shared" si="42"/>
        <v>149286.28794571161</v>
      </c>
      <c r="T19" s="71">
        <f t="shared" si="43"/>
        <v>921.8911035421479</v>
      </c>
      <c r="U19" s="74">
        <f t="shared" si="44"/>
        <v>102.53967883910823</v>
      </c>
      <c r="V19" s="74">
        <f t="shared" si="45"/>
        <v>149286.28794571161</v>
      </c>
      <c r="W19" s="74">
        <f t="shared" si="46"/>
        <v>2940.4261857116071</v>
      </c>
    </row>
    <row r="20" spans="1:23" s="63" customFormat="1" ht="15" customHeight="1">
      <c r="A20" s="308"/>
      <c r="B20" s="126" t="str">
        <f>'Tariff Changes'!$A$73</f>
        <v>Item 240, pg 39</v>
      </c>
      <c r="C20" s="131" t="s">
        <v>158</v>
      </c>
      <c r="D20" s="60"/>
      <c r="E20" s="73"/>
      <c r="F20" s="132">
        <f>100.74225*12</f>
        <v>1208.9069999999999</v>
      </c>
      <c r="G20" s="134">
        <f>References!B33</f>
        <v>980</v>
      </c>
      <c r="H20" s="72">
        <f t="shared" si="25"/>
        <v>1184728.8599999999</v>
      </c>
      <c r="I20" s="50">
        <f t="shared" si="26"/>
        <v>890591.02056782937</v>
      </c>
      <c r="J20" s="71">
        <f>(References!$C$49*I20)</f>
        <v>2774.191029068782</v>
      </c>
      <c r="K20" s="71">
        <f>J20/References!$G$52</f>
        <v>2848.5378674081344</v>
      </c>
      <c r="L20" s="71">
        <f t="shared" si="37"/>
        <v>2.3562919789596175</v>
      </c>
      <c r="M20" s="71">
        <f>'Tariff Changes'!C83</f>
        <v>126.58</v>
      </c>
      <c r="N20" s="71">
        <f t="shared" si="38"/>
        <v>128.93629197895962</v>
      </c>
      <c r="O20" s="71">
        <f>'Tariff Changes'!E83</f>
        <v>130.11719268629983</v>
      </c>
      <c r="P20" s="71">
        <f t="shared" si="39"/>
        <v>153023.44806</v>
      </c>
      <c r="Q20" s="71">
        <f t="shared" si="40"/>
        <v>157299.58505881665</v>
      </c>
      <c r="R20" s="71">
        <f t="shared" si="41"/>
        <v>4276.1369988166553</v>
      </c>
      <c r="S20" s="71">
        <f t="shared" si="42"/>
        <v>155871.98592740812</v>
      </c>
      <c r="T20" s="71">
        <f t="shared" si="43"/>
        <v>1427.5991314085259</v>
      </c>
      <c r="U20" s="74">
        <f t="shared" si="44"/>
        <v>128.93629197895962</v>
      </c>
      <c r="V20" s="74">
        <f t="shared" si="45"/>
        <v>155871.98592740812</v>
      </c>
      <c r="W20" s="74">
        <f t="shared" si="46"/>
        <v>2848.5378674081294</v>
      </c>
    </row>
    <row r="21" spans="1:23" s="63" customFormat="1">
      <c r="A21" s="308"/>
      <c r="B21" s="126" t="str">
        <f>'Tariff Changes'!$A$73</f>
        <v>Item 240, pg 39</v>
      </c>
      <c r="C21" s="131" t="s">
        <v>250</v>
      </c>
      <c r="D21" s="60"/>
      <c r="E21" s="73"/>
      <c r="F21" s="132">
        <f>5*12</f>
        <v>60</v>
      </c>
      <c r="G21" s="134">
        <f>References!B27</f>
        <v>175</v>
      </c>
      <c r="H21" s="72">
        <f t="shared" si="25"/>
        <v>10500</v>
      </c>
      <c r="I21" s="50">
        <f t="shared" si="26"/>
        <v>7893.1188660012976</v>
      </c>
      <c r="J21" s="71">
        <f>(References!$C$49*I21)</f>
        <v>24.587065267593985</v>
      </c>
      <c r="K21" s="71">
        <f>J21/References!$G$52</f>
        <v>25.245985488853051</v>
      </c>
      <c r="L21" s="71">
        <f t="shared" si="37"/>
        <v>0.4207664248142175</v>
      </c>
      <c r="M21" s="71">
        <f>'Tariff Changes'!C88</f>
        <v>21.94</v>
      </c>
      <c r="N21" s="71">
        <f t="shared" si="38"/>
        <v>22.360766424814219</v>
      </c>
      <c r="O21" s="71">
        <f>'Tariff Changes'!E88</f>
        <v>22.382149085787482</v>
      </c>
      <c r="P21" s="71">
        <f t="shared" si="39"/>
        <v>1316.4</v>
      </c>
      <c r="Q21" s="71">
        <f t="shared" si="40"/>
        <v>1342.9289451472489</v>
      </c>
      <c r="R21" s="71">
        <f t="shared" si="41"/>
        <v>26.528945147248805</v>
      </c>
      <c r="S21" s="71">
        <f t="shared" si="42"/>
        <v>1341.6459854888531</v>
      </c>
      <c r="T21" s="71">
        <f t="shared" si="43"/>
        <v>1.2829596583958391</v>
      </c>
      <c r="U21" s="74">
        <f t="shared" si="44"/>
        <v>22.360766424814219</v>
      </c>
      <c r="V21" s="74">
        <f t="shared" si="45"/>
        <v>1341.6459854888531</v>
      </c>
      <c r="W21" s="74">
        <f t="shared" si="46"/>
        <v>25.245985488852966</v>
      </c>
    </row>
    <row r="22" spans="1:23" s="63" customFormat="1">
      <c r="A22" s="308"/>
      <c r="B22" s="126" t="str">
        <f>'Tariff Changes'!$A$73</f>
        <v>Item 240, pg 39</v>
      </c>
      <c r="C22" s="142" t="s">
        <v>251</v>
      </c>
      <c r="D22" s="60"/>
      <c r="E22" s="73"/>
      <c r="F22" s="132">
        <f>4*12</f>
        <v>48</v>
      </c>
      <c r="G22" s="129">
        <f>References!B29</f>
        <v>324</v>
      </c>
      <c r="H22" s="72">
        <f t="shared" si="25"/>
        <v>15552</v>
      </c>
      <c r="I22" s="50">
        <f t="shared" si="26"/>
        <v>11690.83662895735</v>
      </c>
      <c r="J22" s="71">
        <f>(References!$C$49*I22)</f>
        <v>36.416956099202061</v>
      </c>
      <c r="K22" s="71">
        <f>J22/References!$G$52</f>
        <v>37.392911078346913</v>
      </c>
      <c r="L22" s="71">
        <f t="shared" si="37"/>
        <v>0.77901898079889398</v>
      </c>
      <c r="M22" s="71">
        <f>'Tariff Changes'!C90</f>
        <v>41.58</v>
      </c>
      <c r="N22" s="71">
        <f t="shared" si="38"/>
        <v>42.359018980798893</v>
      </c>
      <c r="O22" s="71">
        <f>'Tariff Changes'!E90</f>
        <v>46.222565400768545</v>
      </c>
      <c r="P22" s="71">
        <f t="shared" si="39"/>
        <v>1995.84</v>
      </c>
      <c r="Q22" s="71">
        <f t="shared" si="40"/>
        <v>2218.6831392368904</v>
      </c>
      <c r="R22" s="71">
        <f t="shared" si="41"/>
        <v>222.84313923689047</v>
      </c>
      <c r="S22" s="71">
        <f t="shared" si="42"/>
        <v>2033.2329110783469</v>
      </c>
      <c r="T22" s="71">
        <f t="shared" si="43"/>
        <v>185.4502281585435</v>
      </c>
      <c r="U22" s="74">
        <f t="shared" si="44"/>
        <v>42.359018980798893</v>
      </c>
      <c r="V22" s="74">
        <f t="shared" si="45"/>
        <v>2033.2329110783469</v>
      </c>
      <c r="W22" s="74">
        <f t="shared" si="46"/>
        <v>37.39291107834697</v>
      </c>
    </row>
    <row r="23" spans="1:23" s="63" customFormat="1">
      <c r="A23" s="308"/>
      <c r="B23" s="126" t="str">
        <f>'Tariff Changes'!$A$73</f>
        <v>Item 240, pg 39</v>
      </c>
      <c r="C23" s="131" t="s">
        <v>252</v>
      </c>
      <c r="D23" s="72"/>
      <c r="E23" s="73"/>
      <c r="F23" s="133">
        <f>4*12</f>
        <v>48</v>
      </c>
      <c r="G23" s="129">
        <f>References!B30</f>
        <v>473</v>
      </c>
      <c r="H23" s="72">
        <f t="shared" si="25"/>
        <v>22704</v>
      </c>
      <c r="I23" s="50">
        <f t="shared" si="26"/>
        <v>17067.178165113663</v>
      </c>
      <c r="J23" s="71">
        <f>(References!$C$49*I23)</f>
        <v>53.164259984328936</v>
      </c>
      <c r="K23" s="71">
        <f>J23/References!$G$52</f>
        <v>54.589033765611397</v>
      </c>
      <c r="L23" s="71">
        <f t="shared" si="37"/>
        <v>1.1372715367835708</v>
      </c>
      <c r="M23" s="71">
        <f>'Tariff Changes'!C91</f>
        <v>57.52</v>
      </c>
      <c r="N23" s="71">
        <f t="shared" si="38"/>
        <v>58.657271536783576</v>
      </c>
      <c r="O23" s="71">
        <f>'Tariff Changes'!E91</f>
        <v>58.846447257362442</v>
      </c>
      <c r="P23" s="71">
        <f t="shared" si="39"/>
        <v>2760.96</v>
      </c>
      <c r="Q23" s="71">
        <f t="shared" si="40"/>
        <v>2824.629468353397</v>
      </c>
      <c r="R23" s="71">
        <f t="shared" si="41"/>
        <v>63.669468353396951</v>
      </c>
      <c r="S23" s="71">
        <f t="shared" si="42"/>
        <v>2815.5490337656115</v>
      </c>
      <c r="T23" s="71">
        <f t="shared" si="43"/>
        <v>9.0804345877854757</v>
      </c>
      <c r="U23" s="74">
        <f t="shared" si="44"/>
        <v>58.657271536783576</v>
      </c>
      <c r="V23" s="74">
        <f t="shared" si="45"/>
        <v>2815.5490337656115</v>
      </c>
      <c r="W23" s="74">
        <f t="shared" si="46"/>
        <v>54.589033765611475</v>
      </c>
    </row>
    <row r="24" spans="1:23" s="63" customFormat="1">
      <c r="A24" s="308"/>
      <c r="B24" s="126" t="str">
        <f>'Tariff Changes'!$A$73</f>
        <v>Item 240, pg 39</v>
      </c>
      <c r="C24" s="131" t="s">
        <v>253</v>
      </c>
      <c r="D24" s="72"/>
      <c r="E24" s="73"/>
      <c r="F24" s="133">
        <f>6*12</f>
        <v>72</v>
      </c>
      <c r="G24" s="129">
        <f>References!B31</f>
        <v>613</v>
      </c>
      <c r="H24" s="72">
        <f t="shared" si="25"/>
        <v>44136</v>
      </c>
      <c r="I24" s="50">
        <f t="shared" si="26"/>
        <v>33178.161359031736</v>
      </c>
      <c r="J24" s="71">
        <f>(References!$C$49*I24)</f>
        <v>103.34997263338362</v>
      </c>
      <c r="K24" s="71">
        <f>J24/References!$G$52</f>
        <v>106.11969671771601</v>
      </c>
      <c r="L24" s="71">
        <f t="shared" si="37"/>
        <v>1.4738846766349445</v>
      </c>
      <c r="M24" s="71">
        <f>'Tariff Changes'!C92</f>
        <v>70.790000000000006</v>
      </c>
      <c r="N24" s="71">
        <f t="shared" si="38"/>
        <v>72.263884676634945</v>
      </c>
      <c r="O24" s="71">
        <f>'Tariff Changes'!E92</f>
        <v>72.558596343149929</v>
      </c>
      <c r="P24" s="71">
        <f t="shared" si="39"/>
        <v>5096.88</v>
      </c>
      <c r="Q24" s="71">
        <f t="shared" si="40"/>
        <v>5224.2189367067949</v>
      </c>
      <c r="R24" s="71">
        <f t="shared" si="41"/>
        <v>127.33893670679481</v>
      </c>
      <c r="S24" s="71">
        <f t="shared" si="42"/>
        <v>5202.9996967177158</v>
      </c>
      <c r="T24" s="71">
        <f t="shared" si="43"/>
        <v>21.219239989079142</v>
      </c>
      <c r="U24" s="74">
        <f t="shared" si="44"/>
        <v>72.263884676634945</v>
      </c>
      <c r="V24" s="74">
        <f t="shared" si="45"/>
        <v>5202.9996967177158</v>
      </c>
      <c r="W24" s="74">
        <f t="shared" si="46"/>
        <v>106.11969671771567</v>
      </c>
    </row>
    <row r="25" spans="1:23" s="63" customFormat="1">
      <c r="A25" s="244"/>
      <c r="B25" s="126" t="str">
        <f>'Tariff Changes'!$A$73</f>
        <v>Item 240, pg 39</v>
      </c>
      <c r="C25" s="131" t="s">
        <v>254</v>
      </c>
      <c r="D25" s="72"/>
      <c r="E25" s="73"/>
      <c r="F25" s="133">
        <f>2*12</f>
        <v>24</v>
      </c>
      <c r="G25" s="129">
        <f>References!B32</f>
        <v>840</v>
      </c>
      <c r="H25" s="72">
        <f t="shared" ref="H25:H27" si="47">G25*F25</f>
        <v>20160</v>
      </c>
      <c r="I25" s="50">
        <f t="shared" si="26"/>
        <v>15154.788222722491</v>
      </c>
      <c r="J25" s="71">
        <f>(References!$C$49*I25)</f>
        <v>47.20716531378045</v>
      </c>
      <c r="K25" s="71">
        <f>J25/References!$G$52</f>
        <v>48.472292138597858</v>
      </c>
      <c r="L25" s="71">
        <f t="shared" ref="L25:L27" si="48">K25/F25</f>
        <v>2.0196788391082441</v>
      </c>
      <c r="M25" s="71">
        <f>'Tariff Changes'!C93</f>
        <v>106.33</v>
      </c>
      <c r="N25" s="71">
        <f t="shared" ref="N25:N27" si="49">L25+M25</f>
        <v>108.34967883910824</v>
      </c>
      <c r="O25" s="71">
        <f>'Tariff Changes'!E93</f>
        <v>108.98289451472488</v>
      </c>
      <c r="P25" s="71">
        <f t="shared" ref="P25:P27" si="50">M25*F25</f>
        <v>2551.92</v>
      </c>
      <c r="Q25" s="71">
        <f t="shared" ref="Q25:Q27" si="51">O25*F25</f>
        <v>2615.589468353397</v>
      </c>
      <c r="R25" s="71">
        <f t="shared" ref="R25:R27" si="52">Q25-P25</f>
        <v>63.669468353396951</v>
      </c>
      <c r="S25" s="71">
        <f t="shared" ref="S25:S27" si="53">N25*F25</f>
        <v>2600.3922921385974</v>
      </c>
      <c r="T25" s="71">
        <f t="shared" ref="T25:T27" si="54">Q25-S25</f>
        <v>15.197176214799583</v>
      </c>
      <c r="U25" s="74">
        <f t="shared" ref="U25:U27" si="55">N25</f>
        <v>108.34967883910824</v>
      </c>
      <c r="V25" s="74">
        <f t="shared" ref="V25:V27" si="56">U25*F25</f>
        <v>2600.3922921385974</v>
      </c>
      <c r="W25" s="74">
        <f t="shared" ref="W25:W27" si="57">V25-P25</f>
        <v>48.472292138597368</v>
      </c>
    </row>
    <row r="26" spans="1:23" s="63" customFormat="1">
      <c r="A26" s="244"/>
      <c r="B26" s="126" t="str">
        <f>'Tariff Changes'!$A$73</f>
        <v>Item 240, pg 39</v>
      </c>
      <c r="C26" s="131" t="s">
        <v>255</v>
      </c>
      <c r="D26" s="60"/>
      <c r="E26" s="73"/>
      <c r="F26" s="132">
        <f>6*12</f>
        <v>72</v>
      </c>
      <c r="G26" s="129">
        <f>References!B33</f>
        <v>980</v>
      </c>
      <c r="H26" s="72">
        <f t="shared" si="47"/>
        <v>70560</v>
      </c>
      <c r="I26" s="50">
        <f t="shared" si="26"/>
        <v>53041.758779528718</v>
      </c>
      <c r="J26" s="71">
        <f>(References!$C$49*I26)</f>
        <v>165.22507859823156</v>
      </c>
      <c r="K26" s="71">
        <f>J26/References!$G$52</f>
        <v>169.65302248509246</v>
      </c>
      <c r="L26" s="71">
        <f t="shared" si="48"/>
        <v>2.3562919789596175</v>
      </c>
      <c r="M26" s="71">
        <f>'Tariff Changes'!C94</f>
        <v>129.21</v>
      </c>
      <c r="N26" s="71">
        <f t="shared" si="49"/>
        <v>131.56629197895961</v>
      </c>
      <c r="O26" s="71">
        <f>'Tariff Changes'!E94</f>
        <v>132.74719268629985</v>
      </c>
      <c r="P26" s="71">
        <f t="shared" si="50"/>
        <v>9303.1200000000008</v>
      </c>
      <c r="Q26" s="71">
        <f t="shared" si="51"/>
        <v>9557.7978734135904</v>
      </c>
      <c r="R26" s="71">
        <f t="shared" si="52"/>
        <v>254.67787341358962</v>
      </c>
      <c r="S26" s="71">
        <f t="shared" si="53"/>
        <v>9472.773022485093</v>
      </c>
      <c r="T26" s="71">
        <f t="shared" si="54"/>
        <v>85.024850928497472</v>
      </c>
      <c r="U26" s="74">
        <f t="shared" si="55"/>
        <v>131.56629197895961</v>
      </c>
      <c r="V26" s="74">
        <f t="shared" si="56"/>
        <v>9472.773022485093</v>
      </c>
      <c r="W26" s="74">
        <f t="shared" si="57"/>
        <v>169.65302248509215</v>
      </c>
    </row>
    <row r="27" spans="1:23" s="63" customFormat="1">
      <c r="A27" s="244"/>
      <c r="B27" s="126" t="str">
        <f>'Tariff Changes'!A96</f>
        <v>Item 245, pg 40</v>
      </c>
      <c r="C27" s="131" t="s">
        <v>150</v>
      </c>
      <c r="D27" s="60"/>
      <c r="E27" s="73"/>
      <c r="F27" s="132">
        <f>368.305*12</f>
        <v>4419.66</v>
      </c>
      <c r="G27" s="134">
        <f>References!B26</f>
        <v>29</v>
      </c>
      <c r="H27" s="72">
        <f t="shared" si="47"/>
        <v>128170.14</v>
      </c>
      <c r="I27" s="50">
        <f t="shared" si="26"/>
        <v>96348.776199240718</v>
      </c>
      <c r="J27" s="71">
        <f>(References!$C$49*I27)</f>
        <v>300.12643786063416</v>
      </c>
      <c r="K27" s="71">
        <f>J27/References!$G$52</f>
        <v>308.16966614707275</v>
      </c>
      <c r="L27" s="71">
        <f t="shared" si="48"/>
        <v>6.9727007540641761E-2</v>
      </c>
      <c r="M27" s="71">
        <f>'Tariff Changes'!C97</f>
        <v>3.93</v>
      </c>
      <c r="N27" s="71">
        <f t="shared" si="49"/>
        <v>3.9997270075406419</v>
      </c>
      <c r="O27" s="71">
        <f>'Tariff Changes'!E97</f>
        <v>3.9998595555544219</v>
      </c>
      <c r="P27" s="71">
        <f t="shared" si="50"/>
        <v>17369.263800000001</v>
      </c>
      <c r="Q27" s="71">
        <f t="shared" si="51"/>
        <v>17678.019283301655</v>
      </c>
      <c r="R27" s="71">
        <f t="shared" si="52"/>
        <v>308.75548330165475</v>
      </c>
      <c r="S27" s="71">
        <f t="shared" si="53"/>
        <v>17677.433466147071</v>
      </c>
      <c r="T27" s="71">
        <f t="shared" si="54"/>
        <v>0.58581715458421968</v>
      </c>
      <c r="U27" s="74">
        <f t="shared" si="55"/>
        <v>3.9997270075406419</v>
      </c>
      <c r="V27" s="74">
        <f t="shared" si="56"/>
        <v>17677.433466147071</v>
      </c>
      <c r="W27" s="74">
        <f t="shared" si="57"/>
        <v>308.16966614707053</v>
      </c>
    </row>
    <row r="28" spans="1:23" s="63" customFormat="1">
      <c r="A28" s="244"/>
      <c r="B28" s="126"/>
      <c r="C28" s="142"/>
      <c r="D28" s="60"/>
      <c r="E28" s="73"/>
      <c r="F28" s="132"/>
      <c r="G28" s="129"/>
      <c r="H28" s="72"/>
      <c r="I28" s="50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4"/>
      <c r="V28" s="74"/>
      <c r="W28" s="74"/>
    </row>
    <row r="29" spans="1:23" s="63" customFormat="1">
      <c r="A29" s="66"/>
      <c r="B29" s="126"/>
      <c r="C29" s="131"/>
      <c r="D29" s="60"/>
      <c r="E29" s="73"/>
      <c r="F29" s="132"/>
      <c r="G29" s="129"/>
      <c r="H29" s="72"/>
      <c r="I29" s="50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4"/>
      <c r="V29" s="74"/>
      <c r="W29" s="74"/>
    </row>
    <row r="30" spans="1:23" s="63" customFormat="1">
      <c r="A30" s="54"/>
      <c r="B30" s="80"/>
      <c r="C30" s="55" t="s">
        <v>17</v>
      </c>
      <c r="D30" s="56">
        <f>SUM(D13:D29)</f>
        <v>0</v>
      </c>
      <c r="E30" s="56"/>
      <c r="F30" s="56">
        <f>SUM(F13:F29)</f>
        <v>31079.634000000002</v>
      </c>
      <c r="G30" s="119"/>
      <c r="H30" s="56">
        <f>SUM(H13:H29)</f>
        <v>8278791.2460000003</v>
      </c>
      <c r="I30" s="56">
        <f>SUM(I13:I29)</f>
        <v>6223379.3687132383</v>
      </c>
      <c r="J30" s="76"/>
      <c r="K30" s="76"/>
      <c r="L30" s="76"/>
      <c r="M30" s="76"/>
      <c r="N30" s="76"/>
      <c r="O30" s="76"/>
      <c r="P30" s="56">
        <f>SUM(P13:P29)</f>
        <v>978621.12695999991</v>
      </c>
      <c r="Q30" s="136">
        <f>SUM(Q13:Q29)</f>
        <v>1003155.015574745</v>
      </c>
      <c r="R30" s="136">
        <f>SUM(R13:R29)</f>
        <v>24533.888614744974</v>
      </c>
      <c r="S30" s="136">
        <f>SUM(S13:S29)</f>
        <v>998526.48349921533</v>
      </c>
      <c r="T30" s="136">
        <f>SUM(T13:T29)</f>
        <v>4628.5320755298171</v>
      </c>
      <c r="U30" s="136"/>
      <c r="V30" s="136">
        <f>SUM(V13:V29)</f>
        <v>998526.48349921533</v>
      </c>
      <c r="W30" s="136">
        <f>SUM(W13:W29)</f>
        <v>19905.356539215158</v>
      </c>
    </row>
    <row r="31" spans="1:23" s="63" customFormat="1" ht="14.45" customHeight="1">
      <c r="A31" s="307" t="s">
        <v>140</v>
      </c>
      <c r="B31" s="126" t="str">
        <f>'Tariff Changes'!$A$22</f>
        <v>Item 105, pg 28</v>
      </c>
      <c r="C31" s="131" t="s">
        <v>256</v>
      </c>
      <c r="D31" s="60"/>
      <c r="E31" s="73"/>
      <c r="F31" s="132">
        <f>249.1475*12</f>
        <v>2989.77</v>
      </c>
      <c r="G31" s="129">
        <f>References!B14</f>
        <v>34</v>
      </c>
      <c r="H31" s="72">
        <f t="shared" ref="H31:H37" si="58">G31*F31</f>
        <v>101652.18</v>
      </c>
      <c r="I31" s="50">
        <f t="shared" ref="I31:I40" si="59">$D$105*H31</f>
        <v>76414.546640777116</v>
      </c>
      <c r="J31" s="71">
        <f>(References!$C$49*I31)</f>
        <v>238.03131278602015</v>
      </c>
      <c r="K31" s="71">
        <f>J31/References!$G$52</f>
        <v>244.41042487526457</v>
      </c>
      <c r="L31" s="71">
        <f t="shared" ref="L31:L37" si="60">K31/F31</f>
        <v>8.1748905392476534E-2</v>
      </c>
      <c r="M31" s="71">
        <f>'Tariff Changes'!C24</f>
        <v>4.24</v>
      </c>
      <c r="N31" s="71">
        <f t="shared" ref="N31:N37" si="61">L31+M31</f>
        <v>4.3217489053924769</v>
      </c>
      <c r="O31" s="71">
        <f>'Tariff Changes'!E24</f>
        <v>4.3098595555544224</v>
      </c>
      <c r="P31" s="71">
        <f t="shared" ref="P31:P37" si="62">M31*F31</f>
        <v>12676.624800000001</v>
      </c>
      <c r="Q31" s="71">
        <f t="shared" ref="Q31:Q37" si="63">O31*F31</f>
        <v>12885.488803409946</v>
      </c>
      <c r="R31" s="71">
        <f t="shared" ref="R31:R37" si="64">Q31-P31</f>
        <v>208.86400340994442</v>
      </c>
      <c r="S31" s="71">
        <f t="shared" ref="S31:S37" si="65">N31*F31</f>
        <v>12921.035224875266</v>
      </c>
      <c r="T31" s="71">
        <f t="shared" ref="T31:T37" si="66">Q31-S31</f>
        <v>-35.546421465320236</v>
      </c>
      <c r="U31" s="74">
        <f t="shared" ref="U31:U37" si="67">N31</f>
        <v>4.3217489053924769</v>
      </c>
      <c r="V31" s="74">
        <f t="shared" ref="V31:V37" si="68">U31*F31</f>
        <v>12921.035224875266</v>
      </c>
      <c r="W31" s="74">
        <f t="shared" ref="W31:W37" si="69">V31-P31</f>
        <v>244.41042487526465</v>
      </c>
    </row>
    <row r="32" spans="1:23" s="63" customFormat="1">
      <c r="A32" s="308"/>
      <c r="B32" s="126" t="str">
        <f>'Tariff Changes'!$A$22</f>
        <v>Item 105, pg 28</v>
      </c>
      <c r="C32" s="131" t="s">
        <v>150</v>
      </c>
      <c r="D32" s="60"/>
      <c r="E32" s="73"/>
      <c r="F32" s="132">
        <f>1065.918*12</f>
        <v>12791.016</v>
      </c>
      <c r="G32" s="129">
        <f>References!B14</f>
        <v>34</v>
      </c>
      <c r="H32" s="72">
        <f t="shared" si="58"/>
        <v>434894.54399999999</v>
      </c>
      <c r="I32" s="50">
        <f t="shared" si="59"/>
        <v>326921.36475880299</v>
      </c>
      <c r="J32" s="71">
        <f>(References!$C$49*I32)</f>
        <v>1018.360051223669</v>
      </c>
      <c r="K32" s="71">
        <f>J32/References!$G$52</f>
        <v>1045.6515568576538</v>
      </c>
      <c r="L32" s="71">
        <f t="shared" si="60"/>
        <v>8.1748905392476548E-2</v>
      </c>
      <c r="M32" s="71">
        <f>'Tariff Changes'!C25</f>
        <v>4.24</v>
      </c>
      <c r="N32" s="71">
        <f t="shared" si="61"/>
        <v>4.3217489053924769</v>
      </c>
      <c r="O32" s="71">
        <f>'Tariff Changes'!E25</f>
        <v>4.3098595555544224</v>
      </c>
      <c r="P32" s="71">
        <f t="shared" si="62"/>
        <v>54233.90784</v>
      </c>
      <c r="Q32" s="71">
        <f t="shared" si="63"/>
        <v>55127.482532849506</v>
      </c>
      <c r="R32" s="71">
        <f t="shared" si="64"/>
        <v>893.57469284950639</v>
      </c>
      <c r="S32" s="71">
        <f t="shared" si="65"/>
        <v>55279.559396857658</v>
      </c>
      <c r="T32" s="71">
        <f t="shared" si="66"/>
        <v>-152.07686400815146</v>
      </c>
      <c r="U32" s="74">
        <f t="shared" si="67"/>
        <v>4.3217489053924769</v>
      </c>
      <c r="V32" s="74">
        <f t="shared" si="68"/>
        <v>55279.559396857658</v>
      </c>
      <c r="W32" s="74">
        <f t="shared" si="69"/>
        <v>1045.6515568576579</v>
      </c>
    </row>
    <row r="33" spans="1:25" s="63" customFormat="1">
      <c r="A33" s="308"/>
      <c r="B33" s="126" t="str">
        <f>'Tariff Changes'!$A$22</f>
        <v>Item 105, pg 28</v>
      </c>
      <c r="C33" s="131" t="s">
        <v>151</v>
      </c>
      <c r="D33" s="60"/>
      <c r="E33" s="73"/>
      <c r="F33" s="132">
        <f>509.1275*12</f>
        <v>6109.53</v>
      </c>
      <c r="G33" s="129">
        <f>References!B22</f>
        <v>68</v>
      </c>
      <c r="H33" s="72">
        <f t="shared" si="58"/>
        <v>415448.04</v>
      </c>
      <c r="I33" s="50">
        <f t="shared" si="59"/>
        <v>312302.92974926298</v>
      </c>
      <c r="J33" s="71">
        <f>(References!$C$49*I33)</f>
        <v>972.82362616895193</v>
      </c>
      <c r="K33" s="71">
        <f>J33/References!$G$52</f>
        <v>998.89477992499428</v>
      </c>
      <c r="L33" s="71">
        <f t="shared" si="60"/>
        <v>0.16349781078495307</v>
      </c>
      <c r="M33" s="71">
        <f>'Tariff Changes'!C27</f>
        <v>10.37</v>
      </c>
      <c r="N33" s="71">
        <f t="shared" si="61"/>
        <v>10.533497810784953</v>
      </c>
      <c r="O33" s="71">
        <f>'Tariff Changes'!E27</f>
        <v>10.579578666663265</v>
      </c>
      <c r="P33" s="71">
        <f t="shared" si="62"/>
        <v>63355.826099999991</v>
      </c>
      <c r="Q33" s="71">
        <f t="shared" si="63"/>
        <v>64636.253251339214</v>
      </c>
      <c r="R33" s="71">
        <f t="shared" si="64"/>
        <v>1280.4271513392232</v>
      </c>
      <c r="S33" s="71">
        <f t="shared" si="65"/>
        <v>64354.720879924986</v>
      </c>
      <c r="T33" s="71">
        <f t="shared" si="66"/>
        <v>281.53237141422869</v>
      </c>
      <c r="U33" s="74">
        <f t="shared" si="67"/>
        <v>10.533497810784953</v>
      </c>
      <c r="V33" s="74">
        <f t="shared" si="68"/>
        <v>64354.720879924986</v>
      </c>
      <c r="W33" s="74">
        <f t="shared" si="69"/>
        <v>998.89477992499451</v>
      </c>
    </row>
    <row r="34" spans="1:25" s="63" customFormat="1">
      <c r="A34" s="308"/>
      <c r="B34" s="126" t="str">
        <f>'Tariff Changes'!$A$22</f>
        <v>Item 105, pg 28</v>
      </c>
      <c r="C34" s="131" t="s">
        <v>152</v>
      </c>
      <c r="D34" s="60"/>
      <c r="E34" s="73"/>
      <c r="F34" s="132">
        <f>14.08225*12</f>
        <v>168.98699999999999</v>
      </c>
      <c r="G34" s="129">
        <f>References!B27</f>
        <v>175</v>
      </c>
      <c r="H34" s="72">
        <f t="shared" si="58"/>
        <v>29572.724999999999</v>
      </c>
      <c r="I34" s="50">
        <f t="shared" si="59"/>
        <v>22230.574630149353</v>
      </c>
      <c r="J34" s="71">
        <f>(References!$C$49*I34)</f>
        <v>69.248239972915073</v>
      </c>
      <c r="K34" s="71">
        <f>J34/References!$G$52</f>
        <v>71.104055830080171</v>
      </c>
      <c r="L34" s="71">
        <f t="shared" si="60"/>
        <v>0.4207664248142175</v>
      </c>
      <c r="M34" s="71">
        <f>'Tariff Changes'!C28</f>
        <v>22.18</v>
      </c>
      <c r="N34" s="71">
        <f t="shared" si="61"/>
        <v>22.600766424814218</v>
      </c>
      <c r="O34" s="71">
        <f>'Tariff Changes'!E28</f>
        <v>22.622149085787481</v>
      </c>
      <c r="P34" s="71">
        <f t="shared" si="62"/>
        <v>3748.13166</v>
      </c>
      <c r="Q34" s="71">
        <f t="shared" si="63"/>
        <v>3822.8491075599691</v>
      </c>
      <c r="R34" s="71">
        <f t="shared" si="64"/>
        <v>74.71744755996906</v>
      </c>
      <c r="S34" s="71">
        <f t="shared" si="65"/>
        <v>3819.2357158300802</v>
      </c>
      <c r="T34" s="71">
        <f t="shared" si="66"/>
        <v>3.6133917298889173</v>
      </c>
      <c r="U34" s="74">
        <f t="shared" si="67"/>
        <v>22.600766424814218</v>
      </c>
      <c r="V34" s="74">
        <f t="shared" si="68"/>
        <v>3819.2357158300802</v>
      </c>
      <c r="W34" s="74">
        <f t="shared" si="69"/>
        <v>71.104055830080142</v>
      </c>
    </row>
    <row r="35" spans="1:25" s="63" customFormat="1">
      <c r="A35" s="308"/>
      <c r="B35" s="126" t="str">
        <f>'Tariff Changes'!$A$22</f>
        <v>Item 105, pg 28</v>
      </c>
      <c r="C35" s="131" t="s">
        <v>153</v>
      </c>
      <c r="D35" s="131"/>
      <c r="E35" s="73"/>
      <c r="F35" s="132">
        <f>4.333*12</f>
        <v>51.996000000000002</v>
      </c>
      <c r="G35" s="129">
        <f>References!B28</f>
        <v>250</v>
      </c>
      <c r="H35" s="72">
        <f t="shared" si="58"/>
        <v>12999</v>
      </c>
      <c r="I35" s="50">
        <f t="shared" si="59"/>
        <v>9771.6811561096056</v>
      </c>
      <c r="J35" s="71">
        <f>(References!$C$49*I35)</f>
        <v>30.438786801281349</v>
      </c>
      <c r="K35" s="71">
        <f>J35/References!$G$52</f>
        <v>31.254530035200073</v>
      </c>
      <c r="L35" s="71">
        <f t="shared" si="60"/>
        <v>0.6010948925917392</v>
      </c>
      <c r="M35" s="71">
        <f>'Tariff Changes'!C29</f>
        <v>30.08</v>
      </c>
      <c r="N35" s="71">
        <f t="shared" si="61"/>
        <v>30.681094892591737</v>
      </c>
      <c r="O35" s="71">
        <f>'Tariff Changes'!E29</f>
        <v>30.743223628681218</v>
      </c>
      <c r="P35" s="71">
        <f t="shared" si="62"/>
        <v>1564.0396800000001</v>
      </c>
      <c r="Q35" s="71">
        <f t="shared" si="63"/>
        <v>1598.5246557969087</v>
      </c>
      <c r="R35" s="71">
        <f t="shared" si="64"/>
        <v>34.484975796908657</v>
      </c>
      <c r="S35" s="71">
        <f t="shared" si="65"/>
        <v>1595.2942100352</v>
      </c>
      <c r="T35" s="71">
        <f t="shared" si="66"/>
        <v>3.2304457617087792</v>
      </c>
      <c r="U35" s="74">
        <f t="shared" si="67"/>
        <v>30.681094892591737</v>
      </c>
      <c r="V35" s="74">
        <f t="shared" si="68"/>
        <v>1595.2942100352</v>
      </c>
      <c r="W35" s="74">
        <f t="shared" si="69"/>
        <v>31.254530035199878</v>
      </c>
    </row>
    <row r="36" spans="1:25" s="63" customFormat="1">
      <c r="A36" s="308"/>
      <c r="B36" s="126" t="str">
        <f>'Tariff Changes'!$A$22</f>
        <v>Item 105, pg 28</v>
      </c>
      <c r="C36" s="131" t="s">
        <v>154</v>
      </c>
      <c r="D36" s="60"/>
      <c r="E36" s="73"/>
      <c r="F36" s="132">
        <f>15.1655*12</f>
        <v>181.98599999999999</v>
      </c>
      <c r="G36" s="129">
        <f>References!B29</f>
        <v>324</v>
      </c>
      <c r="H36" s="72">
        <f t="shared" si="58"/>
        <v>58963.464</v>
      </c>
      <c r="I36" s="50">
        <f t="shared" si="59"/>
        <v>44324.345724113176</v>
      </c>
      <c r="J36" s="71">
        <f>(References!$C$49*I36)</f>
        <v>138.07033693061223</v>
      </c>
      <c r="K36" s="71">
        <f>J36/References!$G$52</f>
        <v>141.77054823966756</v>
      </c>
      <c r="L36" s="71">
        <f t="shared" si="60"/>
        <v>0.7790189807988942</v>
      </c>
      <c r="M36" s="71">
        <f>'Tariff Changes'!C30</f>
        <v>41.6</v>
      </c>
      <c r="N36" s="71">
        <f t="shared" si="61"/>
        <v>42.379018980798897</v>
      </c>
      <c r="O36" s="71">
        <f>'Tariff Changes'!E30</f>
        <v>42.484298171574963</v>
      </c>
      <c r="P36" s="71">
        <f t="shared" si="62"/>
        <v>7570.6175999999996</v>
      </c>
      <c r="Q36" s="71">
        <f t="shared" si="63"/>
        <v>7731.5474870522412</v>
      </c>
      <c r="R36" s="71">
        <f t="shared" si="64"/>
        <v>160.92988705224161</v>
      </c>
      <c r="S36" s="71">
        <f t="shared" si="65"/>
        <v>7712.3881482396673</v>
      </c>
      <c r="T36" s="71">
        <f t="shared" si="66"/>
        <v>19.159338812573878</v>
      </c>
      <c r="U36" s="74">
        <f t="shared" si="67"/>
        <v>42.379018980798897</v>
      </c>
      <c r="V36" s="74">
        <f t="shared" si="68"/>
        <v>7712.3881482396673</v>
      </c>
      <c r="W36" s="74">
        <f t="shared" si="69"/>
        <v>141.77054823966773</v>
      </c>
    </row>
    <row r="37" spans="1:25" s="63" customFormat="1">
      <c r="A37" s="308"/>
      <c r="B37" s="126" t="str">
        <f>'Tariff Changes'!$A$22</f>
        <v>Item 105, pg 28</v>
      </c>
      <c r="C37" s="131" t="s">
        <v>155</v>
      </c>
      <c r="D37" s="60"/>
      <c r="E37" s="73"/>
      <c r="F37" s="132">
        <f>30.331*12</f>
        <v>363.97199999999998</v>
      </c>
      <c r="G37" s="129">
        <f>References!B30</f>
        <v>473</v>
      </c>
      <c r="H37" s="72">
        <f t="shared" si="58"/>
        <v>172158.75599999999</v>
      </c>
      <c r="I37" s="50">
        <f t="shared" si="59"/>
        <v>129416.14523151562</v>
      </c>
      <c r="J37" s="71">
        <f>(References!$C$49*I37)</f>
        <v>403.13129239617024</v>
      </c>
      <c r="K37" s="71">
        <f>J37/References!$G$52</f>
        <v>413.9349957861898</v>
      </c>
      <c r="L37" s="71">
        <f t="shared" si="60"/>
        <v>1.1372715367835708</v>
      </c>
      <c r="M37" s="71">
        <f>'Tariff Changes'!C31</f>
        <v>59.38</v>
      </c>
      <c r="N37" s="71">
        <f t="shared" si="61"/>
        <v>60.517271536783575</v>
      </c>
      <c r="O37" s="71">
        <f>'Tariff Changes'!E31</f>
        <v>60.706447257362441</v>
      </c>
      <c r="P37" s="71">
        <f t="shared" si="62"/>
        <v>21612.657360000001</v>
      </c>
      <c r="Q37" s="71">
        <f t="shared" si="63"/>
        <v>22095.44702115672</v>
      </c>
      <c r="R37" s="71">
        <f t="shared" si="64"/>
        <v>482.78966115671938</v>
      </c>
      <c r="S37" s="71">
        <f t="shared" si="65"/>
        <v>22026.59235578619</v>
      </c>
      <c r="T37" s="71">
        <f t="shared" si="66"/>
        <v>68.854665370530711</v>
      </c>
      <c r="U37" s="74">
        <f t="shared" si="67"/>
        <v>60.517271536783575</v>
      </c>
      <c r="V37" s="74">
        <f t="shared" si="68"/>
        <v>22026.59235578619</v>
      </c>
      <c r="W37" s="74">
        <f t="shared" si="69"/>
        <v>413.93499578618867</v>
      </c>
    </row>
    <row r="38" spans="1:25" s="63" customFormat="1">
      <c r="A38" s="244"/>
      <c r="B38" s="126" t="str">
        <f>'Tariff Changes'!$A$22</f>
        <v>Item 105, pg 28</v>
      </c>
      <c r="C38" s="131" t="s">
        <v>156</v>
      </c>
      <c r="D38" s="60"/>
      <c r="E38" s="73"/>
      <c r="F38" s="132">
        <f>21.665*12</f>
        <v>259.98</v>
      </c>
      <c r="G38" s="129">
        <f>References!B31</f>
        <v>613</v>
      </c>
      <c r="H38" s="72">
        <f t="shared" ref="H38:H40" si="70">G38*F38</f>
        <v>159367.74000000002</v>
      </c>
      <c r="I38" s="50">
        <f t="shared" si="59"/>
        <v>119800.81097390379</v>
      </c>
      <c r="J38" s="71">
        <f>(References!$C$49*I38)</f>
        <v>373.17952618370941</v>
      </c>
      <c r="K38" s="71">
        <f>J38/References!$G$52</f>
        <v>383.18053823155293</v>
      </c>
      <c r="L38" s="71">
        <f t="shared" ref="L38:L40" si="71">K38/F38</f>
        <v>1.4738846766349447</v>
      </c>
      <c r="M38" s="71">
        <f>'Tariff Changes'!C32</f>
        <v>74.56</v>
      </c>
      <c r="N38" s="71">
        <f t="shared" ref="N38:N40" si="72">L38+M38</f>
        <v>76.033884676634941</v>
      </c>
      <c r="O38" s="71">
        <f>'Tariff Changes'!E32</f>
        <v>76.328596343149925</v>
      </c>
      <c r="P38" s="71">
        <f t="shared" ref="P38:P40" si="73">M38*F38</f>
        <v>19384.108800000002</v>
      </c>
      <c r="Q38" s="71">
        <f t="shared" ref="Q38:Q40" si="74">O38*F38</f>
        <v>19843.90847729212</v>
      </c>
      <c r="R38" s="71">
        <f t="shared" ref="R38:R40" si="75">Q38-P38</f>
        <v>459.79967729211785</v>
      </c>
      <c r="S38" s="71">
        <f t="shared" ref="S38:S40" si="76">N38*F38</f>
        <v>19767.289338231552</v>
      </c>
      <c r="T38" s="71">
        <f t="shared" ref="T38:T40" si="77">Q38-S38</f>
        <v>76.61913906056725</v>
      </c>
      <c r="U38" s="74">
        <f t="shared" ref="U38:U40" si="78">N38</f>
        <v>76.033884676634941</v>
      </c>
      <c r="V38" s="74">
        <f t="shared" ref="V38:V40" si="79">U38*F38</f>
        <v>19767.289338231552</v>
      </c>
      <c r="W38" s="74">
        <f t="shared" ref="W38:W40" si="80">V38-P38</f>
        <v>383.1805382315506</v>
      </c>
    </row>
    <row r="39" spans="1:25" s="63" customFormat="1">
      <c r="A39" s="244"/>
      <c r="B39" s="126" t="str">
        <f>'Tariff Changes'!$A$22</f>
        <v>Item 105, pg 28</v>
      </c>
      <c r="C39" s="131" t="s">
        <v>157</v>
      </c>
      <c r="D39" s="60"/>
      <c r="E39" s="73"/>
      <c r="F39" s="132">
        <f>21.665*12</f>
        <v>259.98</v>
      </c>
      <c r="G39" s="129">
        <f>References!B32</f>
        <v>840</v>
      </c>
      <c r="H39" s="72">
        <f t="shared" si="70"/>
        <v>218383.2</v>
      </c>
      <c r="I39" s="50">
        <f t="shared" si="59"/>
        <v>164164.24342264139</v>
      </c>
      <c r="J39" s="71">
        <f>(References!$C$49*I39)</f>
        <v>511.37161826152675</v>
      </c>
      <c r="K39" s="71">
        <f>J39/References!$G$52</f>
        <v>525.07610459136129</v>
      </c>
      <c r="L39" s="71">
        <f t="shared" si="71"/>
        <v>2.0196788391082441</v>
      </c>
      <c r="M39" s="71">
        <f>'Tariff Changes'!C33</f>
        <v>110.93</v>
      </c>
      <c r="N39" s="71">
        <f t="shared" si="72"/>
        <v>112.94967883910824</v>
      </c>
      <c r="O39" s="71">
        <f>'Tariff Changes'!E33</f>
        <v>113.58289451472488</v>
      </c>
      <c r="P39" s="71">
        <f t="shared" si="73"/>
        <v>28839.581400000003</v>
      </c>
      <c r="Q39" s="71">
        <f t="shared" si="74"/>
        <v>29529.280915938176</v>
      </c>
      <c r="R39" s="71">
        <f t="shared" si="75"/>
        <v>689.69951593817314</v>
      </c>
      <c r="S39" s="71">
        <f t="shared" si="76"/>
        <v>29364.657504591363</v>
      </c>
      <c r="T39" s="71">
        <f t="shared" si="77"/>
        <v>164.62341134681265</v>
      </c>
      <c r="U39" s="74">
        <f t="shared" si="78"/>
        <v>112.94967883910824</v>
      </c>
      <c r="V39" s="74">
        <f t="shared" si="79"/>
        <v>29364.657504591363</v>
      </c>
      <c r="W39" s="74">
        <f t="shared" si="80"/>
        <v>525.07610459136049</v>
      </c>
    </row>
    <row r="40" spans="1:25" s="63" customFormat="1">
      <c r="A40" s="244"/>
      <c r="B40" s="126" t="str">
        <f>'Tariff Changes'!$A$22</f>
        <v>Item 105, pg 28</v>
      </c>
      <c r="C40" s="131" t="s">
        <v>158</v>
      </c>
      <c r="D40" s="131"/>
      <c r="E40" s="73"/>
      <c r="F40" s="132">
        <f>8.666*12</f>
        <v>103.992</v>
      </c>
      <c r="G40" s="129">
        <f>References!B33</f>
        <v>980</v>
      </c>
      <c r="H40" s="72">
        <f t="shared" si="70"/>
        <v>101912.16</v>
      </c>
      <c r="I40" s="50">
        <f t="shared" si="59"/>
        <v>76609.980263899313</v>
      </c>
      <c r="J40" s="71">
        <f>(References!$C$49*I40)</f>
        <v>238.6400885220458</v>
      </c>
      <c r="K40" s="71">
        <f>J40/References!$G$52</f>
        <v>245.03551547596859</v>
      </c>
      <c r="L40" s="71">
        <f t="shared" si="71"/>
        <v>2.3562919789596179</v>
      </c>
      <c r="M40" s="71">
        <f>'Tariff Changes'!C34</f>
        <v>140.44999999999999</v>
      </c>
      <c r="N40" s="71">
        <f t="shared" si="72"/>
        <v>142.80629197895962</v>
      </c>
      <c r="O40" s="71">
        <f>'Tariff Changes'!E34</f>
        <v>143.98719268629984</v>
      </c>
      <c r="P40" s="71">
        <f t="shared" si="73"/>
        <v>14605.6764</v>
      </c>
      <c r="Q40" s="71">
        <f t="shared" si="74"/>
        <v>14973.516141833694</v>
      </c>
      <c r="R40" s="71">
        <f t="shared" si="75"/>
        <v>367.83974183369355</v>
      </c>
      <c r="S40" s="71">
        <f t="shared" si="76"/>
        <v>14850.711915475969</v>
      </c>
      <c r="T40" s="71">
        <f t="shared" si="77"/>
        <v>122.80422635772447</v>
      </c>
      <c r="U40" s="74">
        <f t="shared" si="78"/>
        <v>142.80629197895962</v>
      </c>
      <c r="V40" s="74">
        <f t="shared" si="79"/>
        <v>14850.711915475969</v>
      </c>
      <c r="W40" s="74">
        <f t="shared" si="80"/>
        <v>245.03551547596908</v>
      </c>
    </row>
    <row r="41" spans="1:25" s="63" customFormat="1">
      <c r="A41" s="66"/>
      <c r="B41" s="51"/>
      <c r="C41" s="131"/>
      <c r="D41" s="101"/>
      <c r="E41" s="73"/>
      <c r="F41" s="132"/>
      <c r="G41" s="129"/>
      <c r="H41" s="72"/>
      <c r="I41" s="50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4"/>
      <c r="V41" s="74"/>
      <c r="W41" s="74"/>
    </row>
    <row r="42" spans="1:25" s="63" customFormat="1">
      <c r="A42" s="54"/>
      <c r="B42" s="52"/>
      <c r="C42" s="55" t="s">
        <v>17</v>
      </c>
      <c r="D42" s="56">
        <f>SUM(D31:D37)</f>
        <v>0</v>
      </c>
      <c r="E42" s="56"/>
      <c r="F42" s="56">
        <f>SUM(F31:F40)</f>
        <v>23281.208999999999</v>
      </c>
      <c r="G42" s="120"/>
      <c r="H42" s="56">
        <f>SUM(H31:H37)</f>
        <v>1225688.709</v>
      </c>
      <c r="I42" s="56">
        <f>SUM(I31:I37)</f>
        <v>921381.58789073082</v>
      </c>
      <c r="J42" s="75"/>
      <c r="K42" s="75"/>
      <c r="L42" s="75"/>
      <c r="M42" s="75"/>
      <c r="N42" s="75"/>
      <c r="O42" s="75"/>
      <c r="P42" s="56">
        <f>SUM(P31:P37)</f>
        <v>164761.80504000001</v>
      </c>
      <c r="Q42" s="136">
        <f>SUM(Q31:Q37)</f>
        <v>167897.59285916452</v>
      </c>
      <c r="R42" s="136">
        <f>SUM(R31:R37)</f>
        <v>3135.7878191645127</v>
      </c>
      <c r="S42" s="136">
        <f>SUM(S31:S37)</f>
        <v>167708.82593154904</v>
      </c>
      <c r="T42" s="136">
        <f>SUM(T31:T37)</f>
        <v>188.76692761545928</v>
      </c>
      <c r="U42" s="136"/>
      <c r="V42" s="136">
        <f>SUM(V31:V37)</f>
        <v>167708.82593154904</v>
      </c>
      <c r="W42" s="136">
        <f>SUM(W31:W37)</f>
        <v>2947.0208915490534</v>
      </c>
    </row>
    <row r="43" spans="1:25">
      <c r="C43" s="67" t="s">
        <v>3</v>
      </c>
      <c r="D43" s="68">
        <f>D12+D30+D42</f>
        <v>22469.833333333336</v>
      </c>
      <c r="E43" s="68"/>
      <c r="F43" s="68">
        <f>F12+F30+F42</f>
        <v>1205875.5096666666</v>
      </c>
      <c r="G43" s="121"/>
      <c r="H43" s="68">
        <f>H12+H30+H42</f>
        <v>55006773.288333327</v>
      </c>
      <c r="I43" s="68">
        <f>I12+I30+I42</f>
        <v>41350000.000000007</v>
      </c>
      <c r="J43" s="71"/>
      <c r="K43" s="77"/>
      <c r="L43" s="77"/>
      <c r="M43" s="77"/>
      <c r="N43" s="77"/>
      <c r="O43" s="77"/>
      <c r="P43" s="68">
        <f>P12+P30+P42</f>
        <v>6111291.6120000007</v>
      </c>
      <c r="Q43" s="68">
        <f>Q12+Q30+Q42</f>
        <v>6242561.5330234356</v>
      </c>
      <c r="R43" s="68">
        <f>R12+R30+R42</f>
        <v>131269.92102343548</v>
      </c>
      <c r="S43" s="68">
        <f>S12+S30+S42</f>
        <v>6243548.7739262758</v>
      </c>
      <c r="T43" s="68">
        <f>T12+T30+T42</f>
        <v>-987.24090284000977</v>
      </c>
      <c r="U43" s="68"/>
      <c r="V43" s="68">
        <f>V12+V30+V42</f>
        <v>6243548.7739262758</v>
      </c>
      <c r="W43" s="68">
        <f>W12+W30+W42</f>
        <v>132257.16192627553</v>
      </c>
    </row>
    <row r="44" spans="1:25">
      <c r="J44" s="59"/>
      <c r="S44" s="64"/>
      <c r="W44" s="33">
        <f>W43/P43</f>
        <v>2.1641441829838098E-2</v>
      </c>
    </row>
    <row r="45" spans="1:25">
      <c r="A45" s="259"/>
      <c r="B45" s="260"/>
      <c r="C45" s="261" t="s">
        <v>288</v>
      </c>
      <c r="D45" s="262"/>
      <c r="E45" s="263"/>
      <c r="F45" s="263"/>
      <c r="G45" s="264"/>
      <c r="H45" s="263"/>
      <c r="I45" s="265"/>
      <c r="J45" s="266"/>
      <c r="K45" s="263"/>
      <c r="L45" s="263"/>
      <c r="M45" s="263"/>
      <c r="N45" s="263"/>
      <c r="O45" s="267"/>
      <c r="P45" s="63"/>
      <c r="Q45" s="63"/>
      <c r="R45" s="63"/>
      <c r="S45" s="95"/>
      <c r="T45" s="63"/>
      <c r="U45" s="63"/>
      <c r="V45" s="63"/>
      <c r="W45" s="63"/>
      <c r="X45" s="63"/>
      <c r="Y45" s="63"/>
    </row>
    <row r="46" spans="1:25" s="63" customFormat="1" ht="14.45" customHeight="1">
      <c r="A46" s="268"/>
      <c r="B46" s="269" t="str">
        <f>'Tariff Changes'!A7</f>
        <v>Item 100, pg 21 Appendix A</v>
      </c>
      <c r="C46" s="270" t="str">
        <f>'Tariff Changes'!A13</f>
        <v>5 Can wk</v>
      </c>
      <c r="D46" s="138">
        <v>1</v>
      </c>
      <c r="E46" s="73">
        <f>References!B7</f>
        <v>4.333333333333333</v>
      </c>
      <c r="F46" s="139">
        <f>D46*E46*12</f>
        <v>52</v>
      </c>
      <c r="G46" s="140">
        <f>References!B18</f>
        <v>117</v>
      </c>
      <c r="H46" s="72">
        <f>G46*F46</f>
        <v>6084</v>
      </c>
      <c r="I46" s="50">
        <f t="shared" ref="I46:I75" si="81">$D$105*H46</f>
        <v>4573.4985886430377</v>
      </c>
      <c r="J46" s="71">
        <f>(References!$C$49*I46)</f>
        <v>14.246448103623029</v>
      </c>
      <c r="K46" s="71">
        <f>J46/References!$G$52</f>
        <v>14.628245306112568</v>
      </c>
      <c r="L46" s="71">
        <f t="shared" ref="L46" si="82">K46/F46</f>
        <v>0.28131240973293398</v>
      </c>
      <c r="M46" s="141">
        <f>'Tariff Changes'!C13</f>
        <v>58.45</v>
      </c>
      <c r="N46" s="71">
        <f>L46+M46</f>
        <v>58.731312409732936</v>
      </c>
      <c r="O46" s="141">
        <f>'Tariff Changes'!E13</f>
        <v>59.836366081746746</v>
      </c>
      <c r="P46" s="71"/>
      <c r="Q46" s="71"/>
      <c r="R46" s="71"/>
      <c r="S46" s="71"/>
      <c r="T46" s="71"/>
      <c r="U46" s="71"/>
      <c r="V46" s="71"/>
      <c r="W46" s="71"/>
    </row>
    <row r="47" spans="1:25" s="63" customFormat="1">
      <c r="A47" s="268"/>
      <c r="B47" s="269" t="str">
        <f>'Tariff Changes'!A19</f>
        <v>Item 100, pg 22</v>
      </c>
      <c r="C47" s="270" t="str">
        <f>'Tariff Changes'!A20</f>
        <v>32 Gallon or Bag, Extra</v>
      </c>
      <c r="D47" s="138">
        <v>1</v>
      </c>
      <c r="E47" s="73">
        <v>1</v>
      </c>
      <c r="F47" s="139">
        <f>D47*E47*12</f>
        <v>12</v>
      </c>
      <c r="G47" s="140">
        <f>References!B24</f>
        <v>34</v>
      </c>
      <c r="H47" s="72">
        <f t="shared" ref="H47:H95" si="83">G47*F47</f>
        <v>408</v>
      </c>
      <c r="I47" s="50">
        <f t="shared" si="81"/>
        <v>306.70404736462183</v>
      </c>
      <c r="J47" s="71">
        <f>(References!$C$49*I47)</f>
        <v>0.95538310754079481</v>
      </c>
      <c r="K47" s="71">
        <f>J47/References!$G$52</f>
        <v>0.98098686470971852</v>
      </c>
      <c r="L47" s="71">
        <f t="shared" ref="L47:L95" si="84">K47/F47</f>
        <v>8.1748905392476548E-2</v>
      </c>
      <c r="M47" s="141">
        <f>'Tariff Changes'!C20</f>
        <v>2.74</v>
      </c>
      <c r="N47" s="71">
        <f t="shared" ref="N47:N95" si="85">L47+M47</f>
        <v>2.8217489053924769</v>
      </c>
      <c r="O47" s="141">
        <f>'Tariff Changes'!E20</f>
        <v>2.8026508021115224</v>
      </c>
      <c r="P47" s="71"/>
      <c r="Q47" s="71"/>
      <c r="R47" s="71"/>
      <c r="S47" s="71"/>
      <c r="T47" s="71"/>
      <c r="U47" s="71"/>
      <c r="V47" s="71"/>
      <c r="W47" s="71"/>
    </row>
    <row r="48" spans="1:25" s="63" customFormat="1">
      <c r="A48" s="268"/>
      <c r="B48" s="269" t="str">
        <f>'Tariff Changes'!$A$22</f>
        <v>Item 105, pg 28</v>
      </c>
      <c r="C48" s="270" t="str">
        <f>'Tariff Changes'!A23</f>
        <v>20 Gallon</v>
      </c>
      <c r="D48" s="138">
        <v>1</v>
      </c>
      <c r="E48" s="73">
        <v>1</v>
      </c>
      <c r="F48" s="139">
        <f t="shared" ref="F48:F95" si="86">D48*E48*12</f>
        <v>12</v>
      </c>
      <c r="G48" s="140">
        <f>References!B13</f>
        <v>20</v>
      </c>
      <c r="H48" s="72">
        <f t="shared" si="83"/>
        <v>240</v>
      </c>
      <c r="I48" s="50">
        <f t="shared" si="81"/>
        <v>180.41414550860108</v>
      </c>
      <c r="J48" s="71">
        <f>(References!$C$49*I48)</f>
        <v>0.56199006325929102</v>
      </c>
      <c r="K48" s="71">
        <f>J48/References!$G$52</f>
        <v>0.57705109688806966</v>
      </c>
      <c r="L48" s="71">
        <f t="shared" si="84"/>
        <v>4.8087591407339141E-2</v>
      </c>
      <c r="M48" s="141">
        <f>'Tariff Changes'!C23</f>
        <v>4.16</v>
      </c>
      <c r="N48" s="71">
        <f t="shared" si="85"/>
        <v>4.208087591407339</v>
      </c>
      <c r="O48" s="141">
        <f>'Tariff Changes'!E23</f>
        <v>4.2042149085787486</v>
      </c>
      <c r="P48" s="71"/>
      <c r="Q48" s="71"/>
      <c r="R48" s="71"/>
      <c r="S48" s="71"/>
      <c r="T48" s="71"/>
      <c r="U48" s="71"/>
      <c r="V48" s="71"/>
      <c r="W48" s="71"/>
    </row>
    <row r="49" spans="1:25" s="63" customFormat="1">
      <c r="A49" s="268"/>
      <c r="B49" s="269" t="str">
        <f>'Tariff Changes'!$A$22</f>
        <v>Item 105, pg 28</v>
      </c>
      <c r="C49" s="270" t="str">
        <f>'Tariff Changes'!A26</f>
        <v>64 Gallon</v>
      </c>
      <c r="D49" s="138">
        <v>1</v>
      </c>
      <c r="E49" s="73">
        <v>1</v>
      </c>
      <c r="F49" s="139">
        <f t="shared" si="86"/>
        <v>12</v>
      </c>
      <c r="G49" s="140">
        <f>References!B21</f>
        <v>47</v>
      </c>
      <c r="H49" s="72">
        <f t="shared" si="83"/>
        <v>564</v>
      </c>
      <c r="I49" s="50">
        <f t="shared" si="81"/>
        <v>423.97324194521252</v>
      </c>
      <c r="J49" s="71">
        <f>(References!$C$49*I49)</f>
        <v>1.320676648659334</v>
      </c>
      <c r="K49" s="71">
        <f>J49/References!$G$52</f>
        <v>1.3560700776869639</v>
      </c>
      <c r="L49" s="71">
        <f t="shared" si="84"/>
        <v>0.11300583980724699</v>
      </c>
      <c r="M49" s="141">
        <f>'Tariff Changes'!C26</f>
        <v>6.97</v>
      </c>
      <c r="N49" s="71">
        <f t="shared" si="85"/>
        <v>7.0830058398072469</v>
      </c>
      <c r="O49" s="141">
        <f>'Tariff Changes'!E26</f>
        <v>7.1097191111088431</v>
      </c>
      <c r="P49" s="71"/>
      <c r="Q49" s="71"/>
      <c r="R49" s="71"/>
      <c r="S49" s="71"/>
      <c r="T49" s="71"/>
      <c r="U49" s="71"/>
      <c r="V49" s="71"/>
      <c r="W49" s="71"/>
    </row>
    <row r="50" spans="1:25" s="63" customFormat="1">
      <c r="A50" s="268"/>
      <c r="B50" s="269" t="str">
        <f>'Tariff Changes'!$A$22</f>
        <v>Item 105, pg 28</v>
      </c>
      <c r="C50" s="270" t="str">
        <f>'Tariff Changes'!A36</f>
        <v>20 Gallon Special</v>
      </c>
      <c r="D50" s="138">
        <v>1</v>
      </c>
      <c r="E50" s="73">
        <v>1</v>
      </c>
      <c r="F50" s="139">
        <f t="shared" si="86"/>
        <v>12</v>
      </c>
      <c r="G50" s="140">
        <f>References!B13</f>
        <v>20</v>
      </c>
      <c r="H50" s="72">
        <f t="shared" si="83"/>
        <v>240</v>
      </c>
      <c r="I50" s="50">
        <f t="shared" si="81"/>
        <v>180.41414550860108</v>
      </c>
      <c r="J50" s="71">
        <f>(References!$C$49*I50)</f>
        <v>0.56199006325929102</v>
      </c>
      <c r="K50" s="71">
        <f>J50/References!$G$52</f>
        <v>0.57705109688806966</v>
      </c>
      <c r="L50" s="71">
        <f t="shared" si="84"/>
        <v>4.8087591407339141E-2</v>
      </c>
      <c r="M50" s="141">
        <f>'Tariff Changes'!C36</f>
        <v>8.83</v>
      </c>
      <c r="N50" s="71">
        <f t="shared" si="85"/>
        <v>8.8780875914073398</v>
      </c>
      <c r="O50" s="141">
        <f>'Tariff Changes'!E36</f>
        <v>8.8742149085787485</v>
      </c>
      <c r="P50" s="71"/>
      <c r="Q50" s="71"/>
      <c r="R50" s="71"/>
      <c r="S50" s="71"/>
      <c r="T50" s="71"/>
      <c r="U50" s="71"/>
      <c r="V50" s="71"/>
      <c r="W50" s="71"/>
    </row>
    <row r="51" spans="1:25" s="63" customFormat="1">
      <c r="A51" s="268"/>
      <c r="B51" s="269" t="str">
        <f>'Tariff Changes'!$A$22</f>
        <v>Item 105, pg 28</v>
      </c>
      <c r="C51" s="270" t="str">
        <f>'Tariff Changes'!A37</f>
        <v>32 Gallon Special Pickup</v>
      </c>
      <c r="D51" s="138">
        <v>1</v>
      </c>
      <c r="E51" s="73">
        <v>1</v>
      </c>
      <c r="F51" s="139">
        <f t="shared" si="86"/>
        <v>12</v>
      </c>
      <c r="G51" s="140">
        <f>References!B14</f>
        <v>34</v>
      </c>
      <c r="H51" s="72">
        <f t="shared" si="83"/>
        <v>408</v>
      </c>
      <c r="I51" s="50">
        <f t="shared" si="81"/>
        <v>306.70404736462183</v>
      </c>
      <c r="J51" s="71">
        <f>(References!$C$49*I51)</f>
        <v>0.95538310754079481</v>
      </c>
      <c r="K51" s="71">
        <f>J51/References!$G$52</f>
        <v>0.98098686470971852</v>
      </c>
      <c r="L51" s="71">
        <f t="shared" si="84"/>
        <v>8.1748905392476548E-2</v>
      </c>
      <c r="M51" s="141">
        <f>'Tariff Changes'!C37</f>
        <v>8.91</v>
      </c>
      <c r="N51" s="71">
        <f t="shared" si="85"/>
        <v>8.9917489053924768</v>
      </c>
      <c r="O51" s="141">
        <f>'Tariff Changes'!E37</f>
        <v>8.9798595555544214</v>
      </c>
      <c r="P51" s="71"/>
      <c r="Q51" s="71"/>
      <c r="R51" s="71"/>
      <c r="S51" s="71"/>
      <c r="T51" s="71"/>
      <c r="U51" s="71"/>
      <c r="V51" s="71"/>
      <c r="W51" s="71"/>
    </row>
    <row r="52" spans="1:25" s="63" customFormat="1">
      <c r="A52" s="268"/>
      <c r="B52" s="269" t="str">
        <f>'Tariff Changes'!$A$22</f>
        <v>Item 105, pg 28</v>
      </c>
      <c r="C52" s="270" t="str">
        <f>'Tariff Changes'!A38</f>
        <v>64 Gallon Special</v>
      </c>
      <c r="D52" s="138">
        <v>1</v>
      </c>
      <c r="E52" s="73">
        <v>1</v>
      </c>
      <c r="F52" s="139">
        <f t="shared" si="86"/>
        <v>12</v>
      </c>
      <c r="G52" s="140">
        <f>References!B21</f>
        <v>47</v>
      </c>
      <c r="H52" s="72">
        <f t="shared" si="83"/>
        <v>564</v>
      </c>
      <c r="I52" s="50">
        <f t="shared" si="81"/>
        <v>423.97324194521252</v>
      </c>
      <c r="J52" s="71">
        <f>(References!$C$49*I52)</f>
        <v>1.320676648659334</v>
      </c>
      <c r="K52" s="71">
        <f>J52/References!$G$52</f>
        <v>1.3560700776869639</v>
      </c>
      <c r="L52" s="71">
        <f t="shared" si="84"/>
        <v>0.11300583980724699</v>
      </c>
      <c r="M52" s="141">
        <f>'Tariff Changes'!C38</f>
        <v>10.35</v>
      </c>
      <c r="N52" s="71">
        <f t="shared" si="85"/>
        <v>10.463005839807247</v>
      </c>
      <c r="O52" s="141">
        <f>'Tariff Changes'!E38</f>
        <v>10.489719111108844</v>
      </c>
      <c r="P52" s="71"/>
      <c r="Q52" s="71"/>
      <c r="R52" s="71"/>
      <c r="S52" s="71"/>
      <c r="T52" s="71"/>
      <c r="U52" s="71"/>
      <c r="V52" s="71"/>
      <c r="W52" s="71"/>
    </row>
    <row r="53" spans="1:25" s="63" customFormat="1">
      <c r="A53" s="268"/>
      <c r="B53" s="269" t="str">
        <f>'Tariff Changes'!$A$22</f>
        <v>Item 105, pg 28</v>
      </c>
      <c r="C53" s="270" t="str">
        <f>'Tariff Changes'!A39</f>
        <v>96 Gallon Special Pickup</v>
      </c>
      <c r="D53" s="138">
        <v>1</v>
      </c>
      <c r="E53" s="73">
        <v>1</v>
      </c>
      <c r="F53" s="139">
        <f t="shared" si="86"/>
        <v>12</v>
      </c>
      <c r="G53" s="140">
        <f>References!B22</f>
        <v>68</v>
      </c>
      <c r="H53" s="72">
        <f t="shared" si="83"/>
        <v>816</v>
      </c>
      <c r="I53" s="50">
        <f t="shared" si="81"/>
        <v>613.40809472924366</v>
      </c>
      <c r="J53" s="71">
        <f>(References!$C$49*I53)</f>
        <v>1.9107662150815896</v>
      </c>
      <c r="K53" s="71">
        <f>J53/References!$G$52</f>
        <v>1.961973729419437</v>
      </c>
      <c r="L53" s="71">
        <f t="shared" si="84"/>
        <v>0.1634978107849531</v>
      </c>
      <c r="M53" s="141">
        <f>'Tariff Changes'!C39</f>
        <v>12.87</v>
      </c>
      <c r="N53" s="71">
        <f t="shared" si="85"/>
        <v>13.033497810784953</v>
      </c>
      <c r="O53" s="141">
        <f>'Tariff Changes'!E39</f>
        <v>13.079578666663265</v>
      </c>
      <c r="P53" s="71"/>
      <c r="Q53" s="71"/>
      <c r="R53" s="71"/>
      <c r="S53" s="71"/>
      <c r="T53" s="71"/>
      <c r="U53" s="71"/>
      <c r="V53" s="71"/>
      <c r="W53" s="71"/>
    </row>
    <row r="54" spans="1:25" s="63" customFormat="1">
      <c r="A54" s="268"/>
      <c r="B54" s="269" t="str">
        <f>'Tariff Changes'!$A$22</f>
        <v>Item 105, pg 28</v>
      </c>
      <c r="C54" s="270" t="str">
        <f>'Tariff Changes'!A40</f>
        <v>1 Yard Special Pickup</v>
      </c>
      <c r="D54" s="138">
        <v>1</v>
      </c>
      <c r="E54" s="73">
        <v>1</v>
      </c>
      <c r="F54" s="139">
        <f t="shared" si="86"/>
        <v>12</v>
      </c>
      <c r="G54" s="140">
        <f>References!B27</f>
        <v>175</v>
      </c>
      <c r="H54" s="72">
        <f t="shared" si="83"/>
        <v>2100</v>
      </c>
      <c r="I54" s="50">
        <f t="shared" si="81"/>
        <v>1578.6237732002594</v>
      </c>
      <c r="J54" s="71">
        <f>(References!$C$49*I54)</f>
        <v>4.9174130535187963</v>
      </c>
      <c r="K54" s="71">
        <f>J54/References!$G$52</f>
        <v>5.0491970977706089</v>
      </c>
      <c r="L54" s="71">
        <f t="shared" si="84"/>
        <v>0.42076642481421739</v>
      </c>
      <c r="M54" s="141">
        <f>'Tariff Changes'!C40</f>
        <v>23.68</v>
      </c>
      <c r="N54" s="71">
        <f t="shared" si="85"/>
        <v>24.100766424814218</v>
      </c>
      <c r="O54" s="141">
        <f>'Tariff Changes'!E40</f>
        <v>24.122149085787481</v>
      </c>
      <c r="P54" s="71"/>
      <c r="Q54" s="71"/>
      <c r="R54" s="71"/>
      <c r="S54" s="71"/>
      <c r="T54" s="71"/>
      <c r="U54" s="71"/>
      <c r="V54" s="71"/>
      <c r="W54" s="71"/>
    </row>
    <row r="55" spans="1:25">
      <c r="A55" s="268"/>
      <c r="B55" s="269" t="str">
        <f>'Tariff Changes'!$A$22</f>
        <v>Item 105, pg 28</v>
      </c>
      <c r="C55" s="270" t="str">
        <f>'Tariff Changes'!A41</f>
        <v>1.5 Yard Special Pickup</v>
      </c>
      <c r="D55" s="138">
        <v>1</v>
      </c>
      <c r="E55" s="73">
        <v>1</v>
      </c>
      <c r="F55" s="139">
        <f t="shared" si="86"/>
        <v>12</v>
      </c>
      <c r="G55" s="140">
        <f>References!B28</f>
        <v>250</v>
      </c>
      <c r="H55" s="72">
        <f t="shared" si="83"/>
        <v>3000</v>
      </c>
      <c r="I55" s="50">
        <f t="shared" si="81"/>
        <v>2255.1768188575134</v>
      </c>
      <c r="J55" s="71">
        <f>(References!$C$49*I55)</f>
        <v>7.0248757907411381</v>
      </c>
      <c r="K55" s="71">
        <f>J55/References!$G$52</f>
        <v>7.2131387111008713</v>
      </c>
      <c r="L55" s="71">
        <f t="shared" si="84"/>
        <v>0.60109489259173932</v>
      </c>
      <c r="M55" s="141">
        <f>'Tariff Changes'!C41</f>
        <v>31.93</v>
      </c>
      <c r="N55" s="71">
        <f t="shared" si="85"/>
        <v>32.531094892591739</v>
      </c>
      <c r="O55" s="141">
        <f>'Tariff Changes'!E41</f>
        <v>32.593223628681223</v>
      </c>
      <c r="P55" s="71"/>
      <c r="Q55" s="71"/>
      <c r="R55" s="71"/>
      <c r="S55" s="71"/>
      <c r="T55" s="71"/>
      <c r="U55" s="71"/>
      <c r="V55" s="71"/>
      <c r="W55" s="71"/>
      <c r="X55" s="63"/>
      <c r="Y55" s="63"/>
    </row>
    <row r="56" spans="1:25">
      <c r="A56" s="268"/>
      <c r="B56" s="269" t="str">
        <f>'Tariff Changes'!$A$22</f>
        <v>Item 105, pg 28</v>
      </c>
      <c r="C56" s="270" t="str">
        <f>'Tariff Changes'!A42</f>
        <v>2 Yard Special Pickup</v>
      </c>
      <c r="D56" s="138">
        <v>1</v>
      </c>
      <c r="E56" s="73">
        <v>1</v>
      </c>
      <c r="F56" s="139">
        <f t="shared" si="86"/>
        <v>12</v>
      </c>
      <c r="G56" s="140">
        <f>References!B29</f>
        <v>324</v>
      </c>
      <c r="H56" s="72">
        <f t="shared" si="83"/>
        <v>3888</v>
      </c>
      <c r="I56" s="50">
        <f t="shared" si="81"/>
        <v>2922.7091572393374</v>
      </c>
      <c r="J56" s="71">
        <f>(References!$C$49*I56)</f>
        <v>9.1042390248005152</v>
      </c>
      <c r="K56" s="71">
        <f>J56/References!$G$52</f>
        <v>9.3482277695867282</v>
      </c>
      <c r="L56" s="71">
        <f t="shared" si="84"/>
        <v>0.77901898079889398</v>
      </c>
      <c r="M56" s="141">
        <f>'Tariff Changes'!C42</f>
        <v>45.05</v>
      </c>
      <c r="N56" s="71">
        <f t="shared" si="85"/>
        <v>45.829018980798892</v>
      </c>
      <c r="O56" s="141">
        <f>'Tariff Changes'!E42</f>
        <v>45.934298171574959</v>
      </c>
      <c r="P56" s="71"/>
      <c r="Q56" s="71"/>
      <c r="R56" s="71"/>
      <c r="S56" s="71"/>
      <c r="T56" s="71"/>
      <c r="U56" s="71"/>
      <c r="V56" s="71"/>
      <c r="W56" s="71"/>
      <c r="X56" s="63"/>
      <c r="Y56" s="63"/>
    </row>
    <row r="57" spans="1:25">
      <c r="A57" s="268"/>
      <c r="B57" s="269" t="str">
        <f>'Tariff Changes'!$A$22</f>
        <v>Item 105, pg 28</v>
      </c>
      <c r="C57" s="270" t="str">
        <f>'Tariff Changes'!A43</f>
        <v>3 Yard Special Pickup</v>
      </c>
      <c r="D57" s="138">
        <v>1</v>
      </c>
      <c r="E57" s="73">
        <v>1</v>
      </c>
      <c r="F57" s="139">
        <f t="shared" si="86"/>
        <v>12</v>
      </c>
      <c r="G57" s="140">
        <f>References!B30</f>
        <v>473</v>
      </c>
      <c r="H57" s="72">
        <f t="shared" si="83"/>
        <v>5676</v>
      </c>
      <c r="I57" s="50">
        <f t="shared" si="81"/>
        <v>4266.7945412784156</v>
      </c>
      <c r="J57" s="71">
        <f>(References!$C$49*I57)</f>
        <v>13.291064996082234</v>
      </c>
      <c r="K57" s="71">
        <f>J57/References!$G$52</f>
        <v>13.647258441402849</v>
      </c>
      <c r="L57" s="71">
        <f t="shared" si="84"/>
        <v>1.1372715367835708</v>
      </c>
      <c r="M57" s="141">
        <f>'Tariff Changes'!C43</f>
        <v>62.72</v>
      </c>
      <c r="N57" s="71">
        <f t="shared" si="85"/>
        <v>63.857271536783571</v>
      </c>
      <c r="O57" s="141">
        <f>'Tariff Changes'!E43</f>
        <v>64.046447257362445</v>
      </c>
      <c r="P57" s="71"/>
      <c r="Q57" s="71"/>
      <c r="R57" s="71"/>
      <c r="S57" s="71"/>
      <c r="T57" s="71"/>
      <c r="U57" s="71"/>
      <c r="V57" s="71"/>
      <c r="W57" s="71"/>
      <c r="X57" s="63"/>
      <c r="Y57" s="63"/>
    </row>
    <row r="58" spans="1:25">
      <c r="A58" s="268"/>
      <c r="B58" s="269" t="str">
        <f>'Tariff Changes'!$A$22</f>
        <v>Item 105, pg 28</v>
      </c>
      <c r="C58" s="270" t="str">
        <f>'Tariff Changes'!A44</f>
        <v>4 Yard Special Pickup</v>
      </c>
      <c r="D58" s="138">
        <v>1</v>
      </c>
      <c r="E58" s="73">
        <v>1</v>
      </c>
      <c r="F58" s="139">
        <f t="shared" si="86"/>
        <v>12</v>
      </c>
      <c r="G58" s="140">
        <f>References!B31</f>
        <v>613</v>
      </c>
      <c r="H58" s="72">
        <f t="shared" si="83"/>
        <v>7356</v>
      </c>
      <c r="I58" s="50">
        <f t="shared" si="81"/>
        <v>5529.6935598386235</v>
      </c>
      <c r="J58" s="71">
        <f>(References!$C$49*I58)</f>
        <v>17.224995438897274</v>
      </c>
      <c r="K58" s="71">
        <f>J58/References!$G$52</f>
        <v>17.686616119619337</v>
      </c>
      <c r="L58" s="71">
        <f t="shared" si="84"/>
        <v>1.4738846766349447</v>
      </c>
      <c r="M58" s="141">
        <f>'Tariff Changes'!C44</f>
        <v>77.73</v>
      </c>
      <c r="N58" s="71">
        <f t="shared" si="85"/>
        <v>79.203884676634942</v>
      </c>
      <c r="O58" s="141">
        <f>'Tariff Changes'!E44</f>
        <v>79.498596343149927</v>
      </c>
      <c r="P58" s="71"/>
      <c r="Q58" s="71"/>
      <c r="R58" s="71"/>
      <c r="S58" s="71"/>
      <c r="T58" s="71"/>
      <c r="U58" s="71"/>
      <c r="V58" s="71"/>
      <c r="W58" s="71"/>
      <c r="X58" s="63"/>
      <c r="Y58" s="63"/>
    </row>
    <row r="59" spans="1:25">
      <c r="A59" s="268"/>
      <c r="B59" s="269" t="str">
        <f>'Tariff Changes'!$A$22</f>
        <v>Item 105, pg 28</v>
      </c>
      <c r="C59" s="270" t="str">
        <f>'Tariff Changes'!A45</f>
        <v>6 Yard Special Pickup</v>
      </c>
      <c r="D59" s="138">
        <v>1</v>
      </c>
      <c r="E59" s="73">
        <v>1</v>
      </c>
      <c r="F59" s="139">
        <f t="shared" si="86"/>
        <v>12</v>
      </c>
      <c r="G59" s="140">
        <f>References!B32</f>
        <v>840</v>
      </c>
      <c r="H59" s="72">
        <f t="shared" si="83"/>
        <v>10080</v>
      </c>
      <c r="I59" s="50">
        <f t="shared" si="81"/>
        <v>7577.3941113612455</v>
      </c>
      <c r="J59" s="71">
        <f>(References!$C$49*I59)</f>
        <v>23.603582656890225</v>
      </c>
      <c r="K59" s="71">
        <f>J59/References!$G$52</f>
        <v>24.236146069298929</v>
      </c>
      <c r="L59" s="71">
        <f t="shared" si="84"/>
        <v>2.0196788391082441</v>
      </c>
      <c r="M59" s="141">
        <f>'Tariff Changes'!C45</f>
        <v>116.74</v>
      </c>
      <c r="N59" s="71">
        <f t="shared" si="85"/>
        <v>118.75967883910823</v>
      </c>
      <c r="O59" s="141">
        <f>'Tariff Changes'!E45</f>
        <v>119.39289451472487</v>
      </c>
      <c r="P59" s="71"/>
      <c r="Q59" s="71"/>
      <c r="R59" s="71"/>
      <c r="S59" s="71"/>
      <c r="T59" s="71"/>
      <c r="U59" s="71"/>
      <c r="V59" s="71"/>
      <c r="W59" s="71"/>
      <c r="X59" s="63"/>
      <c r="Y59" s="63"/>
    </row>
    <row r="60" spans="1:25">
      <c r="A60" s="268"/>
      <c r="B60" s="269" t="str">
        <f>'Tariff Changes'!$A$22</f>
        <v>Item 105, pg 28</v>
      </c>
      <c r="C60" s="270" t="str">
        <f>'Tariff Changes'!A46</f>
        <v>8 Yard Special Pickup</v>
      </c>
      <c r="D60" s="138">
        <v>1</v>
      </c>
      <c r="E60" s="73">
        <v>1</v>
      </c>
      <c r="F60" s="139">
        <f t="shared" si="86"/>
        <v>12</v>
      </c>
      <c r="G60" s="140">
        <f>References!B33</f>
        <v>980</v>
      </c>
      <c r="H60" s="72">
        <f t="shared" si="83"/>
        <v>11760</v>
      </c>
      <c r="I60" s="50">
        <f t="shared" si="81"/>
        <v>8840.2931299214524</v>
      </c>
      <c r="J60" s="71">
        <f>(References!$C$49*I60)</f>
        <v>27.537513099705262</v>
      </c>
      <c r="K60" s="71">
        <f>J60/References!$G$52</f>
        <v>28.275503747515415</v>
      </c>
      <c r="L60" s="71">
        <f t="shared" si="84"/>
        <v>2.3562919789596179</v>
      </c>
      <c r="M60" s="141">
        <f>'Tariff Changes'!C46</f>
        <v>143.09</v>
      </c>
      <c r="N60" s="71">
        <f t="shared" si="85"/>
        <v>145.44629197895961</v>
      </c>
      <c r="O60" s="141">
        <f>'Tariff Changes'!E46</f>
        <v>146.62719268629985</v>
      </c>
      <c r="P60" s="71"/>
      <c r="Q60" s="71"/>
      <c r="R60" s="71"/>
      <c r="S60" s="71"/>
      <c r="T60" s="71"/>
      <c r="U60" s="71"/>
      <c r="V60" s="71"/>
      <c r="W60" s="71"/>
      <c r="X60" s="63"/>
      <c r="Y60" s="63"/>
    </row>
    <row r="61" spans="1:25">
      <c r="A61" s="268"/>
      <c r="B61" s="269" t="str">
        <f>'Tariff Changes'!$A$56</f>
        <v>Item 106, pg 28 Compacted</v>
      </c>
      <c r="C61" s="270" t="str">
        <f>'Tariff Changes'!A57</f>
        <v>1 Yard</v>
      </c>
      <c r="D61" s="138">
        <v>1</v>
      </c>
      <c r="E61" s="73">
        <v>1</v>
      </c>
      <c r="F61" s="139">
        <f t="shared" si="86"/>
        <v>12</v>
      </c>
      <c r="G61" s="140">
        <f>References!B34</f>
        <v>482</v>
      </c>
      <c r="H61" s="72">
        <f t="shared" si="83"/>
        <v>5784</v>
      </c>
      <c r="I61" s="50">
        <f t="shared" si="81"/>
        <v>4347.980906757286</v>
      </c>
      <c r="J61" s="71">
        <f>(References!$C$49*I61)</f>
        <v>13.543960524548915</v>
      </c>
      <c r="K61" s="71">
        <f>J61/References!$G$52</f>
        <v>13.90693143500248</v>
      </c>
      <c r="L61" s="71">
        <f t="shared" si="84"/>
        <v>1.1589109529168733</v>
      </c>
      <c r="M61" s="141">
        <f>'Tariff Changes'!C57</f>
        <v>122.46</v>
      </c>
      <c r="N61" s="71">
        <f t="shared" si="85"/>
        <v>123.61891095291686</v>
      </c>
      <c r="O61" s="141">
        <f>'Tariff Changes'!E57</f>
        <v>124.00752180025617</v>
      </c>
      <c r="P61" s="71"/>
      <c r="Q61" s="71"/>
      <c r="R61" s="71"/>
      <c r="S61" s="71"/>
      <c r="T61" s="71"/>
      <c r="U61" s="71"/>
      <c r="V61" s="71"/>
      <c r="W61" s="71"/>
      <c r="X61" s="63"/>
      <c r="Y61" s="63"/>
    </row>
    <row r="62" spans="1:25">
      <c r="A62" s="268"/>
      <c r="B62" s="269" t="str">
        <f>'Tariff Changes'!$A$56</f>
        <v>Item 106, pg 28 Compacted</v>
      </c>
      <c r="C62" s="270" t="str">
        <f>'Tariff Changes'!A58</f>
        <v>2 Yard</v>
      </c>
      <c r="D62" s="138">
        <v>1</v>
      </c>
      <c r="E62" s="73">
        <v>1</v>
      </c>
      <c r="F62" s="139">
        <f t="shared" si="86"/>
        <v>12</v>
      </c>
      <c r="G62" s="140">
        <f>References!B36</f>
        <v>892</v>
      </c>
      <c r="H62" s="72">
        <f t="shared" si="83"/>
        <v>10704</v>
      </c>
      <c r="I62" s="50">
        <f t="shared" si="81"/>
        <v>8046.4708896836082</v>
      </c>
      <c r="J62" s="71">
        <f>(References!$C$49*I62)</f>
        <v>25.06475682136438</v>
      </c>
      <c r="K62" s="71">
        <f>J62/References!$G$52</f>
        <v>25.736478921207908</v>
      </c>
      <c r="L62" s="71">
        <f t="shared" si="84"/>
        <v>2.1447065767673257</v>
      </c>
      <c r="M62" s="141">
        <f>'Tariff Changes'!C58</f>
        <v>173.45</v>
      </c>
      <c r="N62" s="71">
        <f t="shared" si="85"/>
        <v>175.59470657676732</v>
      </c>
      <c r="O62" s="141">
        <f>'Tariff Changes'!E58</f>
        <v>176.54504360051234</v>
      </c>
      <c r="P62" s="71"/>
      <c r="Q62" s="71"/>
      <c r="R62" s="71"/>
      <c r="S62" s="71"/>
      <c r="T62" s="71"/>
      <c r="U62" s="71"/>
      <c r="V62" s="71"/>
      <c r="W62" s="71"/>
      <c r="X62" s="63"/>
      <c r="Y62" s="63"/>
    </row>
    <row r="63" spans="1:25">
      <c r="A63" s="268"/>
      <c r="B63" s="269" t="str">
        <f>'Tariff Changes'!$A$56</f>
        <v>Item 106, pg 28 Compacted</v>
      </c>
      <c r="C63" s="270" t="str">
        <f>'Tariff Changes'!A59</f>
        <v>3 Yard</v>
      </c>
      <c r="D63" s="138">
        <v>1</v>
      </c>
      <c r="E63" s="73">
        <v>1</v>
      </c>
      <c r="F63" s="139">
        <f t="shared" si="86"/>
        <v>12</v>
      </c>
      <c r="G63" s="140">
        <f>References!B37</f>
        <v>1301</v>
      </c>
      <c r="H63" s="72">
        <f t="shared" si="83"/>
        <v>15612</v>
      </c>
      <c r="I63" s="50">
        <f t="shared" si="81"/>
        <v>11735.940165334501</v>
      </c>
      <c r="J63" s="71">
        <f>(References!$C$49*I63)</f>
        <v>36.55745361501689</v>
      </c>
      <c r="K63" s="71">
        <f>J63/References!$G$52</f>
        <v>37.537173852568941</v>
      </c>
      <c r="L63" s="71">
        <f t="shared" si="84"/>
        <v>3.1280978210474117</v>
      </c>
      <c r="M63" s="141">
        <f>'Tariff Changes'!C59</f>
        <v>216.27</v>
      </c>
      <c r="N63" s="71">
        <f t="shared" si="85"/>
        <v>219.39809782104743</v>
      </c>
      <c r="O63" s="141">
        <f>'Tariff Changes'!E59</f>
        <v>220.91256540076856</v>
      </c>
      <c r="P63" s="71"/>
      <c r="Q63" s="71"/>
      <c r="R63" s="71"/>
      <c r="S63" s="71"/>
      <c r="T63" s="71"/>
      <c r="U63" s="71"/>
      <c r="V63" s="71"/>
      <c r="W63" s="71"/>
      <c r="X63" s="63"/>
      <c r="Y63" s="63"/>
    </row>
    <row r="64" spans="1:25">
      <c r="A64" s="268"/>
      <c r="B64" s="269" t="str">
        <f>'Tariff Changes'!$A$56</f>
        <v>Item 106, pg 28 Compacted</v>
      </c>
      <c r="C64" s="270" t="str">
        <f>'Tariff Changes'!A60</f>
        <v>4 Yard</v>
      </c>
      <c r="D64" s="138">
        <v>1</v>
      </c>
      <c r="E64" s="73">
        <v>1</v>
      </c>
      <c r="F64" s="139">
        <f t="shared" si="86"/>
        <v>12</v>
      </c>
      <c r="G64" s="140">
        <f>References!B38</f>
        <v>1686</v>
      </c>
      <c r="H64" s="72">
        <f t="shared" si="83"/>
        <v>20232</v>
      </c>
      <c r="I64" s="50">
        <f t="shared" si="81"/>
        <v>15208.912466375072</v>
      </c>
      <c r="J64" s="71">
        <f>(References!$C$49*I64)</f>
        <v>47.375762332758235</v>
      </c>
      <c r="K64" s="71">
        <f>J64/References!$G$52</f>
        <v>48.64540746766427</v>
      </c>
      <c r="L64" s="71">
        <f t="shared" si="84"/>
        <v>4.0537839556386892</v>
      </c>
      <c r="M64" s="141">
        <f>'Tariff Changes'!C60</f>
        <v>256.45</v>
      </c>
      <c r="N64" s="71">
        <f t="shared" si="85"/>
        <v>260.50378395563865</v>
      </c>
      <c r="O64" s="141">
        <f>'Tariff Changes'!E60</f>
        <v>262.6400872010247</v>
      </c>
      <c r="P64" s="71"/>
      <c r="Q64" s="71"/>
      <c r="R64" s="71"/>
      <c r="S64" s="71"/>
      <c r="T64" s="71"/>
      <c r="U64" s="71"/>
      <c r="V64" s="71"/>
      <c r="W64" s="71"/>
      <c r="X64" s="63"/>
      <c r="Y64" s="63"/>
    </row>
    <row r="65" spans="1:25">
      <c r="A65" s="271"/>
      <c r="B65" s="269" t="str">
        <f>'Tariff Changes'!$A$56</f>
        <v>Item 106, pg 28 Compacted</v>
      </c>
      <c r="C65" s="270" t="str">
        <f>'Tariff Changes'!A61</f>
        <v>5 Yard</v>
      </c>
      <c r="D65" s="138">
        <v>1</v>
      </c>
      <c r="E65" s="73">
        <v>1</v>
      </c>
      <c r="F65" s="139">
        <f t="shared" si="86"/>
        <v>12</v>
      </c>
      <c r="G65" s="140">
        <f>References!B39</f>
        <v>2046</v>
      </c>
      <c r="H65" s="72">
        <f t="shared" si="83"/>
        <v>24552</v>
      </c>
      <c r="I65" s="50">
        <f t="shared" si="81"/>
        <v>18456.367085529891</v>
      </c>
      <c r="J65" s="71">
        <f>(References!$C$49*I65)</f>
        <v>57.491583471425479</v>
      </c>
      <c r="K65" s="71">
        <f>J65/References!$G$52</f>
        <v>59.03232721164953</v>
      </c>
      <c r="L65" s="71">
        <f t="shared" si="84"/>
        <v>4.9193606009707942</v>
      </c>
      <c r="M65" s="141">
        <f>'Tariff Changes'!C61</f>
        <v>297.07</v>
      </c>
      <c r="N65" s="71">
        <f t="shared" si="85"/>
        <v>301.98936060097077</v>
      </c>
      <c r="O65" s="141">
        <f>'Tariff Changes'!E61</f>
        <v>304.80760900128092</v>
      </c>
      <c r="P65" s="71"/>
      <c r="Q65" s="71"/>
      <c r="R65" s="71"/>
      <c r="S65" s="71"/>
      <c r="T65" s="71"/>
      <c r="U65" s="71"/>
      <c r="V65" s="71"/>
      <c r="W65" s="71"/>
      <c r="X65" s="63"/>
      <c r="Y65" s="63"/>
    </row>
    <row r="66" spans="1:25">
      <c r="A66" s="271"/>
      <c r="B66" s="269" t="str">
        <f>'Tariff Changes'!$A$56</f>
        <v>Item 106, pg 28 Compacted</v>
      </c>
      <c r="C66" s="270" t="str">
        <f>'Tariff Changes'!A62</f>
        <v>6 Yard</v>
      </c>
      <c r="D66" s="138">
        <v>1</v>
      </c>
      <c r="E66" s="73">
        <v>1</v>
      </c>
      <c r="F66" s="139">
        <f t="shared" si="86"/>
        <v>12</v>
      </c>
      <c r="G66" s="140">
        <f>References!B40</f>
        <v>2310</v>
      </c>
      <c r="H66" s="72">
        <f t="shared" si="83"/>
        <v>27720</v>
      </c>
      <c r="I66" s="50">
        <f t="shared" si="81"/>
        <v>20837.833806243427</v>
      </c>
      <c r="J66" s="71">
        <f>(References!$C$49*I66)</f>
        <v>64.90985230644813</v>
      </c>
      <c r="K66" s="71">
        <f>J66/References!$G$52</f>
        <v>66.649401690572063</v>
      </c>
      <c r="L66" s="71">
        <f t="shared" si="84"/>
        <v>5.5541168075476719</v>
      </c>
      <c r="M66" s="141">
        <f>'Tariff Changes'!C62</f>
        <v>374.4</v>
      </c>
      <c r="N66" s="71">
        <f t="shared" si="85"/>
        <v>379.95411680754762</v>
      </c>
      <c r="O66" s="141">
        <f>'Tariff Changes'!E62</f>
        <v>383.68513080153707</v>
      </c>
      <c r="P66" s="71"/>
      <c r="Q66" s="71"/>
      <c r="R66" s="71"/>
      <c r="S66" s="71"/>
      <c r="T66" s="71"/>
      <c r="U66" s="71"/>
      <c r="V66" s="71"/>
      <c r="W66" s="71"/>
      <c r="X66" s="63"/>
      <c r="Y66" s="63"/>
    </row>
    <row r="67" spans="1:25">
      <c r="A67" s="271"/>
      <c r="B67" s="46" t="str">
        <f>'Tariff Changes'!$A$64</f>
        <v>Item 106, pg 29 Compacted</v>
      </c>
      <c r="C67" s="61" t="str">
        <f>'Tariff Changes'!A65</f>
        <v>1 Yard</v>
      </c>
      <c r="D67" s="138">
        <v>1</v>
      </c>
      <c r="E67" s="73">
        <v>1</v>
      </c>
      <c r="F67" s="139">
        <f t="shared" si="86"/>
        <v>12</v>
      </c>
      <c r="G67" s="140">
        <f>References!B34</f>
        <v>482</v>
      </c>
      <c r="H67" s="72">
        <f t="shared" si="83"/>
        <v>5784</v>
      </c>
      <c r="I67" s="50">
        <f t="shared" si="81"/>
        <v>4347.980906757286</v>
      </c>
      <c r="J67" s="71">
        <f>(References!$C$49*I67)</f>
        <v>13.543960524548915</v>
      </c>
      <c r="K67" s="71">
        <f>J67/References!$G$52</f>
        <v>13.90693143500248</v>
      </c>
      <c r="L67" s="71">
        <f t="shared" si="84"/>
        <v>1.1589109529168733</v>
      </c>
      <c r="M67" s="141">
        <f>'Tariff Changes'!C65</f>
        <v>136</v>
      </c>
      <c r="N67" s="71">
        <f t="shared" si="85"/>
        <v>137.15891095291687</v>
      </c>
      <c r="O67" s="141">
        <f>'Tariff Changes'!E65</f>
        <v>137.54752180025619</v>
      </c>
      <c r="P67" s="71"/>
      <c r="Q67" s="71"/>
      <c r="R67" s="71"/>
      <c r="S67" s="71"/>
      <c r="T67" s="71"/>
      <c r="U67" s="71"/>
      <c r="V67" s="71"/>
      <c r="W67" s="71"/>
      <c r="X67" s="63"/>
      <c r="Y67" s="63"/>
    </row>
    <row r="68" spans="1:25">
      <c r="A68" s="271"/>
      <c r="B68" s="46" t="str">
        <f>'Tariff Changes'!$A$64</f>
        <v>Item 106, pg 29 Compacted</v>
      </c>
      <c r="C68" s="61" t="str">
        <f>'Tariff Changes'!A66</f>
        <v>2 Yard</v>
      </c>
      <c r="D68" s="138">
        <v>1</v>
      </c>
      <c r="E68" s="73">
        <v>1</v>
      </c>
      <c r="F68" s="139">
        <f t="shared" si="86"/>
        <v>12</v>
      </c>
      <c r="G68" s="140">
        <f>References!B36</f>
        <v>892</v>
      </c>
      <c r="H68" s="72">
        <f t="shared" si="83"/>
        <v>10704</v>
      </c>
      <c r="I68" s="50">
        <f t="shared" si="81"/>
        <v>8046.4708896836082</v>
      </c>
      <c r="J68" s="71">
        <f>(References!$C$49*I68)</f>
        <v>25.06475682136438</v>
      </c>
      <c r="K68" s="71">
        <f>J68/References!$G$52</f>
        <v>25.736478921207908</v>
      </c>
      <c r="L68" s="71">
        <f t="shared" si="84"/>
        <v>2.1447065767673257</v>
      </c>
      <c r="M68" s="141">
        <f>'Tariff Changes'!C66</f>
        <v>208.6</v>
      </c>
      <c r="N68" s="71">
        <f t="shared" si="85"/>
        <v>210.74470657676733</v>
      </c>
      <c r="O68" s="141">
        <f>'Tariff Changes'!E66</f>
        <v>213.0214908578748</v>
      </c>
      <c r="P68" s="71"/>
      <c r="Q68" s="71"/>
      <c r="R68" s="71"/>
      <c r="S68" s="71"/>
      <c r="T68" s="71"/>
      <c r="U68" s="71"/>
      <c r="V68" s="71"/>
      <c r="W68" s="71"/>
      <c r="X68" s="63"/>
      <c r="Y68" s="63"/>
    </row>
    <row r="69" spans="1:25" s="63" customFormat="1">
      <c r="A69" s="268"/>
      <c r="B69" s="46" t="str">
        <f>'Tariff Changes'!$A$64</f>
        <v>Item 106, pg 29 Compacted</v>
      </c>
      <c r="C69" s="61" t="str">
        <f>'Tariff Changes'!A67</f>
        <v>3 Yard</v>
      </c>
      <c r="D69" s="138">
        <v>1</v>
      </c>
      <c r="E69" s="73">
        <v>1</v>
      </c>
      <c r="F69" s="139">
        <f t="shared" si="86"/>
        <v>12</v>
      </c>
      <c r="G69" s="140">
        <f>References!B37</f>
        <v>1301</v>
      </c>
      <c r="H69" s="72">
        <f t="shared" si="83"/>
        <v>15612</v>
      </c>
      <c r="I69" s="50">
        <f t="shared" si="81"/>
        <v>11735.940165334501</v>
      </c>
      <c r="J69" s="71">
        <f>(References!$C$49*I69)</f>
        <v>36.55745361501689</v>
      </c>
      <c r="K69" s="71">
        <f>J69/References!$G$52</f>
        <v>37.537173852568941</v>
      </c>
      <c r="L69" s="71">
        <f t="shared" si="84"/>
        <v>3.1280978210474117</v>
      </c>
      <c r="M69" s="141">
        <f>'Tariff Changes'!C67</f>
        <v>265.77999999999997</v>
      </c>
      <c r="N69" s="71">
        <f t="shared" si="85"/>
        <v>268.90809782104736</v>
      </c>
      <c r="O69" s="141">
        <f>'Tariff Changes'!E67</f>
        <v>272.41223628681217</v>
      </c>
      <c r="P69" s="71"/>
      <c r="Q69" s="71"/>
      <c r="R69" s="71"/>
      <c r="S69" s="71"/>
      <c r="T69" s="71"/>
      <c r="U69" s="71"/>
      <c r="V69" s="71"/>
      <c r="W69" s="71"/>
    </row>
    <row r="70" spans="1:25">
      <c r="A70" s="268"/>
      <c r="B70" s="46" t="str">
        <f>'Tariff Changes'!$A$64</f>
        <v>Item 106, pg 29 Compacted</v>
      </c>
      <c r="C70" s="61" t="str">
        <f>'Tariff Changes'!A68</f>
        <v>4 Yard</v>
      </c>
      <c r="D70" s="138">
        <v>1</v>
      </c>
      <c r="E70" s="73">
        <v>1</v>
      </c>
      <c r="F70" s="139">
        <f t="shared" si="86"/>
        <v>12</v>
      </c>
      <c r="G70" s="140">
        <f>References!B38</f>
        <v>1686</v>
      </c>
      <c r="H70" s="72">
        <f t="shared" si="83"/>
        <v>20232</v>
      </c>
      <c r="I70" s="50">
        <f t="shared" si="81"/>
        <v>15208.912466375072</v>
      </c>
      <c r="J70" s="71">
        <f>(References!$C$49*I70)</f>
        <v>47.375762332758235</v>
      </c>
      <c r="K70" s="71">
        <f>J70/References!$G$52</f>
        <v>48.64540746766427</v>
      </c>
      <c r="L70" s="71">
        <f t="shared" si="84"/>
        <v>4.0537839556386892</v>
      </c>
      <c r="M70" s="141">
        <f>'Tariff Changes'!C68</f>
        <v>322.85000000000002</v>
      </c>
      <c r="N70" s="71">
        <f t="shared" si="85"/>
        <v>326.90378395563869</v>
      </c>
      <c r="O70" s="141">
        <f>'Tariff Changes'!E68</f>
        <v>331.69298171574962</v>
      </c>
      <c r="P70" s="71"/>
      <c r="Q70" s="71"/>
      <c r="R70" s="71"/>
      <c r="S70" s="71"/>
      <c r="T70" s="71"/>
      <c r="U70" s="71"/>
      <c r="V70" s="71"/>
      <c r="W70" s="71"/>
      <c r="X70" s="63"/>
      <c r="Y70" s="63"/>
    </row>
    <row r="71" spans="1:25">
      <c r="A71" s="268"/>
      <c r="B71" s="46" t="str">
        <f>'Tariff Changes'!$A$64</f>
        <v>Item 106, pg 29 Compacted</v>
      </c>
      <c r="C71" s="61" t="str">
        <f>'Tariff Changes'!A69</f>
        <v>5 Yard</v>
      </c>
      <c r="D71" s="138">
        <v>1</v>
      </c>
      <c r="E71" s="73">
        <v>1</v>
      </c>
      <c r="F71" s="139">
        <f t="shared" si="86"/>
        <v>12</v>
      </c>
      <c r="G71" s="140">
        <f>References!B39</f>
        <v>2046</v>
      </c>
      <c r="H71" s="72">
        <f t="shared" si="83"/>
        <v>24552</v>
      </c>
      <c r="I71" s="50">
        <f t="shared" si="81"/>
        <v>18456.367085529891</v>
      </c>
      <c r="J71" s="71">
        <f>(References!$C$49*I71)</f>
        <v>57.491583471425479</v>
      </c>
      <c r="K71" s="71">
        <f>J71/References!$G$52</f>
        <v>59.03232721164953</v>
      </c>
      <c r="L71" s="71">
        <f t="shared" si="84"/>
        <v>4.9193606009707942</v>
      </c>
      <c r="M71" s="141">
        <f>'Tariff Changes'!C69</f>
        <v>379.78</v>
      </c>
      <c r="N71" s="71">
        <f t="shared" si="85"/>
        <v>384.69936060097075</v>
      </c>
      <c r="O71" s="141">
        <f>'Tariff Changes'!E69</f>
        <v>390.83372714468697</v>
      </c>
      <c r="P71" s="71"/>
      <c r="Q71" s="71"/>
      <c r="R71" s="71"/>
      <c r="S71" s="71"/>
      <c r="T71" s="71"/>
      <c r="U71" s="71"/>
      <c r="V71" s="71"/>
      <c r="W71" s="71"/>
      <c r="X71" s="63"/>
      <c r="Y71" s="63"/>
    </row>
    <row r="72" spans="1:25">
      <c r="A72" s="268"/>
      <c r="B72" s="46" t="str">
        <f>'Tariff Changes'!$A$64</f>
        <v>Item 106, pg 29 Compacted</v>
      </c>
      <c r="C72" s="61" t="str">
        <f>'Tariff Changes'!A70</f>
        <v>6 Yard</v>
      </c>
      <c r="D72" s="138">
        <v>1</v>
      </c>
      <c r="E72" s="73">
        <v>1</v>
      </c>
      <c r="F72" s="139">
        <f t="shared" si="86"/>
        <v>12</v>
      </c>
      <c r="G72" s="140">
        <f>References!B40</f>
        <v>2310</v>
      </c>
      <c r="H72" s="72">
        <f t="shared" si="83"/>
        <v>27720</v>
      </c>
      <c r="I72" s="50">
        <f t="shared" si="81"/>
        <v>20837.833806243427</v>
      </c>
      <c r="J72" s="71">
        <f>(References!$C$49*I72)</f>
        <v>64.90985230644813</v>
      </c>
      <c r="K72" s="71">
        <f>J72/References!$G$52</f>
        <v>66.649401690572063</v>
      </c>
      <c r="L72" s="71">
        <f t="shared" si="84"/>
        <v>5.5541168075476719</v>
      </c>
      <c r="M72" s="141">
        <f>'Tariff Changes'!C70</f>
        <v>436.16</v>
      </c>
      <c r="N72" s="71">
        <f t="shared" si="85"/>
        <v>441.71411680754773</v>
      </c>
      <c r="O72" s="141">
        <f>'Tariff Changes'!E70</f>
        <v>449.42447257362443</v>
      </c>
      <c r="P72" s="71"/>
      <c r="Q72" s="71"/>
      <c r="R72" s="71"/>
      <c r="S72" s="71"/>
      <c r="T72" s="71"/>
      <c r="U72" s="71"/>
      <c r="V72" s="71"/>
      <c r="W72" s="71"/>
      <c r="X72" s="63"/>
      <c r="Y72" s="63"/>
    </row>
    <row r="73" spans="1:25">
      <c r="A73" s="268"/>
      <c r="B73" s="46" t="str">
        <f>'Tariff Changes'!$A$73</f>
        <v>Item 240, pg 39</v>
      </c>
      <c r="C73" s="61" t="str">
        <f>'Tariff Changes'!A75</f>
        <v>64 Gallon</v>
      </c>
      <c r="D73" s="138">
        <v>1</v>
      </c>
      <c r="E73" s="73">
        <v>1</v>
      </c>
      <c r="F73" s="139">
        <f t="shared" si="86"/>
        <v>12</v>
      </c>
      <c r="G73" s="140">
        <f>References!B21</f>
        <v>47</v>
      </c>
      <c r="H73" s="72">
        <f t="shared" si="83"/>
        <v>564</v>
      </c>
      <c r="I73" s="50">
        <f t="shared" si="81"/>
        <v>423.97324194521252</v>
      </c>
      <c r="J73" s="71">
        <f>(References!$C$49*I73)</f>
        <v>1.320676648659334</v>
      </c>
      <c r="K73" s="71">
        <f>J73/References!$G$52</f>
        <v>1.3560700776869639</v>
      </c>
      <c r="L73" s="71">
        <f t="shared" si="84"/>
        <v>0.11300583980724699</v>
      </c>
      <c r="M73" s="141">
        <f>'Tariff Changes'!C75</f>
        <v>6.41</v>
      </c>
      <c r="N73" s="71">
        <f t="shared" si="85"/>
        <v>6.5230058398072472</v>
      </c>
      <c r="O73" s="141">
        <f>'Tariff Changes'!E75</f>
        <v>6.5497191111088435</v>
      </c>
      <c r="P73" s="71"/>
      <c r="Q73" s="71"/>
      <c r="R73" s="71"/>
      <c r="S73" s="71"/>
      <c r="T73" s="71"/>
      <c r="U73" s="71"/>
      <c r="V73" s="71"/>
      <c r="W73" s="71"/>
      <c r="X73" s="63"/>
      <c r="Y73" s="63"/>
    </row>
    <row r="74" spans="1:25">
      <c r="A74" s="268"/>
      <c r="B74" s="46" t="str">
        <f>'Tariff Changes'!$A$73</f>
        <v>Item 240, pg 39</v>
      </c>
      <c r="C74" s="61" t="str">
        <f>'Tariff Changes'!A76</f>
        <v>96 Gallon First Pickup</v>
      </c>
      <c r="D74" s="138">
        <v>1</v>
      </c>
      <c r="E74" s="73">
        <v>1</v>
      </c>
      <c r="F74" s="139">
        <f t="shared" si="86"/>
        <v>12</v>
      </c>
      <c r="G74" s="140">
        <f>References!B22</f>
        <v>68</v>
      </c>
      <c r="H74" s="72">
        <f t="shared" si="83"/>
        <v>816</v>
      </c>
      <c r="I74" s="50">
        <f t="shared" si="81"/>
        <v>613.40809472924366</v>
      </c>
      <c r="J74" s="71">
        <f>(References!$C$49*I74)</f>
        <v>1.9107662150815896</v>
      </c>
      <c r="K74" s="71">
        <f>J74/References!$G$52</f>
        <v>1.961973729419437</v>
      </c>
      <c r="L74" s="71">
        <f t="shared" si="84"/>
        <v>0.1634978107849531</v>
      </c>
      <c r="M74" s="141">
        <f>'Tariff Changes'!C76</f>
        <v>9.59</v>
      </c>
      <c r="N74" s="71">
        <f t="shared" si="85"/>
        <v>9.7534978107849533</v>
      </c>
      <c r="O74" s="141">
        <f>'Tariff Changes'!E76</f>
        <v>9.7995786666632654</v>
      </c>
      <c r="P74" s="71"/>
      <c r="Q74" s="71"/>
      <c r="R74" s="71"/>
      <c r="S74" s="71"/>
      <c r="T74" s="71"/>
      <c r="U74" s="71"/>
      <c r="V74" s="71"/>
      <c r="W74" s="71"/>
      <c r="X74" s="63"/>
      <c r="Y74" s="63"/>
    </row>
    <row r="75" spans="1:25">
      <c r="A75" s="268"/>
      <c r="B75" s="46" t="str">
        <f>'Tariff Changes'!$A$73</f>
        <v>Item 240, pg 39</v>
      </c>
      <c r="C75" s="61" t="str">
        <f>'Tariff Changes'!A85</f>
        <v>32 Gallon Special</v>
      </c>
      <c r="D75" s="138">
        <v>1</v>
      </c>
      <c r="E75" s="73">
        <v>1</v>
      </c>
      <c r="F75" s="139">
        <f t="shared" si="86"/>
        <v>12</v>
      </c>
      <c r="G75" s="140">
        <f>References!B26</f>
        <v>29</v>
      </c>
      <c r="H75" s="72">
        <f t="shared" si="83"/>
        <v>348</v>
      </c>
      <c r="I75" s="50">
        <f t="shared" si="81"/>
        <v>261.60051098747158</v>
      </c>
      <c r="J75" s="71">
        <f>(References!$C$49*I75)</f>
        <v>0.81488559172597208</v>
      </c>
      <c r="K75" s="71">
        <f>J75/References!$G$52</f>
        <v>0.83672409048770113</v>
      </c>
      <c r="L75" s="71">
        <f t="shared" si="84"/>
        <v>6.9727007540641761E-2</v>
      </c>
      <c r="M75" s="141">
        <f>'Tariff Changes'!C85</f>
        <v>8.61</v>
      </c>
      <c r="N75" s="71">
        <f t="shared" si="85"/>
        <v>8.6797270075406416</v>
      </c>
      <c r="O75" s="141">
        <f>'Tariff Changes'!E85</f>
        <v>8.6798595555544207</v>
      </c>
      <c r="P75" s="71"/>
      <c r="Q75" s="71"/>
      <c r="R75" s="71"/>
      <c r="S75" s="71"/>
      <c r="T75" s="71"/>
      <c r="U75" s="71"/>
      <c r="V75" s="71"/>
      <c r="W75" s="71"/>
      <c r="X75" s="63"/>
      <c r="Y75" s="63"/>
    </row>
    <row r="76" spans="1:25">
      <c r="A76" s="268"/>
      <c r="B76" s="46" t="str">
        <f>'Tariff Changes'!$A$73</f>
        <v>Item 240, pg 39</v>
      </c>
      <c r="C76" s="61" t="str">
        <f>'Tariff Changes'!A86</f>
        <v>64 Gallon Special</v>
      </c>
      <c r="D76" s="138">
        <v>1</v>
      </c>
      <c r="E76" s="73">
        <v>1</v>
      </c>
      <c r="F76" s="139">
        <f t="shared" si="86"/>
        <v>12</v>
      </c>
      <c r="G76" s="140">
        <f>References!B21</f>
        <v>47</v>
      </c>
      <c r="H76" s="72">
        <f t="shared" si="83"/>
        <v>564</v>
      </c>
      <c r="I76" s="50">
        <f t="shared" ref="I76:I95" si="87">$D$105*H76</f>
        <v>423.97324194521252</v>
      </c>
      <c r="J76" s="71">
        <f>(References!$C$49*I76)</f>
        <v>1.320676648659334</v>
      </c>
      <c r="K76" s="71">
        <f>J76/References!$G$52</f>
        <v>1.3560700776869639</v>
      </c>
      <c r="L76" s="71">
        <f t="shared" si="84"/>
        <v>0.11300583980724699</v>
      </c>
      <c r="M76" s="141">
        <f>'Tariff Changes'!C86</f>
        <v>9.8000000000000007</v>
      </c>
      <c r="N76" s="71">
        <f t="shared" si="85"/>
        <v>9.9130058398072478</v>
      </c>
      <c r="O76" s="141">
        <f>'Tariff Changes'!E86</f>
        <v>10.009578666663266</v>
      </c>
      <c r="P76" s="71"/>
      <c r="Q76" s="71"/>
      <c r="R76" s="71"/>
      <c r="S76" s="71"/>
      <c r="T76" s="71"/>
      <c r="U76" s="71"/>
      <c r="V76" s="71"/>
      <c r="W76" s="71"/>
      <c r="X76" s="63"/>
      <c r="Y76" s="63"/>
    </row>
    <row r="77" spans="1:25">
      <c r="A77" s="268"/>
      <c r="B77" s="46" t="str">
        <f>'Tariff Changes'!$A$73</f>
        <v>Item 240, pg 39</v>
      </c>
      <c r="C77" s="61" t="str">
        <f>'Tariff Changes'!A87</f>
        <v>96 Gallon Special</v>
      </c>
      <c r="D77" s="138">
        <v>1</v>
      </c>
      <c r="E77" s="73">
        <v>1</v>
      </c>
      <c r="F77" s="139">
        <f t="shared" si="86"/>
        <v>12</v>
      </c>
      <c r="G77" s="140">
        <f>References!B22</f>
        <v>68</v>
      </c>
      <c r="H77" s="72">
        <f t="shared" si="83"/>
        <v>816</v>
      </c>
      <c r="I77" s="50">
        <f t="shared" si="87"/>
        <v>613.40809472924366</v>
      </c>
      <c r="J77" s="71">
        <f>(References!$C$49*I77)</f>
        <v>1.9107662150815896</v>
      </c>
      <c r="K77" s="71">
        <f>J77/References!$G$52</f>
        <v>1.961973729419437</v>
      </c>
      <c r="L77" s="71">
        <f t="shared" si="84"/>
        <v>0.1634978107849531</v>
      </c>
      <c r="M77" s="141">
        <f>'Tariff Changes'!C87</f>
        <v>12.04</v>
      </c>
      <c r="N77" s="71">
        <f t="shared" si="85"/>
        <v>12.203497810784953</v>
      </c>
      <c r="O77" s="141">
        <f>'Tariff Changes'!E87</f>
        <v>12.249578666663265</v>
      </c>
      <c r="P77" s="71"/>
      <c r="Q77" s="71"/>
      <c r="R77" s="71"/>
      <c r="S77" s="71"/>
      <c r="T77" s="71"/>
      <c r="U77" s="71"/>
      <c r="V77" s="71"/>
      <c r="W77" s="71"/>
      <c r="X77" s="63"/>
      <c r="Y77" s="63"/>
    </row>
    <row r="78" spans="1:25">
      <c r="A78" s="271"/>
      <c r="B78" s="46" t="str">
        <f>'Tariff Changes'!$A$73</f>
        <v>Item 240, pg 39</v>
      </c>
      <c r="C78" s="61" t="str">
        <f>'Tariff Changes'!A89</f>
        <v>1.5 Yard Special Pickup</v>
      </c>
      <c r="D78" s="138">
        <v>1</v>
      </c>
      <c r="E78" s="73">
        <v>1</v>
      </c>
      <c r="F78" s="139">
        <f t="shared" si="86"/>
        <v>12</v>
      </c>
      <c r="G78" s="140">
        <f>References!B27</f>
        <v>175</v>
      </c>
      <c r="H78" s="72">
        <f t="shared" si="83"/>
        <v>2100</v>
      </c>
      <c r="I78" s="50">
        <f t="shared" si="87"/>
        <v>1578.6237732002594</v>
      </c>
      <c r="J78" s="71">
        <f>(References!$C$49*I78)</f>
        <v>4.9174130535187963</v>
      </c>
      <c r="K78" s="71">
        <f>J78/References!$G$52</f>
        <v>5.0491970977706089</v>
      </c>
      <c r="L78" s="71">
        <f t="shared" si="84"/>
        <v>0.42076642481421739</v>
      </c>
      <c r="M78" s="141">
        <f>'Tariff Changes'!C89</f>
        <v>28.91</v>
      </c>
      <c r="N78" s="71">
        <f t="shared" si="85"/>
        <v>29.330766424814218</v>
      </c>
      <c r="O78" s="141">
        <f>'Tariff Changes'!E89</f>
        <v>29.57322362868122</v>
      </c>
      <c r="P78" s="71"/>
      <c r="Q78" s="71"/>
      <c r="R78" s="71"/>
      <c r="S78" s="71"/>
      <c r="T78" s="71"/>
      <c r="U78" s="71"/>
      <c r="V78" s="71"/>
      <c r="W78" s="71"/>
      <c r="X78" s="63"/>
      <c r="Y78" s="63"/>
    </row>
    <row r="79" spans="1:25">
      <c r="A79" s="271"/>
      <c r="B79" s="46" t="str">
        <f>'Tariff Changes'!$A$96</f>
        <v>Item 245, pg 40</v>
      </c>
      <c r="C79" s="82" t="str">
        <f>'Tariff Changes'!A98</f>
        <v>64 Gallon</v>
      </c>
      <c r="D79" s="138">
        <v>1</v>
      </c>
      <c r="E79" s="73">
        <v>1</v>
      </c>
      <c r="F79" s="139">
        <f t="shared" si="86"/>
        <v>12</v>
      </c>
      <c r="G79" s="140">
        <f>References!B21</f>
        <v>47</v>
      </c>
      <c r="H79" s="72">
        <f t="shared" si="83"/>
        <v>564</v>
      </c>
      <c r="I79" s="50">
        <f t="shared" si="87"/>
        <v>423.97324194521252</v>
      </c>
      <c r="J79" s="71">
        <f>(References!$C$49*I79)</f>
        <v>1.320676648659334</v>
      </c>
      <c r="K79" s="71">
        <f>J79/References!$G$52</f>
        <v>1.3560700776869639</v>
      </c>
      <c r="L79" s="71">
        <f t="shared" si="84"/>
        <v>0.11300583980724699</v>
      </c>
      <c r="M79" s="141">
        <f>'Tariff Changes'!C98</f>
        <v>6.41</v>
      </c>
      <c r="N79" s="71">
        <f t="shared" si="85"/>
        <v>6.5230058398072472</v>
      </c>
      <c r="O79" s="141">
        <f>'Tariff Changes'!E98</f>
        <v>6.5497191111088435</v>
      </c>
      <c r="P79" s="71"/>
      <c r="Q79" s="71"/>
      <c r="R79" s="71"/>
      <c r="S79" s="71"/>
      <c r="T79" s="71"/>
      <c r="U79" s="71"/>
      <c r="V79" s="71"/>
      <c r="W79" s="71"/>
      <c r="X79" s="63"/>
      <c r="Y79" s="63"/>
    </row>
    <row r="80" spans="1:25">
      <c r="A80" s="271"/>
      <c r="B80" s="46" t="str">
        <f>'Tariff Changes'!$A$96</f>
        <v>Item 245, pg 40</v>
      </c>
      <c r="C80" s="82" t="str">
        <f>'Tariff Changes'!A99</f>
        <v>96 Gallon First Pickup</v>
      </c>
      <c r="D80" s="138">
        <v>1</v>
      </c>
      <c r="E80" s="73">
        <v>1</v>
      </c>
      <c r="F80" s="139">
        <f t="shared" si="86"/>
        <v>12</v>
      </c>
      <c r="G80" s="140">
        <f>References!B22</f>
        <v>68</v>
      </c>
      <c r="H80" s="72">
        <f t="shared" si="83"/>
        <v>816</v>
      </c>
      <c r="I80" s="50">
        <f t="shared" si="87"/>
        <v>613.40809472924366</v>
      </c>
      <c r="J80" s="71">
        <f>(References!$C$49*I80)</f>
        <v>1.9107662150815896</v>
      </c>
      <c r="K80" s="71">
        <f>J80/References!$G$52</f>
        <v>1.961973729419437</v>
      </c>
      <c r="L80" s="71">
        <f t="shared" si="84"/>
        <v>0.1634978107849531</v>
      </c>
      <c r="M80" s="141">
        <f>'Tariff Changes'!C99</f>
        <v>9.59</v>
      </c>
      <c r="N80" s="71">
        <f t="shared" si="85"/>
        <v>9.7534978107849533</v>
      </c>
      <c r="O80" s="141">
        <f>'Tariff Changes'!E99</f>
        <v>9.7995786666632654</v>
      </c>
      <c r="P80" s="71"/>
      <c r="Q80" s="71"/>
      <c r="R80" s="71"/>
      <c r="S80" s="71"/>
      <c r="T80" s="71"/>
      <c r="U80" s="71"/>
      <c r="V80" s="71"/>
      <c r="W80" s="71"/>
      <c r="X80" s="63"/>
      <c r="Y80" s="63"/>
    </row>
    <row r="81" spans="1:25">
      <c r="A81" s="268"/>
      <c r="B81" s="46" t="str">
        <f>'Tariff Changes'!$A$96</f>
        <v>Item 245, pg 40</v>
      </c>
      <c r="C81" s="61" t="str">
        <f>'Tariff Changes'!A101</f>
        <v>32 Gallon Special</v>
      </c>
      <c r="D81" s="138">
        <v>1</v>
      </c>
      <c r="E81" s="73">
        <v>1</v>
      </c>
      <c r="F81" s="139">
        <f t="shared" si="86"/>
        <v>12</v>
      </c>
      <c r="G81" s="140">
        <f>References!B26</f>
        <v>29</v>
      </c>
      <c r="H81" s="72">
        <f t="shared" si="83"/>
        <v>348</v>
      </c>
      <c r="I81" s="50">
        <f t="shared" si="87"/>
        <v>261.60051098747158</v>
      </c>
      <c r="J81" s="71">
        <f>(References!$C$49*I81)</f>
        <v>0.81488559172597208</v>
      </c>
      <c r="K81" s="71">
        <f>J81/References!$G$52</f>
        <v>0.83672409048770113</v>
      </c>
      <c r="L81" s="71">
        <f t="shared" si="84"/>
        <v>6.9727007540641761E-2</v>
      </c>
      <c r="M81" s="141">
        <f>'Tariff Changes'!C101</f>
        <v>8.61</v>
      </c>
      <c r="N81" s="71">
        <f t="shared" si="85"/>
        <v>8.6797270075406416</v>
      </c>
      <c r="O81" s="141">
        <f>'Tariff Changes'!E101</f>
        <v>8.6798595555544207</v>
      </c>
      <c r="P81" s="71"/>
      <c r="Q81" s="71"/>
      <c r="R81" s="71"/>
      <c r="S81" s="71"/>
      <c r="T81" s="71"/>
      <c r="U81" s="71"/>
      <c r="V81" s="71"/>
      <c r="W81" s="71"/>
      <c r="X81" s="63"/>
      <c r="Y81" s="63"/>
    </row>
    <row r="82" spans="1:25">
      <c r="A82" s="268"/>
      <c r="B82" s="46" t="str">
        <f>'Tariff Changes'!$A$96</f>
        <v>Item 245, pg 40</v>
      </c>
      <c r="C82" s="61" t="str">
        <f>'Tariff Changes'!A102</f>
        <v>64 Gallon Special</v>
      </c>
      <c r="D82" s="138">
        <v>1</v>
      </c>
      <c r="E82" s="73">
        <v>1</v>
      </c>
      <c r="F82" s="139">
        <f t="shared" si="86"/>
        <v>12</v>
      </c>
      <c r="G82" s="140">
        <f>References!B21</f>
        <v>47</v>
      </c>
      <c r="H82" s="72">
        <f t="shared" si="83"/>
        <v>564</v>
      </c>
      <c r="I82" s="50">
        <f t="shared" si="87"/>
        <v>423.97324194521252</v>
      </c>
      <c r="J82" s="71">
        <f>(References!$C$49*I82)</f>
        <v>1.320676648659334</v>
      </c>
      <c r="K82" s="71">
        <f>J82/References!$G$52</f>
        <v>1.3560700776869639</v>
      </c>
      <c r="L82" s="71">
        <f t="shared" si="84"/>
        <v>0.11300583980724699</v>
      </c>
      <c r="M82" s="141">
        <f>'Tariff Changes'!C102</f>
        <v>9.8000000000000007</v>
      </c>
      <c r="N82" s="71">
        <f t="shared" si="85"/>
        <v>9.9130058398072478</v>
      </c>
      <c r="O82" s="141">
        <f>'Tariff Changes'!E102</f>
        <v>9.939719111108845</v>
      </c>
      <c r="P82" s="71"/>
      <c r="Q82" s="71"/>
      <c r="R82" s="71"/>
      <c r="S82" s="71"/>
      <c r="T82" s="71"/>
      <c r="U82" s="71"/>
      <c r="V82" s="71"/>
      <c r="W82" s="71"/>
      <c r="X82" s="63"/>
      <c r="Y82" s="63"/>
    </row>
    <row r="83" spans="1:25">
      <c r="A83" s="268"/>
      <c r="B83" s="46" t="str">
        <f>'Tariff Changes'!$A$96</f>
        <v>Item 245, pg 40</v>
      </c>
      <c r="C83" s="61" t="str">
        <f>'Tariff Changes'!A103</f>
        <v>96 Gallon Special</v>
      </c>
      <c r="D83" s="138">
        <v>1</v>
      </c>
      <c r="E83" s="73">
        <v>1</v>
      </c>
      <c r="F83" s="139">
        <f t="shared" si="86"/>
        <v>12</v>
      </c>
      <c r="G83" s="140">
        <f>References!B22</f>
        <v>68</v>
      </c>
      <c r="H83" s="72">
        <f t="shared" si="83"/>
        <v>816</v>
      </c>
      <c r="I83" s="50">
        <f t="shared" si="87"/>
        <v>613.40809472924366</v>
      </c>
      <c r="J83" s="71">
        <f>(References!$C$49*I83)</f>
        <v>1.9107662150815896</v>
      </c>
      <c r="K83" s="71">
        <f>J83/References!$G$52</f>
        <v>1.961973729419437</v>
      </c>
      <c r="L83" s="71">
        <f t="shared" si="84"/>
        <v>0.1634978107849531</v>
      </c>
      <c r="M83" s="141">
        <f>'Tariff Changes'!C103</f>
        <v>12.04</v>
      </c>
      <c r="N83" s="71">
        <f t="shared" si="85"/>
        <v>12.203497810784953</v>
      </c>
      <c r="O83" s="141">
        <f>'Tariff Changes'!E103</f>
        <v>12.249578666663265</v>
      </c>
      <c r="P83" s="71"/>
      <c r="Q83" s="71"/>
      <c r="R83" s="71"/>
      <c r="S83" s="71"/>
      <c r="T83" s="71"/>
      <c r="U83" s="71"/>
      <c r="V83" s="71"/>
      <c r="W83" s="71"/>
      <c r="X83" s="63"/>
      <c r="Y83" s="63"/>
    </row>
    <row r="84" spans="1:25">
      <c r="A84" s="268"/>
      <c r="B84" s="46" t="str">
        <f>'Tariff Changes'!$A$105</f>
        <v>Item 255, pg 41 Compacted</v>
      </c>
      <c r="C84" s="61" t="str">
        <f>'Tariff Changes'!A106</f>
        <v>1 Yard</v>
      </c>
      <c r="D84" s="138">
        <v>1</v>
      </c>
      <c r="E84" s="73">
        <v>1</v>
      </c>
      <c r="F84" s="139">
        <f t="shared" si="86"/>
        <v>12</v>
      </c>
      <c r="G84" s="140">
        <f>References!B34</f>
        <v>482</v>
      </c>
      <c r="H84" s="72">
        <f t="shared" si="83"/>
        <v>5784</v>
      </c>
      <c r="I84" s="50">
        <f t="shared" si="87"/>
        <v>4347.980906757286</v>
      </c>
      <c r="J84" s="71">
        <f>(References!$C$49*I84)</f>
        <v>13.543960524548915</v>
      </c>
      <c r="K84" s="71">
        <f>J84/References!$G$52</f>
        <v>13.90693143500248</v>
      </c>
      <c r="L84" s="71">
        <f t="shared" si="84"/>
        <v>1.1589109529168733</v>
      </c>
      <c r="M84" s="141">
        <f>'Tariff Changes'!C106</f>
        <v>116.39</v>
      </c>
      <c r="N84" s="71">
        <f t="shared" si="85"/>
        <v>117.54891095291687</v>
      </c>
      <c r="O84" s="141">
        <f>'Tariff Changes'!E106</f>
        <v>117.93752180025618</v>
      </c>
      <c r="P84" s="71"/>
      <c r="Q84" s="71"/>
      <c r="R84" s="71"/>
      <c r="S84" s="71"/>
      <c r="T84" s="71"/>
      <c r="U84" s="71"/>
      <c r="V84" s="71"/>
      <c r="W84" s="71"/>
      <c r="X84" s="63"/>
      <c r="Y84" s="63"/>
    </row>
    <row r="85" spans="1:25">
      <c r="A85" s="268"/>
      <c r="B85" s="46" t="str">
        <f>'Tariff Changes'!$A$105</f>
        <v>Item 255, pg 41 Compacted</v>
      </c>
      <c r="C85" s="61" t="str">
        <f>'Tariff Changes'!A107</f>
        <v>2 Yard</v>
      </c>
      <c r="D85" s="138">
        <v>1</v>
      </c>
      <c r="E85" s="73">
        <v>1</v>
      </c>
      <c r="F85" s="139">
        <f t="shared" si="86"/>
        <v>12</v>
      </c>
      <c r="G85" s="140">
        <f>References!B36</f>
        <v>892</v>
      </c>
      <c r="H85" s="72">
        <f t="shared" si="83"/>
        <v>10704</v>
      </c>
      <c r="I85" s="50">
        <f t="shared" si="87"/>
        <v>8046.4708896836082</v>
      </c>
      <c r="J85" s="71">
        <f>(References!$C$49*I85)</f>
        <v>25.06475682136438</v>
      </c>
      <c r="K85" s="71">
        <f>J85/References!$G$52</f>
        <v>25.736478921207908</v>
      </c>
      <c r="L85" s="71">
        <f t="shared" si="84"/>
        <v>2.1447065767673257</v>
      </c>
      <c r="M85" s="141">
        <f>'Tariff Changes'!C107</f>
        <v>161.31</v>
      </c>
      <c r="N85" s="71">
        <f t="shared" si="85"/>
        <v>163.45470657676734</v>
      </c>
      <c r="O85" s="141">
        <f>'Tariff Changes'!E107</f>
        <v>164.40504360051236</v>
      </c>
      <c r="P85" s="71"/>
      <c r="Q85" s="71"/>
      <c r="R85" s="71"/>
      <c r="S85" s="71"/>
      <c r="T85" s="71"/>
      <c r="U85" s="71"/>
      <c r="V85" s="71"/>
      <c r="W85" s="71"/>
      <c r="X85" s="63"/>
      <c r="Y85" s="63"/>
    </row>
    <row r="86" spans="1:25">
      <c r="A86" s="271"/>
      <c r="B86" s="46" t="str">
        <f>'Tariff Changes'!$A$105</f>
        <v>Item 255, pg 41 Compacted</v>
      </c>
      <c r="C86" s="61" t="str">
        <f>'Tariff Changes'!A108</f>
        <v>3 Yard</v>
      </c>
      <c r="D86" s="138">
        <v>1</v>
      </c>
      <c r="E86" s="73">
        <v>1</v>
      </c>
      <c r="F86" s="139">
        <f t="shared" si="86"/>
        <v>12</v>
      </c>
      <c r="G86" s="140">
        <f>References!B37</f>
        <v>1301</v>
      </c>
      <c r="H86" s="72">
        <f t="shared" si="83"/>
        <v>15612</v>
      </c>
      <c r="I86" s="50">
        <f t="shared" si="87"/>
        <v>11735.940165334501</v>
      </c>
      <c r="J86" s="71">
        <f>(References!$C$49*I86)</f>
        <v>36.55745361501689</v>
      </c>
      <c r="K86" s="71">
        <f>J86/References!$G$52</f>
        <v>37.537173852568941</v>
      </c>
      <c r="L86" s="71">
        <f t="shared" si="84"/>
        <v>3.1280978210474117</v>
      </c>
      <c r="M86" s="141">
        <f>'Tariff Changes'!C108</f>
        <v>198.05</v>
      </c>
      <c r="N86" s="71">
        <f t="shared" si="85"/>
        <v>201.17809782104743</v>
      </c>
      <c r="O86" s="141">
        <f>'Tariff Changes'!E108</f>
        <v>202.69256540076856</v>
      </c>
      <c r="P86" s="71"/>
      <c r="Q86" s="71"/>
      <c r="R86" s="71"/>
      <c r="S86" s="71"/>
      <c r="T86" s="71"/>
      <c r="U86" s="71"/>
      <c r="V86" s="71"/>
      <c r="W86" s="71"/>
      <c r="X86" s="63"/>
      <c r="Y86" s="63"/>
    </row>
    <row r="87" spans="1:25">
      <c r="A87" s="271"/>
      <c r="B87" s="46" t="str">
        <f>'Tariff Changes'!$A$105</f>
        <v>Item 255, pg 41 Compacted</v>
      </c>
      <c r="C87" s="61" t="str">
        <f>'Tariff Changes'!A109</f>
        <v>4 Yard</v>
      </c>
      <c r="D87" s="138">
        <v>1</v>
      </c>
      <c r="E87" s="73">
        <v>1</v>
      </c>
      <c r="F87" s="139">
        <f t="shared" si="86"/>
        <v>12</v>
      </c>
      <c r="G87" s="140">
        <f>References!B38</f>
        <v>1686</v>
      </c>
      <c r="H87" s="72">
        <f t="shared" si="83"/>
        <v>20232</v>
      </c>
      <c r="I87" s="50">
        <f t="shared" si="87"/>
        <v>15208.912466375072</v>
      </c>
      <c r="J87" s="71">
        <f>(References!$C$49*I87)</f>
        <v>47.375762332758235</v>
      </c>
      <c r="K87" s="71">
        <f>J87/References!$G$52</f>
        <v>48.64540746766427</v>
      </c>
      <c r="L87" s="71">
        <f t="shared" si="84"/>
        <v>4.0537839556386892</v>
      </c>
      <c r="M87" s="141">
        <f>'Tariff Changes'!C109</f>
        <v>232.16</v>
      </c>
      <c r="N87" s="71">
        <f t="shared" si="85"/>
        <v>236.21378395563869</v>
      </c>
      <c r="O87" s="141">
        <f>'Tariff Changes'!E109</f>
        <v>238.35008720102473</v>
      </c>
      <c r="P87" s="71"/>
      <c r="Q87" s="71"/>
      <c r="R87" s="71"/>
      <c r="S87" s="71"/>
      <c r="T87" s="71"/>
      <c r="U87" s="71"/>
      <c r="V87" s="71"/>
      <c r="W87" s="71"/>
      <c r="X87" s="63"/>
      <c r="Y87" s="63"/>
    </row>
    <row r="88" spans="1:25">
      <c r="A88" s="271"/>
      <c r="B88" s="46" t="str">
        <f>'Tariff Changes'!$A$105</f>
        <v>Item 255, pg 41 Compacted</v>
      </c>
      <c r="C88" s="61" t="str">
        <f>'Tariff Changes'!A110</f>
        <v>5 Yard</v>
      </c>
      <c r="D88" s="138">
        <v>1</v>
      </c>
      <c r="E88" s="73">
        <v>1</v>
      </c>
      <c r="F88" s="139">
        <f t="shared" si="86"/>
        <v>12</v>
      </c>
      <c r="G88" s="140">
        <f>References!B39</f>
        <v>2046</v>
      </c>
      <c r="H88" s="72">
        <f t="shared" si="83"/>
        <v>24552</v>
      </c>
      <c r="I88" s="50">
        <f t="shared" si="87"/>
        <v>18456.367085529891</v>
      </c>
      <c r="J88" s="71">
        <f>(References!$C$49*I88)</f>
        <v>57.491583471425479</v>
      </c>
      <c r="K88" s="71">
        <f>J88/References!$G$52</f>
        <v>59.03232721164953</v>
      </c>
      <c r="L88" s="71">
        <f t="shared" si="84"/>
        <v>4.9193606009707942</v>
      </c>
      <c r="M88" s="141">
        <f>'Tariff Changes'!C110</f>
        <v>266.70999999999998</v>
      </c>
      <c r="N88" s="71">
        <f t="shared" si="85"/>
        <v>271.62936060097076</v>
      </c>
      <c r="O88" s="141">
        <f>'Tariff Changes'!E110</f>
        <v>274.44760900128091</v>
      </c>
      <c r="P88" s="71"/>
      <c r="Q88" s="71"/>
      <c r="R88" s="71"/>
      <c r="S88" s="71"/>
      <c r="T88" s="71"/>
      <c r="U88" s="71"/>
      <c r="V88" s="71"/>
      <c r="W88" s="71"/>
      <c r="X88" s="63"/>
      <c r="Y88" s="63"/>
    </row>
    <row r="89" spans="1:25">
      <c r="A89" s="271"/>
      <c r="B89" s="46" t="str">
        <f>'Tariff Changes'!$A$105</f>
        <v>Item 255, pg 41 Compacted</v>
      </c>
      <c r="C89" s="61" t="str">
        <f>'Tariff Changes'!A111</f>
        <v>6 Yard</v>
      </c>
      <c r="D89" s="138">
        <v>1</v>
      </c>
      <c r="E89" s="73">
        <v>1</v>
      </c>
      <c r="F89" s="139">
        <f t="shared" si="86"/>
        <v>12</v>
      </c>
      <c r="G89" s="140">
        <f>References!B40</f>
        <v>2310</v>
      </c>
      <c r="H89" s="72">
        <f t="shared" si="83"/>
        <v>27720</v>
      </c>
      <c r="I89" s="50">
        <f t="shared" si="87"/>
        <v>20837.833806243427</v>
      </c>
      <c r="J89" s="71">
        <f>(References!$C$49*I89)</f>
        <v>64.90985230644813</v>
      </c>
      <c r="K89" s="71">
        <f>J89/References!$G$52</f>
        <v>66.649401690572063</v>
      </c>
      <c r="L89" s="71">
        <f t="shared" si="84"/>
        <v>5.5541168075476719</v>
      </c>
      <c r="M89" s="141">
        <f>'Tariff Changes'!C111</f>
        <v>337.97</v>
      </c>
      <c r="N89" s="71">
        <f t="shared" si="85"/>
        <v>343.52411680754767</v>
      </c>
      <c r="O89" s="141">
        <f>'Tariff Changes'!E111</f>
        <v>347.25513080153712</v>
      </c>
      <c r="P89" s="71"/>
      <c r="Q89" s="71"/>
      <c r="R89" s="71"/>
      <c r="S89" s="71"/>
      <c r="T89" s="71"/>
      <c r="U89" s="71"/>
      <c r="V89" s="71"/>
      <c r="W89" s="71"/>
      <c r="X89" s="63"/>
      <c r="Y89" s="63"/>
    </row>
    <row r="90" spans="1:25" s="63" customFormat="1">
      <c r="A90" s="268"/>
      <c r="B90" s="46" t="str">
        <f>'Tariff Changes'!$A$120</f>
        <v>Item 255, pg 42 Compacted</v>
      </c>
      <c r="C90" s="61" t="str">
        <f>'Tariff Changes'!A121</f>
        <v>1 Yard</v>
      </c>
      <c r="D90" s="138">
        <v>1</v>
      </c>
      <c r="E90" s="73">
        <v>1</v>
      </c>
      <c r="F90" s="139">
        <f t="shared" si="86"/>
        <v>12</v>
      </c>
      <c r="G90" s="140">
        <f>References!B34</f>
        <v>482</v>
      </c>
      <c r="H90" s="72">
        <f t="shared" si="83"/>
        <v>5784</v>
      </c>
      <c r="I90" s="50">
        <f t="shared" si="87"/>
        <v>4347.980906757286</v>
      </c>
      <c r="J90" s="71">
        <f>(References!$C$49*I90)</f>
        <v>13.543960524548915</v>
      </c>
      <c r="K90" s="71">
        <f>J90/References!$G$52</f>
        <v>13.90693143500248</v>
      </c>
      <c r="L90" s="71">
        <f t="shared" si="84"/>
        <v>1.1589109529168733</v>
      </c>
      <c r="M90" s="141">
        <f>'Tariff Changes'!C121</f>
        <v>127.32</v>
      </c>
      <c r="N90" s="71">
        <f t="shared" si="85"/>
        <v>128.47891095291686</v>
      </c>
      <c r="O90" s="141">
        <f>'Tariff Changes'!E121</f>
        <v>128.86752180025618</v>
      </c>
      <c r="P90" s="71"/>
      <c r="Q90" s="71"/>
      <c r="R90" s="71"/>
      <c r="S90" s="71"/>
      <c r="T90" s="71"/>
      <c r="U90" s="71"/>
      <c r="V90" s="71"/>
      <c r="W90" s="71"/>
    </row>
    <row r="91" spans="1:25">
      <c r="A91" s="268"/>
      <c r="B91" s="46" t="str">
        <f>'Tariff Changes'!$A$120</f>
        <v>Item 255, pg 42 Compacted</v>
      </c>
      <c r="C91" s="61" t="str">
        <f>'Tariff Changes'!A122</f>
        <v>2 Yard</v>
      </c>
      <c r="D91" s="138">
        <v>1</v>
      </c>
      <c r="E91" s="73">
        <v>1</v>
      </c>
      <c r="F91" s="139">
        <f t="shared" si="86"/>
        <v>12</v>
      </c>
      <c r="G91" s="140">
        <f>References!B36</f>
        <v>892</v>
      </c>
      <c r="H91" s="72">
        <f t="shared" si="83"/>
        <v>10704</v>
      </c>
      <c r="I91" s="50">
        <f t="shared" si="87"/>
        <v>8046.4708896836082</v>
      </c>
      <c r="J91" s="71">
        <f>(References!$C$49*I91)</f>
        <v>25.06475682136438</v>
      </c>
      <c r="K91" s="71">
        <f>J91/References!$G$52</f>
        <v>25.736478921207908</v>
      </c>
      <c r="L91" s="71">
        <f t="shared" si="84"/>
        <v>2.1447065767673257</v>
      </c>
      <c r="M91" s="141">
        <f>'Tariff Changes'!C122</f>
        <v>191.25</v>
      </c>
      <c r="N91" s="71">
        <f t="shared" si="85"/>
        <v>193.39470657676733</v>
      </c>
      <c r="O91" s="141">
        <f>'Tariff Changes'!E122</f>
        <v>194.34504360051235</v>
      </c>
      <c r="P91" s="71"/>
      <c r="Q91" s="71"/>
      <c r="R91" s="71"/>
      <c r="S91" s="71"/>
      <c r="T91" s="71"/>
      <c r="U91" s="71"/>
      <c r="V91" s="71"/>
      <c r="W91" s="71"/>
      <c r="X91" s="63"/>
      <c r="Y91" s="63"/>
    </row>
    <row r="92" spans="1:25">
      <c r="A92" s="268"/>
      <c r="B92" s="46" t="str">
        <f>'Tariff Changes'!$A$120</f>
        <v>Item 255, pg 42 Compacted</v>
      </c>
      <c r="C92" s="61" t="str">
        <f>'Tariff Changes'!A123</f>
        <v>3 Yard</v>
      </c>
      <c r="D92" s="138">
        <v>1</v>
      </c>
      <c r="E92" s="73">
        <v>1</v>
      </c>
      <c r="F92" s="139">
        <f t="shared" si="86"/>
        <v>12</v>
      </c>
      <c r="G92" s="140">
        <f>References!B37</f>
        <v>1301</v>
      </c>
      <c r="H92" s="72">
        <f t="shared" si="83"/>
        <v>15612</v>
      </c>
      <c r="I92" s="50">
        <f t="shared" si="87"/>
        <v>11735.940165334501</v>
      </c>
      <c r="J92" s="71">
        <f>(References!$C$49*I92)</f>
        <v>36.55745361501689</v>
      </c>
      <c r="K92" s="71">
        <f>J92/References!$G$52</f>
        <v>37.537173852568941</v>
      </c>
      <c r="L92" s="71">
        <f t="shared" si="84"/>
        <v>3.1280978210474117</v>
      </c>
      <c r="M92" s="141">
        <f>'Tariff Changes'!C123</f>
        <v>239.76</v>
      </c>
      <c r="N92" s="71">
        <f t="shared" si="85"/>
        <v>242.88809782104741</v>
      </c>
      <c r="O92" s="141">
        <f>'Tariff Changes'!E123</f>
        <v>244.40256540076854</v>
      </c>
      <c r="P92" s="71"/>
      <c r="Q92" s="71"/>
      <c r="R92" s="71"/>
      <c r="S92" s="71"/>
      <c r="T92" s="71"/>
      <c r="U92" s="71"/>
      <c r="V92" s="71"/>
      <c r="W92" s="71"/>
      <c r="X92" s="63"/>
      <c r="Y92" s="63"/>
    </row>
    <row r="93" spans="1:25">
      <c r="A93" s="268"/>
      <c r="B93" s="46" t="str">
        <f>'Tariff Changes'!$A$120</f>
        <v>Item 255, pg 42 Compacted</v>
      </c>
      <c r="C93" s="61" t="str">
        <f>'Tariff Changes'!A124</f>
        <v>4 Yard</v>
      </c>
      <c r="D93" s="138">
        <v>1</v>
      </c>
      <c r="E93" s="73">
        <v>1</v>
      </c>
      <c r="F93" s="139">
        <f t="shared" si="86"/>
        <v>12</v>
      </c>
      <c r="G93" s="140">
        <f>References!B38</f>
        <v>1686</v>
      </c>
      <c r="H93" s="72">
        <f t="shared" si="83"/>
        <v>20232</v>
      </c>
      <c r="I93" s="50">
        <f t="shared" si="87"/>
        <v>15208.912466375072</v>
      </c>
      <c r="J93" s="71">
        <f>(References!$C$49*I93)</f>
        <v>47.375762332758235</v>
      </c>
      <c r="K93" s="71">
        <f>J93/References!$G$52</f>
        <v>48.64540746766427</v>
      </c>
      <c r="L93" s="71">
        <f t="shared" si="84"/>
        <v>4.0537839556386892</v>
      </c>
      <c r="M93" s="141">
        <f>'Tariff Changes'!C124</f>
        <v>288.16000000000003</v>
      </c>
      <c r="N93" s="71">
        <f t="shared" si="85"/>
        <v>292.21378395563869</v>
      </c>
      <c r="O93" s="141">
        <f>'Tariff Changes'!E124</f>
        <v>294.35008720102473</v>
      </c>
      <c r="P93" s="71"/>
      <c r="Q93" s="71"/>
      <c r="R93" s="71"/>
      <c r="S93" s="71"/>
      <c r="T93" s="71"/>
      <c r="U93" s="71"/>
      <c r="V93" s="71"/>
      <c r="W93" s="71"/>
      <c r="X93" s="63"/>
      <c r="Y93" s="63"/>
    </row>
    <row r="94" spans="1:25">
      <c r="A94" s="268"/>
      <c r="B94" s="46" t="str">
        <f>'Tariff Changes'!$A$120</f>
        <v>Item 255, pg 42 Compacted</v>
      </c>
      <c r="C94" s="61" t="str">
        <f>'Tariff Changes'!A125</f>
        <v>5 Yard</v>
      </c>
      <c r="D94" s="138">
        <v>1</v>
      </c>
      <c r="E94" s="73">
        <v>1</v>
      </c>
      <c r="F94" s="139">
        <f t="shared" si="86"/>
        <v>12</v>
      </c>
      <c r="G94" s="140">
        <f>References!B39</f>
        <v>2046</v>
      </c>
      <c r="H94" s="72">
        <f t="shared" si="83"/>
        <v>24552</v>
      </c>
      <c r="I94" s="50">
        <f t="shared" si="87"/>
        <v>18456.367085529891</v>
      </c>
      <c r="J94" s="71">
        <f>(References!$C$49*I94)</f>
        <v>57.491583471425479</v>
      </c>
      <c r="K94" s="71">
        <f>J94/References!$G$52</f>
        <v>59.03232721164953</v>
      </c>
      <c r="L94" s="71">
        <f t="shared" si="84"/>
        <v>4.9193606009707942</v>
      </c>
      <c r="M94" s="141">
        <f>'Tariff Changes'!C125</f>
        <v>336.4</v>
      </c>
      <c r="N94" s="71">
        <f t="shared" si="85"/>
        <v>341.31936060097075</v>
      </c>
      <c r="O94" s="141">
        <f>'Tariff Changes'!E125</f>
        <v>344.13760900128091</v>
      </c>
      <c r="P94" s="71"/>
      <c r="Q94" s="71"/>
      <c r="R94" s="71"/>
      <c r="S94" s="71"/>
      <c r="T94" s="71"/>
      <c r="U94" s="71"/>
      <c r="V94" s="71"/>
      <c r="W94" s="71"/>
      <c r="X94" s="63"/>
      <c r="Y94" s="63"/>
    </row>
    <row r="95" spans="1:25">
      <c r="A95" s="268"/>
      <c r="B95" s="46" t="str">
        <f>'Tariff Changes'!$A$120</f>
        <v>Item 255, pg 42 Compacted</v>
      </c>
      <c r="C95" s="61" t="str">
        <f>'Tariff Changes'!A126</f>
        <v>6 Yard</v>
      </c>
      <c r="D95" s="138">
        <v>1</v>
      </c>
      <c r="E95" s="73">
        <v>1</v>
      </c>
      <c r="F95" s="139">
        <f t="shared" si="86"/>
        <v>12</v>
      </c>
      <c r="G95" s="140">
        <f>References!B40</f>
        <v>2310</v>
      </c>
      <c r="H95" s="72">
        <f t="shared" si="83"/>
        <v>27720</v>
      </c>
      <c r="I95" s="50">
        <f t="shared" si="87"/>
        <v>20837.833806243427</v>
      </c>
      <c r="J95" s="71">
        <f>(References!$C$49*I95)</f>
        <v>64.90985230644813</v>
      </c>
      <c r="K95" s="71">
        <f>J95/References!$G$52</f>
        <v>66.649401690572063</v>
      </c>
      <c r="L95" s="71">
        <f t="shared" si="84"/>
        <v>5.5541168075476719</v>
      </c>
      <c r="M95" s="141">
        <f>'Tariff Changes'!C126</f>
        <v>384.11</v>
      </c>
      <c r="N95" s="71">
        <f t="shared" si="85"/>
        <v>389.66411680754766</v>
      </c>
      <c r="O95" s="141">
        <f>'Tariff Changes'!E126</f>
        <v>393.39513080153711</v>
      </c>
      <c r="P95" s="71"/>
      <c r="Q95" s="71"/>
      <c r="R95" s="71"/>
      <c r="S95" s="71"/>
      <c r="T95" s="71"/>
      <c r="U95" s="71"/>
      <c r="V95" s="71"/>
      <c r="W95" s="71"/>
      <c r="X95" s="63"/>
      <c r="Y95" s="63"/>
    </row>
    <row r="96" spans="1:25">
      <c r="A96" s="272"/>
      <c r="B96" s="273"/>
      <c r="C96" s="274"/>
      <c r="D96" s="275"/>
      <c r="E96" s="276"/>
      <c r="F96" s="277"/>
      <c r="G96" s="278"/>
      <c r="H96" s="279"/>
      <c r="I96" s="280"/>
      <c r="J96" s="281"/>
      <c r="K96" s="281"/>
      <c r="L96" s="281"/>
      <c r="M96" s="282"/>
      <c r="N96" s="281"/>
      <c r="O96" s="283"/>
      <c r="P96" s="71"/>
      <c r="Q96" s="71"/>
      <c r="R96" s="71"/>
      <c r="S96" s="71"/>
      <c r="T96" s="71"/>
      <c r="U96" s="71"/>
      <c r="V96" s="71"/>
      <c r="W96" s="71"/>
      <c r="X96" s="63"/>
      <c r="Y96" s="63"/>
    </row>
    <row r="97" spans="1:23">
      <c r="A97" s="66"/>
      <c r="C97" s="82"/>
      <c r="D97" s="42"/>
      <c r="E97" s="34"/>
      <c r="F97" s="60"/>
      <c r="G97" s="123"/>
      <c r="H97" s="60"/>
      <c r="J97" s="71"/>
      <c r="K97" s="84"/>
      <c r="L97" s="84"/>
      <c r="M97" s="84"/>
      <c r="N97" s="84"/>
      <c r="O97" s="71"/>
      <c r="P97" s="63"/>
      <c r="Q97" s="63"/>
      <c r="R97" s="63"/>
      <c r="S97" s="95"/>
      <c r="T97" s="63"/>
      <c r="U97" s="63"/>
      <c r="V97" s="63"/>
      <c r="W97" s="135">
        <f>References!B55</f>
        <v>132257.16192627558</v>
      </c>
    </row>
    <row r="98" spans="1:23">
      <c r="A98" s="66"/>
      <c r="C98" s="69"/>
      <c r="S98" s="64"/>
      <c r="W98" s="47">
        <f>W97-W43</f>
        <v>0</v>
      </c>
    </row>
    <row r="99" spans="1:23">
      <c r="A99" s="66"/>
      <c r="C99" s="69"/>
      <c r="S99" s="64"/>
    </row>
    <row r="100" spans="1:23">
      <c r="A100" s="66"/>
      <c r="C100" s="306" t="s">
        <v>96</v>
      </c>
      <c r="D100" s="306"/>
      <c r="E100" s="81"/>
      <c r="F100" s="81"/>
      <c r="H100" s="284"/>
    </row>
    <row r="101" spans="1:23">
      <c r="A101" s="66"/>
      <c r="D101" s="58" t="s">
        <v>17</v>
      </c>
      <c r="E101" s="41"/>
      <c r="F101" s="41"/>
      <c r="H101" s="284"/>
      <c r="J101" s="45"/>
      <c r="P101" s="62"/>
      <c r="Q101" s="45"/>
    </row>
    <row r="102" spans="1:23">
      <c r="A102" s="66"/>
      <c r="C102" s="61" t="s">
        <v>33</v>
      </c>
      <c r="D102" s="70">
        <v>20675</v>
      </c>
      <c r="E102" s="60"/>
      <c r="F102" s="60"/>
      <c r="G102" s="124"/>
      <c r="H102" s="83"/>
      <c r="J102" s="45"/>
      <c r="P102" s="62"/>
      <c r="Q102" s="84"/>
    </row>
    <row r="103" spans="1:23">
      <c r="A103" s="66"/>
      <c r="C103" s="61" t="s">
        <v>34</v>
      </c>
      <c r="D103" s="39">
        <f>D102*2000</f>
        <v>41350000</v>
      </c>
      <c r="E103" s="39"/>
      <c r="F103" s="39"/>
      <c r="H103" s="97"/>
      <c r="J103" s="45"/>
      <c r="Q103" s="84"/>
    </row>
    <row r="104" spans="1:23">
      <c r="A104" s="66"/>
      <c r="C104" s="61" t="s">
        <v>5</v>
      </c>
      <c r="D104" s="39">
        <f>F43</f>
        <v>1205875.5096666666</v>
      </c>
      <c r="E104" s="60"/>
      <c r="F104" s="60"/>
      <c r="H104" s="98"/>
      <c r="J104" s="45"/>
      <c r="P104" s="62"/>
      <c r="Q104" s="84"/>
    </row>
    <row r="105" spans="1:23">
      <c r="C105" s="46" t="s">
        <v>12</v>
      </c>
      <c r="D105" s="38">
        <f>D103/$H$43</f>
        <v>0.75172560628583784</v>
      </c>
      <c r="E105" s="38"/>
      <c r="F105" s="38"/>
      <c r="H105" s="33"/>
      <c r="J105" s="45"/>
      <c r="M105" s="44"/>
      <c r="N105" s="44"/>
      <c r="O105" s="44"/>
      <c r="P105" s="43"/>
      <c r="Q105" s="43"/>
    </row>
    <row r="106" spans="1:23">
      <c r="G106" s="124"/>
      <c r="H106" s="35"/>
      <c r="J106" s="45"/>
      <c r="M106" s="47"/>
      <c r="N106" s="32"/>
      <c r="O106" s="32"/>
      <c r="P106" s="64"/>
      <c r="Q106" s="33"/>
    </row>
    <row r="107" spans="1:23">
      <c r="D107" s="37"/>
      <c r="E107" s="36"/>
      <c r="G107" s="124"/>
      <c r="H107" s="35"/>
      <c r="J107" s="45"/>
      <c r="M107" s="47"/>
      <c r="N107" s="32"/>
      <c r="O107" s="32"/>
      <c r="P107" s="64"/>
      <c r="Q107" s="33"/>
    </row>
    <row r="108" spans="1:23">
      <c r="D108" s="37"/>
      <c r="E108" s="36"/>
      <c r="G108" s="124"/>
      <c r="H108" s="35"/>
      <c r="J108" s="45"/>
      <c r="M108" s="47"/>
      <c r="N108" s="32"/>
      <c r="O108" s="32"/>
      <c r="P108" s="64"/>
      <c r="Q108" s="33"/>
    </row>
    <row r="109" spans="1:23">
      <c r="D109" s="61"/>
      <c r="I109" s="61"/>
    </row>
    <row r="110" spans="1:23">
      <c r="D110" s="61"/>
      <c r="E110" s="45"/>
      <c r="I110" s="61"/>
    </row>
    <row r="111" spans="1:23">
      <c r="D111" s="61"/>
      <c r="I111" s="61"/>
    </row>
    <row r="112" spans="1:23">
      <c r="D112" s="61"/>
      <c r="I112" s="61"/>
    </row>
    <row r="113" spans="4:4">
      <c r="D113" s="61"/>
    </row>
  </sheetData>
  <mergeCells count="4">
    <mergeCell ref="C100:D100"/>
    <mergeCell ref="A31:A37"/>
    <mergeCell ref="A13:A24"/>
    <mergeCell ref="A2:A9"/>
  </mergeCells>
  <pageMargins left="0.2" right="0.22" top="0.63" bottom="0.34" header="0.19" footer="0.17"/>
  <pageSetup paperSize="5" scale="34" fitToHeight="0" orientation="landscape" r:id="rId1"/>
  <headerFooter>
    <oddHeader>&amp;C&amp;12
Disposal Fee Staff Calculations</oddHeader>
    <oddFooter>&amp;L&amp;F - &amp;A&amp;C&amp;D&amp;R&amp;P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3"/>
  <sheetViews>
    <sheetView topLeftCell="A97" zoomScaleNormal="100" workbookViewId="0">
      <selection activeCell="A106" sqref="A106"/>
    </sheetView>
  </sheetViews>
  <sheetFormatPr defaultRowHeight="15"/>
  <cols>
    <col min="1" max="1" width="68.5703125" bestFit="1" customWidth="1"/>
    <col min="2" max="2" width="16.28515625" bestFit="1" customWidth="1"/>
    <col min="3" max="3" width="8.85546875" style="285" bestFit="1" customWidth="1"/>
    <col min="4" max="4" width="19.28515625" style="103" bestFit="1" customWidth="1"/>
    <col min="5" max="5" width="10.7109375" style="103" bestFit="1" customWidth="1"/>
    <col min="6" max="6" width="18.85546875" style="103" customWidth="1"/>
    <col min="7" max="7" width="11.140625" bestFit="1" customWidth="1"/>
    <col min="8" max="8" width="26.85546875" customWidth="1"/>
    <col min="257" max="257" width="68.5703125" bestFit="1" customWidth="1"/>
    <col min="258" max="258" width="12.5703125" bestFit="1" customWidth="1"/>
    <col min="259" max="259" width="8.85546875" bestFit="1" customWidth="1"/>
    <col min="260" max="260" width="19.28515625" bestFit="1" customWidth="1"/>
    <col min="261" max="261" width="10.7109375" bestFit="1" customWidth="1"/>
    <col min="262" max="262" width="18.85546875" customWidth="1"/>
    <col min="263" max="263" width="11.140625" bestFit="1" customWidth="1"/>
    <col min="264" max="264" width="26.85546875" customWidth="1"/>
    <col min="513" max="513" width="68.5703125" bestFit="1" customWidth="1"/>
    <col min="514" max="514" width="12.5703125" bestFit="1" customWidth="1"/>
    <col min="515" max="515" width="8.85546875" bestFit="1" customWidth="1"/>
    <col min="516" max="516" width="19.28515625" bestFit="1" customWidth="1"/>
    <col min="517" max="517" width="10.7109375" bestFit="1" customWidth="1"/>
    <col min="518" max="518" width="18.85546875" customWidth="1"/>
    <col min="519" max="519" width="11.140625" bestFit="1" customWidth="1"/>
    <col min="520" max="520" width="26.85546875" customWidth="1"/>
    <col min="769" max="769" width="68.5703125" bestFit="1" customWidth="1"/>
    <col min="770" max="770" width="12.5703125" bestFit="1" customWidth="1"/>
    <col min="771" max="771" width="8.85546875" bestFit="1" customWidth="1"/>
    <col min="772" max="772" width="19.28515625" bestFit="1" customWidth="1"/>
    <col min="773" max="773" width="10.7109375" bestFit="1" customWidth="1"/>
    <col min="774" max="774" width="18.85546875" customWidth="1"/>
    <col min="775" max="775" width="11.140625" bestFit="1" customWidth="1"/>
    <col min="776" max="776" width="26.85546875" customWidth="1"/>
    <col min="1025" max="1025" width="68.5703125" bestFit="1" customWidth="1"/>
    <col min="1026" max="1026" width="12.5703125" bestFit="1" customWidth="1"/>
    <col min="1027" max="1027" width="8.85546875" bestFit="1" customWidth="1"/>
    <col min="1028" max="1028" width="19.28515625" bestFit="1" customWidth="1"/>
    <col min="1029" max="1029" width="10.7109375" bestFit="1" customWidth="1"/>
    <col min="1030" max="1030" width="18.85546875" customWidth="1"/>
    <col min="1031" max="1031" width="11.140625" bestFit="1" customWidth="1"/>
    <col min="1032" max="1032" width="26.85546875" customWidth="1"/>
    <col min="1281" max="1281" width="68.5703125" bestFit="1" customWidth="1"/>
    <col min="1282" max="1282" width="12.5703125" bestFit="1" customWidth="1"/>
    <col min="1283" max="1283" width="8.85546875" bestFit="1" customWidth="1"/>
    <col min="1284" max="1284" width="19.28515625" bestFit="1" customWidth="1"/>
    <col min="1285" max="1285" width="10.7109375" bestFit="1" customWidth="1"/>
    <col min="1286" max="1286" width="18.85546875" customWidth="1"/>
    <col min="1287" max="1287" width="11.140625" bestFit="1" customWidth="1"/>
    <col min="1288" max="1288" width="26.85546875" customWidth="1"/>
    <col min="1537" max="1537" width="68.5703125" bestFit="1" customWidth="1"/>
    <col min="1538" max="1538" width="12.5703125" bestFit="1" customWidth="1"/>
    <col min="1539" max="1539" width="8.85546875" bestFit="1" customWidth="1"/>
    <col min="1540" max="1540" width="19.28515625" bestFit="1" customWidth="1"/>
    <col min="1541" max="1541" width="10.7109375" bestFit="1" customWidth="1"/>
    <col min="1542" max="1542" width="18.85546875" customWidth="1"/>
    <col min="1543" max="1543" width="11.140625" bestFit="1" customWidth="1"/>
    <col min="1544" max="1544" width="26.85546875" customWidth="1"/>
    <col min="1793" max="1793" width="68.5703125" bestFit="1" customWidth="1"/>
    <col min="1794" max="1794" width="12.5703125" bestFit="1" customWidth="1"/>
    <col min="1795" max="1795" width="8.85546875" bestFit="1" customWidth="1"/>
    <col min="1796" max="1796" width="19.28515625" bestFit="1" customWidth="1"/>
    <col min="1797" max="1797" width="10.7109375" bestFit="1" customWidth="1"/>
    <col min="1798" max="1798" width="18.85546875" customWidth="1"/>
    <col min="1799" max="1799" width="11.140625" bestFit="1" customWidth="1"/>
    <col min="1800" max="1800" width="26.85546875" customWidth="1"/>
    <col min="2049" max="2049" width="68.5703125" bestFit="1" customWidth="1"/>
    <col min="2050" max="2050" width="12.5703125" bestFit="1" customWidth="1"/>
    <col min="2051" max="2051" width="8.85546875" bestFit="1" customWidth="1"/>
    <col min="2052" max="2052" width="19.28515625" bestFit="1" customWidth="1"/>
    <col min="2053" max="2053" width="10.7109375" bestFit="1" customWidth="1"/>
    <col min="2054" max="2054" width="18.85546875" customWidth="1"/>
    <col min="2055" max="2055" width="11.140625" bestFit="1" customWidth="1"/>
    <col min="2056" max="2056" width="26.85546875" customWidth="1"/>
    <col min="2305" max="2305" width="68.5703125" bestFit="1" customWidth="1"/>
    <col min="2306" max="2306" width="12.5703125" bestFit="1" customWidth="1"/>
    <col min="2307" max="2307" width="8.85546875" bestFit="1" customWidth="1"/>
    <col min="2308" max="2308" width="19.28515625" bestFit="1" customWidth="1"/>
    <col min="2309" max="2309" width="10.7109375" bestFit="1" customWidth="1"/>
    <col min="2310" max="2310" width="18.85546875" customWidth="1"/>
    <col min="2311" max="2311" width="11.140625" bestFit="1" customWidth="1"/>
    <col min="2312" max="2312" width="26.85546875" customWidth="1"/>
    <col min="2561" max="2561" width="68.5703125" bestFit="1" customWidth="1"/>
    <col min="2562" max="2562" width="12.5703125" bestFit="1" customWidth="1"/>
    <col min="2563" max="2563" width="8.85546875" bestFit="1" customWidth="1"/>
    <col min="2564" max="2564" width="19.28515625" bestFit="1" customWidth="1"/>
    <col min="2565" max="2565" width="10.7109375" bestFit="1" customWidth="1"/>
    <col min="2566" max="2566" width="18.85546875" customWidth="1"/>
    <col min="2567" max="2567" width="11.140625" bestFit="1" customWidth="1"/>
    <col min="2568" max="2568" width="26.85546875" customWidth="1"/>
    <col min="2817" max="2817" width="68.5703125" bestFit="1" customWidth="1"/>
    <col min="2818" max="2818" width="12.5703125" bestFit="1" customWidth="1"/>
    <col min="2819" max="2819" width="8.85546875" bestFit="1" customWidth="1"/>
    <col min="2820" max="2820" width="19.28515625" bestFit="1" customWidth="1"/>
    <col min="2821" max="2821" width="10.7109375" bestFit="1" customWidth="1"/>
    <col min="2822" max="2822" width="18.85546875" customWidth="1"/>
    <col min="2823" max="2823" width="11.140625" bestFit="1" customWidth="1"/>
    <col min="2824" max="2824" width="26.85546875" customWidth="1"/>
    <col min="3073" max="3073" width="68.5703125" bestFit="1" customWidth="1"/>
    <col min="3074" max="3074" width="12.5703125" bestFit="1" customWidth="1"/>
    <col min="3075" max="3075" width="8.85546875" bestFit="1" customWidth="1"/>
    <col min="3076" max="3076" width="19.28515625" bestFit="1" customWidth="1"/>
    <col min="3077" max="3077" width="10.7109375" bestFit="1" customWidth="1"/>
    <col min="3078" max="3078" width="18.85546875" customWidth="1"/>
    <col min="3079" max="3079" width="11.140625" bestFit="1" customWidth="1"/>
    <col min="3080" max="3080" width="26.85546875" customWidth="1"/>
    <col min="3329" max="3329" width="68.5703125" bestFit="1" customWidth="1"/>
    <col min="3330" max="3330" width="12.5703125" bestFit="1" customWidth="1"/>
    <col min="3331" max="3331" width="8.85546875" bestFit="1" customWidth="1"/>
    <col min="3332" max="3332" width="19.28515625" bestFit="1" customWidth="1"/>
    <col min="3333" max="3333" width="10.7109375" bestFit="1" customWidth="1"/>
    <col min="3334" max="3334" width="18.85546875" customWidth="1"/>
    <col min="3335" max="3335" width="11.140625" bestFit="1" customWidth="1"/>
    <col min="3336" max="3336" width="26.85546875" customWidth="1"/>
    <col min="3585" max="3585" width="68.5703125" bestFit="1" customWidth="1"/>
    <col min="3586" max="3586" width="12.5703125" bestFit="1" customWidth="1"/>
    <col min="3587" max="3587" width="8.85546875" bestFit="1" customWidth="1"/>
    <col min="3588" max="3588" width="19.28515625" bestFit="1" customWidth="1"/>
    <col min="3589" max="3589" width="10.7109375" bestFit="1" customWidth="1"/>
    <col min="3590" max="3590" width="18.85546875" customWidth="1"/>
    <col min="3591" max="3591" width="11.140625" bestFit="1" customWidth="1"/>
    <col min="3592" max="3592" width="26.85546875" customWidth="1"/>
    <col min="3841" max="3841" width="68.5703125" bestFit="1" customWidth="1"/>
    <col min="3842" max="3842" width="12.5703125" bestFit="1" customWidth="1"/>
    <col min="3843" max="3843" width="8.85546875" bestFit="1" customWidth="1"/>
    <col min="3844" max="3844" width="19.28515625" bestFit="1" customWidth="1"/>
    <col min="3845" max="3845" width="10.7109375" bestFit="1" customWidth="1"/>
    <col min="3846" max="3846" width="18.85546875" customWidth="1"/>
    <col min="3847" max="3847" width="11.140625" bestFit="1" customWidth="1"/>
    <col min="3848" max="3848" width="26.85546875" customWidth="1"/>
    <col min="4097" max="4097" width="68.5703125" bestFit="1" customWidth="1"/>
    <col min="4098" max="4098" width="12.5703125" bestFit="1" customWidth="1"/>
    <col min="4099" max="4099" width="8.85546875" bestFit="1" customWidth="1"/>
    <col min="4100" max="4100" width="19.28515625" bestFit="1" customWidth="1"/>
    <col min="4101" max="4101" width="10.7109375" bestFit="1" customWidth="1"/>
    <col min="4102" max="4102" width="18.85546875" customWidth="1"/>
    <col min="4103" max="4103" width="11.140625" bestFit="1" customWidth="1"/>
    <col min="4104" max="4104" width="26.85546875" customWidth="1"/>
    <col min="4353" max="4353" width="68.5703125" bestFit="1" customWidth="1"/>
    <col min="4354" max="4354" width="12.5703125" bestFit="1" customWidth="1"/>
    <col min="4355" max="4355" width="8.85546875" bestFit="1" customWidth="1"/>
    <col min="4356" max="4356" width="19.28515625" bestFit="1" customWidth="1"/>
    <col min="4357" max="4357" width="10.7109375" bestFit="1" customWidth="1"/>
    <col min="4358" max="4358" width="18.85546875" customWidth="1"/>
    <col min="4359" max="4359" width="11.140625" bestFit="1" customWidth="1"/>
    <col min="4360" max="4360" width="26.85546875" customWidth="1"/>
    <col min="4609" max="4609" width="68.5703125" bestFit="1" customWidth="1"/>
    <col min="4610" max="4610" width="12.5703125" bestFit="1" customWidth="1"/>
    <col min="4611" max="4611" width="8.85546875" bestFit="1" customWidth="1"/>
    <col min="4612" max="4612" width="19.28515625" bestFit="1" customWidth="1"/>
    <col min="4613" max="4613" width="10.7109375" bestFit="1" customWidth="1"/>
    <col min="4614" max="4614" width="18.85546875" customWidth="1"/>
    <col min="4615" max="4615" width="11.140625" bestFit="1" customWidth="1"/>
    <col min="4616" max="4616" width="26.85546875" customWidth="1"/>
    <col min="4865" max="4865" width="68.5703125" bestFit="1" customWidth="1"/>
    <col min="4866" max="4866" width="12.5703125" bestFit="1" customWidth="1"/>
    <col min="4867" max="4867" width="8.85546875" bestFit="1" customWidth="1"/>
    <col min="4868" max="4868" width="19.28515625" bestFit="1" customWidth="1"/>
    <col min="4869" max="4869" width="10.7109375" bestFit="1" customWidth="1"/>
    <col min="4870" max="4870" width="18.85546875" customWidth="1"/>
    <col min="4871" max="4871" width="11.140625" bestFit="1" customWidth="1"/>
    <col min="4872" max="4872" width="26.85546875" customWidth="1"/>
    <col min="5121" max="5121" width="68.5703125" bestFit="1" customWidth="1"/>
    <col min="5122" max="5122" width="12.5703125" bestFit="1" customWidth="1"/>
    <col min="5123" max="5123" width="8.85546875" bestFit="1" customWidth="1"/>
    <col min="5124" max="5124" width="19.28515625" bestFit="1" customWidth="1"/>
    <col min="5125" max="5125" width="10.7109375" bestFit="1" customWidth="1"/>
    <col min="5126" max="5126" width="18.85546875" customWidth="1"/>
    <col min="5127" max="5127" width="11.140625" bestFit="1" customWidth="1"/>
    <col min="5128" max="5128" width="26.85546875" customWidth="1"/>
    <col min="5377" max="5377" width="68.5703125" bestFit="1" customWidth="1"/>
    <col min="5378" max="5378" width="12.5703125" bestFit="1" customWidth="1"/>
    <col min="5379" max="5379" width="8.85546875" bestFit="1" customWidth="1"/>
    <col min="5380" max="5380" width="19.28515625" bestFit="1" customWidth="1"/>
    <col min="5381" max="5381" width="10.7109375" bestFit="1" customWidth="1"/>
    <col min="5382" max="5382" width="18.85546875" customWidth="1"/>
    <col min="5383" max="5383" width="11.140625" bestFit="1" customWidth="1"/>
    <col min="5384" max="5384" width="26.85546875" customWidth="1"/>
    <col min="5633" max="5633" width="68.5703125" bestFit="1" customWidth="1"/>
    <col min="5634" max="5634" width="12.5703125" bestFit="1" customWidth="1"/>
    <col min="5635" max="5635" width="8.85546875" bestFit="1" customWidth="1"/>
    <col min="5636" max="5636" width="19.28515625" bestFit="1" customWidth="1"/>
    <col min="5637" max="5637" width="10.7109375" bestFit="1" customWidth="1"/>
    <col min="5638" max="5638" width="18.85546875" customWidth="1"/>
    <col min="5639" max="5639" width="11.140625" bestFit="1" customWidth="1"/>
    <col min="5640" max="5640" width="26.85546875" customWidth="1"/>
    <col min="5889" max="5889" width="68.5703125" bestFit="1" customWidth="1"/>
    <col min="5890" max="5890" width="12.5703125" bestFit="1" customWidth="1"/>
    <col min="5891" max="5891" width="8.85546875" bestFit="1" customWidth="1"/>
    <col min="5892" max="5892" width="19.28515625" bestFit="1" customWidth="1"/>
    <col min="5893" max="5893" width="10.7109375" bestFit="1" customWidth="1"/>
    <col min="5894" max="5894" width="18.85546875" customWidth="1"/>
    <col min="5895" max="5895" width="11.140625" bestFit="1" customWidth="1"/>
    <col min="5896" max="5896" width="26.85546875" customWidth="1"/>
    <col min="6145" max="6145" width="68.5703125" bestFit="1" customWidth="1"/>
    <col min="6146" max="6146" width="12.5703125" bestFit="1" customWidth="1"/>
    <col min="6147" max="6147" width="8.85546875" bestFit="1" customWidth="1"/>
    <col min="6148" max="6148" width="19.28515625" bestFit="1" customWidth="1"/>
    <col min="6149" max="6149" width="10.7109375" bestFit="1" customWidth="1"/>
    <col min="6150" max="6150" width="18.85546875" customWidth="1"/>
    <col min="6151" max="6151" width="11.140625" bestFit="1" customWidth="1"/>
    <col min="6152" max="6152" width="26.85546875" customWidth="1"/>
    <col min="6401" max="6401" width="68.5703125" bestFit="1" customWidth="1"/>
    <col min="6402" max="6402" width="12.5703125" bestFit="1" customWidth="1"/>
    <col min="6403" max="6403" width="8.85546875" bestFit="1" customWidth="1"/>
    <col min="6404" max="6404" width="19.28515625" bestFit="1" customWidth="1"/>
    <col min="6405" max="6405" width="10.7109375" bestFit="1" customWidth="1"/>
    <col min="6406" max="6406" width="18.85546875" customWidth="1"/>
    <col min="6407" max="6407" width="11.140625" bestFit="1" customWidth="1"/>
    <col min="6408" max="6408" width="26.85546875" customWidth="1"/>
    <col min="6657" max="6657" width="68.5703125" bestFit="1" customWidth="1"/>
    <col min="6658" max="6658" width="12.5703125" bestFit="1" customWidth="1"/>
    <col min="6659" max="6659" width="8.85546875" bestFit="1" customWidth="1"/>
    <col min="6660" max="6660" width="19.28515625" bestFit="1" customWidth="1"/>
    <col min="6661" max="6661" width="10.7109375" bestFit="1" customWidth="1"/>
    <col min="6662" max="6662" width="18.85546875" customWidth="1"/>
    <col min="6663" max="6663" width="11.140625" bestFit="1" customWidth="1"/>
    <col min="6664" max="6664" width="26.85546875" customWidth="1"/>
    <col min="6913" max="6913" width="68.5703125" bestFit="1" customWidth="1"/>
    <col min="6914" max="6914" width="12.5703125" bestFit="1" customWidth="1"/>
    <col min="6915" max="6915" width="8.85546875" bestFit="1" customWidth="1"/>
    <col min="6916" max="6916" width="19.28515625" bestFit="1" customWidth="1"/>
    <col min="6917" max="6917" width="10.7109375" bestFit="1" customWidth="1"/>
    <col min="6918" max="6918" width="18.85546875" customWidth="1"/>
    <col min="6919" max="6919" width="11.140625" bestFit="1" customWidth="1"/>
    <col min="6920" max="6920" width="26.85546875" customWidth="1"/>
    <col min="7169" max="7169" width="68.5703125" bestFit="1" customWidth="1"/>
    <col min="7170" max="7170" width="12.5703125" bestFit="1" customWidth="1"/>
    <col min="7171" max="7171" width="8.85546875" bestFit="1" customWidth="1"/>
    <col min="7172" max="7172" width="19.28515625" bestFit="1" customWidth="1"/>
    <col min="7173" max="7173" width="10.7109375" bestFit="1" customWidth="1"/>
    <col min="7174" max="7174" width="18.85546875" customWidth="1"/>
    <col min="7175" max="7175" width="11.140625" bestFit="1" customWidth="1"/>
    <col min="7176" max="7176" width="26.85546875" customWidth="1"/>
    <col min="7425" max="7425" width="68.5703125" bestFit="1" customWidth="1"/>
    <col min="7426" max="7426" width="12.5703125" bestFit="1" customWidth="1"/>
    <col min="7427" max="7427" width="8.85546875" bestFit="1" customWidth="1"/>
    <col min="7428" max="7428" width="19.28515625" bestFit="1" customWidth="1"/>
    <col min="7429" max="7429" width="10.7109375" bestFit="1" customWidth="1"/>
    <col min="7430" max="7430" width="18.85546875" customWidth="1"/>
    <col min="7431" max="7431" width="11.140625" bestFit="1" customWidth="1"/>
    <col min="7432" max="7432" width="26.85546875" customWidth="1"/>
    <col min="7681" max="7681" width="68.5703125" bestFit="1" customWidth="1"/>
    <col min="7682" max="7682" width="12.5703125" bestFit="1" customWidth="1"/>
    <col min="7683" max="7683" width="8.85546875" bestFit="1" customWidth="1"/>
    <col min="7684" max="7684" width="19.28515625" bestFit="1" customWidth="1"/>
    <col min="7685" max="7685" width="10.7109375" bestFit="1" customWidth="1"/>
    <col min="7686" max="7686" width="18.85546875" customWidth="1"/>
    <col min="7687" max="7687" width="11.140625" bestFit="1" customWidth="1"/>
    <col min="7688" max="7688" width="26.85546875" customWidth="1"/>
    <col min="7937" max="7937" width="68.5703125" bestFit="1" customWidth="1"/>
    <col min="7938" max="7938" width="12.5703125" bestFit="1" customWidth="1"/>
    <col min="7939" max="7939" width="8.85546875" bestFit="1" customWidth="1"/>
    <col min="7940" max="7940" width="19.28515625" bestFit="1" customWidth="1"/>
    <col min="7941" max="7941" width="10.7109375" bestFit="1" customWidth="1"/>
    <col min="7942" max="7942" width="18.85546875" customWidth="1"/>
    <col min="7943" max="7943" width="11.140625" bestFit="1" customWidth="1"/>
    <col min="7944" max="7944" width="26.85546875" customWidth="1"/>
    <col min="8193" max="8193" width="68.5703125" bestFit="1" customWidth="1"/>
    <col min="8194" max="8194" width="12.5703125" bestFit="1" customWidth="1"/>
    <col min="8195" max="8195" width="8.85546875" bestFit="1" customWidth="1"/>
    <col min="8196" max="8196" width="19.28515625" bestFit="1" customWidth="1"/>
    <col min="8197" max="8197" width="10.7109375" bestFit="1" customWidth="1"/>
    <col min="8198" max="8198" width="18.85546875" customWidth="1"/>
    <col min="8199" max="8199" width="11.140625" bestFit="1" customWidth="1"/>
    <col min="8200" max="8200" width="26.85546875" customWidth="1"/>
    <col min="8449" max="8449" width="68.5703125" bestFit="1" customWidth="1"/>
    <col min="8450" max="8450" width="12.5703125" bestFit="1" customWidth="1"/>
    <col min="8451" max="8451" width="8.85546875" bestFit="1" customWidth="1"/>
    <col min="8452" max="8452" width="19.28515625" bestFit="1" customWidth="1"/>
    <col min="8453" max="8453" width="10.7109375" bestFit="1" customWidth="1"/>
    <col min="8454" max="8454" width="18.85546875" customWidth="1"/>
    <col min="8455" max="8455" width="11.140625" bestFit="1" customWidth="1"/>
    <col min="8456" max="8456" width="26.85546875" customWidth="1"/>
    <col min="8705" max="8705" width="68.5703125" bestFit="1" customWidth="1"/>
    <col min="8706" max="8706" width="12.5703125" bestFit="1" customWidth="1"/>
    <col min="8707" max="8707" width="8.85546875" bestFit="1" customWidth="1"/>
    <col min="8708" max="8708" width="19.28515625" bestFit="1" customWidth="1"/>
    <col min="8709" max="8709" width="10.7109375" bestFit="1" customWidth="1"/>
    <col min="8710" max="8710" width="18.85546875" customWidth="1"/>
    <col min="8711" max="8711" width="11.140625" bestFit="1" customWidth="1"/>
    <col min="8712" max="8712" width="26.85546875" customWidth="1"/>
    <col min="8961" max="8961" width="68.5703125" bestFit="1" customWidth="1"/>
    <col min="8962" max="8962" width="12.5703125" bestFit="1" customWidth="1"/>
    <col min="8963" max="8963" width="8.85546875" bestFit="1" customWidth="1"/>
    <col min="8964" max="8964" width="19.28515625" bestFit="1" customWidth="1"/>
    <col min="8965" max="8965" width="10.7109375" bestFit="1" customWidth="1"/>
    <col min="8966" max="8966" width="18.85546875" customWidth="1"/>
    <col min="8967" max="8967" width="11.140625" bestFit="1" customWidth="1"/>
    <col min="8968" max="8968" width="26.85546875" customWidth="1"/>
    <col min="9217" max="9217" width="68.5703125" bestFit="1" customWidth="1"/>
    <col min="9218" max="9218" width="12.5703125" bestFit="1" customWidth="1"/>
    <col min="9219" max="9219" width="8.85546875" bestFit="1" customWidth="1"/>
    <col min="9220" max="9220" width="19.28515625" bestFit="1" customWidth="1"/>
    <col min="9221" max="9221" width="10.7109375" bestFit="1" customWidth="1"/>
    <col min="9222" max="9222" width="18.85546875" customWidth="1"/>
    <col min="9223" max="9223" width="11.140625" bestFit="1" customWidth="1"/>
    <col min="9224" max="9224" width="26.85546875" customWidth="1"/>
    <col min="9473" max="9473" width="68.5703125" bestFit="1" customWidth="1"/>
    <col min="9474" max="9474" width="12.5703125" bestFit="1" customWidth="1"/>
    <col min="9475" max="9475" width="8.85546875" bestFit="1" customWidth="1"/>
    <col min="9476" max="9476" width="19.28515625" bestFit="1" customWidth="1"/>
    <col min="9477" max="9477" width="10.7109375" bestFit="1" customWidth="1"/>
    <col min="9478" max="9478" width="18.85546875" customWidth="1"/>
    <col min="9479" max="9479" width="11.140625" bestFit="1" customWidth="1"/>
    <col min="9480" max="9480" width="26.85546875" customWidth="1"/>
    <col min="9729" max="9729" width="68.5703125" bestFit="1" customWidth="1"/>
    <col min="9730" max="9730" width="12.5703125" bestFit="1" customWidth="1"/>
    <col min="9731" max="9731" width="8.85546875" bestFit="1" customWidth="1"/>
    <col min="9732" max="9732" width="19.28515625" bestFit="1" customWidth="1"/>
    <col min="9733" max="9733" width="10.7109375" bestFit="1" customWidth="1"/>
    <col min="9734" max="9734" width="18.85546875" customWidth="1"/>
    <col min="9735" max="9735" width="11.140625" bestFit="1" customWidth="1"/>
    <col min="9736" max="9736" width="26.85546875" customWidth="1"/>
    <col min="9985" max="9985" width="68.5703125" bestFit="1" customWidth="1"/>
    <col min="9986" max="9986" width="12.5703125" bestFit="1" customWidth="1"/>
    <col min="9987" max="9987" width="8.85546875" bestFit="1" customWidth="1"/>
    <col min="9988" max="9988" width="19.28515625" bestFit="1" customWidth="1"/>
    <col min="9989" max="9989" width="10.7109375" bestFit="1" customWidth="1"/>
    <col min="9990" max="9990" width="18.85546875" customWidth="1"/>
    <col min="9991" max="9991" width="11.140625" bestFit="1" customWidth="1"/>
    <col min="9992" max="9992" width="26.85546875" customWidth="1"/>
    <col min="10241" max="10241" width="68.5703125" bestFit="1" customWidth="1"/>
    <col min="10242" max="10242" width="12.5703125" bestFit="1" customWidth="1"/>
    <col min="10243" max="10243" width="8.85546875" bestFit="1" customWidth="1"/>
    <col min="10244" max="10244" width="19.28515625" bestFit="1" customWidth="1"/>
    <col min="10245" max="10245" width="10.7109375" bestFit="1" customWidth="1"/>
    <col min="10246" max="10246" width="18.85546875" customWidth="1"/>
    <col min="10247" max="10247" width="11.140625" bestFit="1" customWidth="1"/>
    <col min="10248" max="10248" width="26.85546875" customWidth="1"/>
    <col min="10497" max="10497" width="68.5703125" bestFit="1" customWidth="1"/>
    <col min="10498" max="10498" width="12.5703125" bestFit="1" customWidth="1"/>
    <col min="10499" max="10499" width="8.85546875" bestFit="1" customWidth="1"/>
    <col min="10500" max="10500" width="19.28515625" bestFit="1" customWidth="1"/>
    <col min="10501" max="10501" width="10.7109375" bestFit="1" customWidth="1"/>
    <col min="10502" max="10502" width="18.85546875" customWidth="1"/>
    <col min="10503" max="10503" width="11.140625" bestFit="1" customWidth="1"/>
    <col min="10504" max="10504" width="26.85546875" customWidth="1"/>
    <col min="10753" max="10753" width="68.5703125" bestFit="1" customWidth="1"/>
    <col min="10754" max="10754" width="12.5703125" bestFit="1" customWidth="1"/>
    <col min="10755" max="10755" width="8.85546875" bestFit="1" customWidth="1"/>
    <col min="10756" max="10756" width="19.28515625" bestFit="1" customWidth="1"/>
    <col min="10757" max="10757" width="10.7109375" bestFit="1" customWidth="1"/>
    <col min="10758" max="10758" width="18.85546875" customWidth="1"/>
    <col min="10759" max="10759" width="11.140625" bestFit="1" customWidth="1"/>
    <col min="10760" max="10760" width="26.85546875" customWidth="1"/>
    <col min="11009" max="11009" width="68.5703125" bestFit="1" customWidth="1"/>
    <col min="11010" max="11010" width="12.5703125" bestFit="1" customWidth="1"/>
    <col min="11011" max="11011" width="8.85546875" bestFit="1" customWidth="1"/>
    <col min="11012" max="11012" width="19.28515625" bestFit="1" customWidth="1"/>
    <col min="11013" max="11013" width="10.7109375" bestFit="1" customWidth="1"/>
    <col min="11014" max="11014" width="18.85546875" customWidth="1"/>
    <col min="11015" max="11015" width="11.140625" bestFit="1" customWidth="1"/>
    <col min="11016" max="11016" width="26.85546875" customWidth="1"/>
    <col min="11265" max="11265" width="68.5703125" bestFit="1" customWidth="1"/>
    <col min="11266" max="11266" width="12.5703125" bestFit="1" customWidth="1"/>
    <col min="11267" max="11267" width="8.85546875" bestFit="1" customWidth="1"/>
    <col min="11268" max="11268" width="19.28515625" bestFit="1" customWidth="1"/>
    <col min="11269" max="11269" width="10.7109375" bestFit="1" customWidth="1"/>
    <col min="11270" max="11270" width="18.85546875" customWidth="1"/>
    <col min="11271" max="11271" width="11.140625" bestFit="1" customWidth="1"/>
    <col min="11272" max="11272" width="26.85546875" customWidth="1"/>
    <col min="11521" max="11521" width="68.5703125" bestFit="1" customWidth="1"/>
    <col min="11522" max="11522" width="12.5703125" bestFit="1" customWidth="1"/>
    <col min="11523" max="11523" width="8.85546875" bestFit="1" customWidth="1"/>
    <col min="11524" max="11524" width="19.28515625" bestFit="1" customWidth="1"/>
    <col min="11525" max="11525" width="10.7109375" bestFit="1" customWidth="1"/>
    <col min="11526" max="11526" width="18.85546875" customWidth="1"/>
    <col min="11527" max="11527" width="11.140625" bestFit="1" customWidth="1"/>
    <col min="11528" max="11528" width="26.85546875" customWidth="1"/>
    <col min="11777" max="11777" width="68.5703125" bestFit="1" customWidth="1"/>
    <col min="11778" max="11778" width="12.5703125" bestFit="1" customWidth="1"/>
    <col min="11779" max="11779" width="8.85546875" bestFit="1" customWidth="1"/>
    <col min="11780" max="11780" width="19.28515625" bestFit="1" customWidth="1"/>
    <col min="11781" max="11781" width="10.7109375" bestFit="1" customWidth="1"/>
    <col min="11782" max="11782" width="18.85546875" customWidth="1"/>
    <col min="11783" max="11783" width="11.140625" bestFit="1" customWidth="1"/>
    <col min="11784" max="11784" width="26.85546875" customWidth="1"/>
    <col min="12033" max="12033" width="68.5703125" bestFit="1" customWidth="1"/>
    <col min="12034" max="12034" width="12.5703125" bestFit="1" customWidth="1"/>
    <col min="12035" max="12035" width="8.85546875" bestFit="1" customWidth="1"/>
    <col min="12036" max="12036" width="19.28515625" bestFit="1" customWidth="1"/>
    <col min="12037" max="12037" width="10.7109375" bestFit="1" customWidth="1"/>
    <col min="12038" max="12038" width="18.85546875" customWidth="1"/>
    <col min="12039" max="12039" width="11.140625" bestFit="1" customWidth="1"/>
    <col min="12040" max="12040" width="26.85546875" customWidth="1"/>
    <col min="12289" max="12289" width="68.5703125" bestFit="1" customWidth="1"/>
    <col min="12290" max="12290" width="12.5703125" bestFit="1" customWidth="1"/>
    <col min="12291" max="12291" width="8.85546875" bestFit="1" customWidth="1"/>
    <col min="12292" max="12292" width="19.28515625" bestFit="1" customWidth="1"/>
    <col min="12293" max="12293" width="10.7109375" bestFit="1" customWidth="1"/>
    <col min="12294" max="12294" width="18.85546875" customWidth="1"/>
    <col min="12295" max="12295" width="11.140625" bestFit="1" customWidth="1"/>
    <col min="12296" max="12296" width="26.85546875" customWidth="1"/>
    <col min="12545" max="12545" width="68.5703125" bestFit="1" customWidth="1"/>
    <col min="12546" max="12546" width="12.5703125" bestFit="1" customWidth="1"/>
    <col min="12547" max="12547" width="8.85546875" bestFit="1" customWidth="1"/>
    <col min="12548" max="12548" width="19.28515625" bestFit="1" customWidth="1"/>
    <col min="12549" max="12549" width="10.7109375" bestFit="1" customWidth="1"/>
    <col min="12550" max="12550" width="18.85546875" customWidth="1"/>
    <col min="12551" max="12551" width="11.140625" bestFit="1" customWidth="1"/>
    <col min="12552" max="12552" width="26.85546875" customWidth="1"/>
    <col min="12801" max="12801" width="68.5703125" bestFit="1" customWidth="1"/>
    <col min="12802" max="12802" width="12.5703125" bestFit="1" customWidth="1"/>
    <col min="12803" max="12803" width="8.85546875" bestFit="1" customWidth="1"/>
    <col min="12804" max="12804" width="19.28515625" bestFit="1" customWidth="1"/>
    <col min="12805" max="12805" width="10.7109375" bestFit="1" customWidth="1"/>
    <col min="12806" max="12806" width="18.85546875" customWidth="1"/>
    <col min="12807" max="12807" width="11.140625" bestFit="1" customWidth="1"/>
    <col min="12808" max="12808" width="26.85546875" customWidth="1"/>
    <col min="13057" max="13057" width="68.5703125" bestFit="1" customWidth="1"/>
    <col min="13058" max="13058" width="12.5703125" bestFit="1" customWidth="1"/>
    <col min="13059" max="13059" width="8.85546875" bestFit="1" customWidth="1"/>
    <col min="13060" max="13060" width="19.28515625" bestFit="1" customWidth="1"/>
    <col min="13061" max="13061" width="10.7109375" bestFit="1" customWidth="1"/>
    <col min="13062" max="13062" width="18.85546875" customWidth="1"/>
    <col min="13063" max="13063" width="11.140625" bestFit="1" customWidth="1"/>
    <col min="13064" max="13064" width="26.85546875" customWidth="1"/>
    <col min="13313" max="13313" width="68.5703125" bestFit="1" customWidth="1"/>
    <col min="13314" max="13314" width="12.5703125" bestFit="1" customWidth="1"/>
    <col min="13315" max="13315" width="8.85546875" bestFit="1" customWidth="1"/>
    <col min="13316" max="13316" width="19.28515625" bestFit="1" customWidth="1"/>
    <col min="13317" max="13317" width="10.7109375" bestFit="1" customWidth="1"/>
    <col min="13318" max="13318" width="18.85546875" customWidth="1"/>
    <col min="13319" max="13319" width="11.140625" bestFit="1" customWidth="1"/>
    <col min="13320" max="13320" width="26.85546875" customWidth="1"/>
    <col min="13569" max="13569" width="68.5703125" bestFit="1" customWidth="1"/>
    <col min="13570" max="13570" width="12.5703125" bestFit="1" customWidth="1"/>
    <col min="13571" max="13571" width="8.85546875" bestFit="1" customWidth="1"/>
    <col min="13572" max="13572" width="19.28515625" bestFit="1" customWidth="1"/>
    <col min="13573" max="13573" width="10.7109375" bestFit="1" customWidth="1"/>
    <col min="13574" max="13574" width="18.85546875" customWidth="1"/>
    <col min="13575" max="13575" width="11.140625" bestFit="1" customWidth="1"/>
    <col min="13576" max="13576" width="26.85546875" customWidth="1"/>
    <col min="13825" max="13825" width="68.5703125" bestFit="1" customWidth="1"/>
    <col min="13826" max="13826" width="12.5703125" bestFit="1" customWidth="1"/>
    <col min="13827" max="13827" width="8.85546875" bestFit="1" customWidth="1"/>
    <col min="13828" max="13828" width="19.28515625" bestFit="1" customWidth="1"/>
    <col min="13829" max="13829" width="10.7109375" bestFit="1" customWidth="1"/>
    <col min="13830" max="13830" width="18.85546875" customWidth="1"/>
    <col min="13831" max="13831" width="11.140625" bestFit="1" customWidth="1"/>
    <col min="13832" max="13832" width="26.85546875" customWidth="1"/>
    <col min="14081" max="14081" width="68.5703125" bestFit="1" customWidth="1"/>
    <col min="14082" max="14082" width="12.5703125" bestFit="1" customWidth="1"/>
    <col min="14083" max="14083" width="8.85546875" bestFit="1" customWidth="1"/>
    <col min="14084" max="14084" width="19.28515625" bestFit="1" customWidth="1"/>
    <col min="14085" max="14085" width="10.7109375" bestFit="1" customWidth="1"/>
    <col min="14086" max="14086" width="18.85546875" customWidth="1"/>
    <col min="14087" max="14087" width="11.140625" bestFit="1" customWidth="1"/>
    <col min="14088" max="14088" width="26.85546875" customWidth="1"/>
    <col min="14337" max="14337" width="68.5703125" bestFit="1" customWidth="1"/>
    <col min="14338" max="14338" width="12.5703125" bestFit="1" customWidth="1"/>
    <col min="14339" max="14339" width="8.85546875" bestFit="1" customWidth="1"/>
    <col min="14340" max="14340" width="19.28515625" bestFit="1" customWidth="1"/>
    <col min="14341" max="14341" width="10.7109375" bestFit="1" customWidth="1"/>
    <col min="14342" max="14342" width="18.85546875" customWidth="1"/>
    <col min="14343" max="14343" width="11.140625" bestFit="1" customWidth="1"/>
    <col min="14344" max="14344" width="26.85546875" customWidth="1"/>
    <col min="14593" max="14593" width="68.5703125" bestFit="1" customWidth="1"/>
    <col min="14594" max="14594" width="12.5703125" bestFit="1" customWidth="1"/>
    <col min="14595" max="14595" width="8.85546875" bestFit="1" customWidth="1"/>
    <col min="14596" max="14596" width="19.28515625" bestFit="1" customWidth="1"/>
    <col min="14597" max="14597" width="10.7109375" bestFit="1" customWidth="1"/>
    <col min="14598" max="14598" width="18.85546875" customWidth="1"/>
    <col min="14599" max="14599" width="11.140625" bestFit="1" customWidth="1"/>
    <col min="14600" max="14600" width="26.85546875" customWidth="1"/>
    <col min="14849" max="14849" width="68.5703125" bestFit="1" customWidth="1"/>
    <col min="14850" max="14850" width="12.5703125" bestFit="1" customWidth="1"/>
    <col min="14851" max="14851" width="8.85546875" bestFit="1" customWidth="1"/>
    <col min="14852" max="14852" width="19.28515625" bestFit="1" customWidth="1"/>
    <col min="14853" max="14853" width="10.7109375" bestFit="1" customWidth="1"/>
    <col min="14854" max="14854" width="18.85546875" customWidth="1"/>
    <col min="14855" max="14855" width="11.140625" bestFit="1" customWidth="1"/>
    <col min="14856" max="14856" width="26.85546875" customWidth="1"/>
    <col min="15105" max="15105" width="68.5703125" bestFit="1" customWidth="1"/>
    <col min="15106" max="15106" width="12.5703125" bestFit="1" customWidth="1"/>
    <col min="15107" max="15107" width="8.85546875" bestFit="1" customWidth="1"/>
    <col min="15108" max="15108" width="19.28515625" bestFit="1" customWidth="1"/>
    <col min="15109" max="15109" width="10.7109375" bestFit="1" customWidth="1"/>
    <col min="15110" max="15110" width="18.85546875" customWidth="1"/>
    <col min="15111" max="15111" width="11.140625" bestFit="1" customWidth="1"/>
    <col min="15112" max="15112" width="26.85546875" customWidth="1"/>
    <col min="15361" max="15361" width="68.5703125" bestFit="1" customWidth="1"/>
    <col min="15362" max="15362" width="12.5703125" bestFit="1" customWidth="1"/>
    <col min="15363" max="15363" width="8.85546875" bestFit="1" customWidth="1"/>
    <col min="15364" max="15364" width="19.28515625" bestFit="1" customWidth="1"/>
    <col min="15365" max="15365" width="10.7109375" bestFit="1" customWidth="1"/>
    <col min="15366" max="15366" width="18.85546875" customWidth="1"/>
    <col min="15367" max="15367" width="11.140625" bestFit="1" customWidth="1"/>
    <col min="15368" max="15368" width="26.85546875" customWidth="1"/>
    <col min="15617" max="15617" width="68.5703125" bestFit="1" customWidth="1"/>
    <col min="15618" max="15618" width="12.5703125" bestFit="1" customWidth="1"/>
    <col min="15619" max="15619" width="8.85546875" bestFit="1" customWidth="1"/>
    <col min="15620" max="15620" width="19.28515625" bestFit="1" customWidth="1"/>
    <col min="15621" max="15621" width="10.7109375" bestFit="1" customWidth="1"/>
    <col min="15622" max="15622" width="18.85546875" customWidth="1"/>
    <col min="15623" max="15623" width="11.140625" bestFit="1" customWidth="1"/>
    <col min="15624" max="15624" width="26.85546875" customWidth="1"/>
    <col min="15873" max="15873" width="68.5703125" bestFit="1" customWidth="1"/>
    <col min="15874" max="15874" width="12.5703125" bestFit="1" customWidth="1"/>
    <col min="15875" max="15875" width="8.85546875" bestFit="1" customWidth="1"/>
    <col min="15876" max="15876" width="19.28515625" bestFit="1" customWidth="1"/>
    <col min="15877" max="15877" width="10.7109375" bestFit="1" customWidth="1"/>
    <col min="15878" max="15878" width="18.85546875" customWidth="1"/>
    <col min="15879" max="15879" width="11.140625" bestFit="1" customWidth="1"/>
    <col min="15880" max="15880" width="26.85546875" customWidth="1"/>
    <col min="16129" max="16129" width="68.5703125" bestFit="1" customWidth="1"/>
    <col min="16130" max="16130" width="12.5703125" bestFit="1" customWidth="1"/>
    <col min="16131" max="16131" width="8.85546875" bestFit="1" customWidth="1"/>
    <col min="16132" max="16132" width="19.28515625" bestFit="1" customWidth="1"/>
    <col min="16133" max="16133" width="10.7109375" bestFit="1" customWidth="1"/>
    <col min="16134" max="16134" width="18.85546875" customWidth="1"/>
    <col min="16135" max="16135" width="11.140625" bestFit="1" customWidth="1"/>
    <col min="16136" max="16136" width="26.85546875" customWidth="1"/>
  </cols>
  <sheetData>
    <row r="1" spans="1:17">
      <c r="A1" s="102" t="s">
        <v>257</v>
      </c>
    </row>
    <row r="2" spans="1:17">
      <c r="A2" s="104" t="s">
        <v>290</v>
      </c>
      <c r="B2" s="105"/>
      <c r="C2" s="106"/>
      <c r="D2" s="107"/>
      <c r="E2" s="107"/>
      <c r="F2" s="107"/>
      <c r="G2" s="108"/>
      <c r="H2" s="108"/>
      <c r="I2" s="108"/>
      <c r="J2" s="108"/>
      <c r="K2" s="108"/>
      <c r="L2" s="108"/>
    </row>
    <row r="3" spans="1:17">
      <c r="A3" s="250" t="s">
        <v>270</v>
      </c>
      <c r="B3" s="108"/>
      <c r="C3" s="109"/>
      <c r="D3" s="110"/>
      <c r="E3" s="110" t="s">
        <v>105</v>
      </c>
      <c r="F3" s="107"/>
      <c r="G3" s="108"/>
      <c r="H3" s="108"/>
      <c r="I3" s="108"/>
      <c r="J3" s="111"/>
      <c r="K3" s="108"/>
      <c r="L3" s="108"/>
    </row>
    <row r="4" spans="1:17">
      <c r="A4" s="108"/>
      <c r="B4" s="108"/>
      <c r="C4" s="109" t="s">
        <v>102</v>
      </c>
      <c r="D4" s="110" t="s">
        <v>106</v>
      </c>
      <c r="E4" s="110" t="s">
        <v>103</v>
      </c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7"/>
    </row>
    <row r="5" spans="1:17">
      <c r="A5" s="108"/>
      <c r="B5" s="108"/>
      <c r="C5" s="109" t="s">
        <v>104</v>
      </c>
      <c r="D5" s="110" t="s">
        <v>10</v>
      </c>
      <c r="E5" s="112">
        <v>43466</v>
      </c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7"/>
    </row>
    <row r="6" spans="1:17">
      <c r="A6" s="104"/>
      <c r="B6" s="104"/>
      <c r="C6" s="113"/>
      <c r="D6" s="107"/>
      <c r="E6" s="107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7"/>
    </row>
    <row r="7" spans="1:17">
      <c r="A7" s="251" t="s">
        <v>351</v>
      </c>
      <c r="B7" s="104"/>
      <c r="C7" s="113"/>
      <c r="D7" s="107"/>
      <c r="E7" s="107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7"/>
    </row>
    <row r="8" spans="1:17">
      <c r="A8" s="137" t="s">
        <v>113</v>
      </c>
      <c r="B8" s="115"/>
      <c r="C8" s="113">
        <f>'Company Price Out Rates Compare'!I20</f>
        <v>9.7899999999999991</v>
      </c>
      <c r="D8" s="107">
        <f>'Company Price Out Rates Compare'!T20</f>
        <v>0.16464747656554193</v>
      </c>
      <c r="E8" s="107">
        <f>C8+D8</f>
        <v>9.9546474765655404</v>
      </c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7"/>
    </row>
    <row r="9" spans="1:17">
      <c r="A9" s="125" t="s">
        <v>114</v>
      </c>
      <c r="B9" s="115"/>
      <c r="C9" s="113">
        <f>'Company Price Out Rates Compare'!I21</f>
        <v>16.05</v>
      </c>
      <c r="D9" s="107">
        <f>'Company Price Out Rates Compare'!T21</f>
        <v>0.27727321634934882</v>
      </c>
      <c r="E9" s="107">
        <f t="shared" ref="E9:E70" si="0">C9+D9</f>
        <v>16.327273216349351</v>
      </c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7"/>
    </row>
    <row r="10" spans="1:17">
      <c r="A10" s="125" t="s">
        <v>115</v>
      </c>
      <c r="B10" s="115"/>
      <c r="C10" s="113">
        <f>'Company Price Out Rates Compare'!I22</f>
        <v>25.9</v>
      </c>
      <c r="D10" s="107">
        <f>'Company Price Out Rates Compare'!T22</f>
        <v>0.55454643269869763</v>
      </c>
      <c r="E10" s="107">
        <f t="shared" si="0"/>
        <v>26.454546432698695</v>
      </c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7"/>
    </row>
    <row r="11" spans="1:17">
      <c r="A11" s="125" t="s">
        <v>116</v>
      </c>
      <c r="B11" s="115"/>
      <c r="C11" s="113">
        <f>'Company Price Out Rates Compare'!I23</f>
        <v>37.19</v>
      </c>
      <c r="D11" s="107">
        <f>'Company Price Out Rates Compare'!T23</f>
        <v>0.83181964904804662</v>
      </c>
      <c r="E11" s="107">
        <f t="shared" si="0"/>
        <v>38.021819649048041</v>
      </c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7"/>
    </row>
    <row r="12" spans="1:17">
      <c r="A12" s="125" t="s">
        <v>117</v>
      </c>
      <c r="B12" s="115"/>
      <c r="C12" s="113">
        <f>'Company Price Out Rates Compare'!I24</f>
        <v>49.56</v>
      </c>
      <c r="D12" s="107">
        <f>'Company Price Out Rates Compare'!T24</f>
        <v>1.1090928653973953</v>
      </c>
      <c r="E12" s="107">
        <f t="shared" si="0"/>
        <v>50.669092865397396</v>
      </c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7"/>
    </row>
    <row r="13" spans="1:17">
      <c r="A13" s="252" t="s">
        <v>159</v>
      </c>
      <c r="B13" s="253"/>
      <c r="C13" s="254">
        <f>'Company Price Out Rates Compare'!I25</f>
        <v>58.45</v>
      </c>
      <c r="D13" s="254">
        <f>'Company Price Out Rates Compare'!T25</f>
        <v>1.3863660817467442</v>
      </c>
      <c r="E13" s="254">
        <f t="shared" si="0"/>
        <v>59.836366081746746</v>
      </c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7"/>
    </row>
    <row r="14" spans="1:17">
      <c r="A14" s="125" t="s">
        <v>118</v>
      </c>
      <c r="B14" s="115"/>
      <c r="C14" s="113">
        <f>'Company Price Out Rates Compare'!I28</f>
        <v>14.77</v>
      </c>
      <c r="D14" s="107">
        <f>'Company Price Out Rates Compare'!T28</f>
        <v>0.27727321634934882</v>
      </c>
      <c r="E14" s="107">
        <f t="shared" si="0"/>
        <v>15.047273216349348</v>
      </c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7"/>
    </row>
    <row r="15" spans="1:17">
      <c r="A15" s="125" t="s">
        <v>161</v>
      </c>
      <c r="B15" s="115"/>
      <c r="C15" s="113">
        <f>'Company Price Out Rates Compare'!I29</f>
        <v>23.26</v>
      </c>
      <c r="D15" s="107">
        <f>'Company Price Out Rates Compare'!T29</f>
        <v>0.55454643269869763</v>
      </c>
      <c r="E15" s="107">
        <f t="shared" si="0"/>
        <v>23.814546432698698</v>
      </c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7"/>
    </row>
    <row r="16" spans="1:17">
      <c r="A16" s="125" t="s">
        <v>162</v>
      </c>
      <c r="B16" s="115"/>
      <c r="C16" s="113">
        <f>'Company Price Out Rates Compare'!I30</f>
        <v>31.82</v>
      </c>
      <c r="D16" s="107">
        <f>'Company Price Out Rates Compare'!T30</f>
        <v>0.83181964904804662</v>
      </c>
      <c r="E16" s="107">
        <f t="shared" si="0"/>
        <v>32.651819649048043</v>
      </c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7"/>
    </row>
    <row r="17" spans="1:28">
      <c r="A17" s="125" t="s">
        <v>108</v>
      </c>
      <c r="B17" s="115"/>
      <c r="C17" s="113">
        <f>'Company Price Out Rates Compare'!I27</f>
        <v>6.78</v>
      </c>
      <c r="D17" s="107">
        <f>'Company Price Out Rates Compare'!T27</f>
        <v>6.4035384838186798E-2</v>
      </c>
      <c r="E17" s="107">
        <f t="shared" si="0"/>
        <v>6.844035384838187</v>
      </c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7"/>
    </row>
    <row r="18" spans="1:28">
      <c r="A18" s="108"/>
      <c r="B18" s="108"/>
      <c r="C18" s="113"/>
      <c r="D18" s="107"/>
      <c r="E18" s="107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7"/>
    </row>
    <row r="19" spans="1:28">
      <c r="A19" s="251" t="s">
        <v>352</v>
      </c>
      <c r="B19" s="104"/>
      <c r="C19" s="113"/>
      <c r="D19" s="107"/>
      <c r="E19" s="107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7"/>
    </row>
    <row r="20" spans="1:28">
      <c r="A20" s="255" t="s">
        <v>271</v>
      </c>
      <c r="B20" s="253" t="s">
        <v>107</v>
      </c>
      <c r="C20" s="254">
        <f>'Company Price Out Rates Compare'!I31</f>
        <v>2.74</v>
      </c>
      <c r="D20" s="254">
        <f>'Company Price Out Rates Compare'!Q31</f>
        <v>6.2650802111522158E-2</v>
      </c>
      <c r="E20" s="254">
        <f t="shared" si="0"/>
        <v>2.8026508021115224</v>
      </c>
      <c r="F20" s="303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</row>
    <row r="21" spans="1:28">
      <c r="A21" s="108"/>
      <c r="B21" s="108"/>
      <c r="C21" s="113"/>
      <c r="D21" s="107"/>
      <c r="E21" s="107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</row>
    <row r="22" spans="1:28">
      <c r="A22" s="104" t="s">
        <v>289</v>
      </c>
      <c r="B22" s="108"/>
      <c r="C22" s="113"/>
      <c r="D22" s="107"/>
      <c r="E22" s="107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</row>
    <row r="23" spans="1:28">
      <c r="A23" s="256" t="s">
        <v>272</v>
      </c>
      <c r="B23" s="257" t="s">
        <v>107</v>
      </c>
      <c r="C23" s="254">
        <f>'Company Price Out Rates Compare'!I135</f>
        <v>4.16</v>
      </c>
      <c r="D23" s="254">
        <f>'Company Price Out Rates Compare'!T135</f>
        <v>4.4214908578748033E-2</v>
      </c>
      <c r="E23" s="254">
        <f t="shared" si="0"/>
        <v>4.2042149085787486</v>
      </c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</row>
    <row r="24" spans="1:28">
      <c r="A24" s="131" t="s">
        <v>256</v>
      </c>
      <c r="B24" s="108" t="s">
        <v>107</v>
      </c>
      <c r="C24" s="113">
        <v>4.24</v>
      </c>
      <c r="D24" s="293">
        <f>'Company Price Out Rates Compare'!T137</f>
        <v>6.9859555554421887E-2</v>
      </c>
      <c r="E24" s="107">
        <f t="shared" si="0"/>
        <v>4.3098595555544224</v>
      </c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</row>
    <row r="25" spans="1:28">
      <c r="A25" s="131" t="s">
        <v>150</v>
      </c>
      <c r="B25" s="108" t="s">
        <v>107</v>
      </c>
      <c r="C25" s="113">
        <f>'Company Price Out Rates Compare'!I137</f>
        <v>4.24</v>
      </c>
      <c r="D25" s="107">
        <f>'Company Price Out Rates Compare'!T137</f>
        <v>6.9859555554421887E-2</v>
      </c>
      <c r="E25" s="107">
        <f t="shared" si="0"/>
        <v>4.3098595555544224</v>
      </c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</row>
    <row r="26" spans="1:28">
      <c r="A26" s="256" t="s">
        <v>273</v>
      </c>
      <c r="B26" s="257" t="s">
        <v>107</v>
      </c>
      <c r="C26" s="254">
        <f>'Company Price Out Rates Compare'!I139</f>
        <v>6.97</v>
      </c>
      <c r="D26" s="254">
        <f>'Company Price Out Rates Compare'!T139</f>
        <v>0.13971911110884377</v>
      </c>
      <c r="E26" s="254">
        <f t="shared" si="0"/>
        <v>7.1097191111088431</v>
      </c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</row>
    <row r="27" spans="1:28">
      <c r="A27" s="131" t="s">
        <v>151</v>
      </c>
      <c r="B27" s="108" t="s">
        <v>107</v>
      </c>
      <c r="C27" s="113">
        <f>'Company Price Out Rates Compare'!I141</f>
        <v>10.37</v>
      </c>
      <c r="D27" s="107">
        <f>'Company Price Out Rates Compare'!T141</f>
        <v>0.20957866666326563</v>
      </c>
      <c r="E27" s="107">
        <f t="shared" si="0"/>
        <v>10.579578666663265</v>
      </c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</row>
    <row r="28" spans="1:28">
      <c r="A28" s="131" t="s">
        <v>152</v>
      </c>
      <c r="B28" s="108" t="s">
        <v>107</v>
      </c>
      <c r="C28" s="113">
        <f>'Company Price Out Rates Compare'!I145</f>
        <v>22.18</v>
      </c>
      <c r="D28" s="107">
        <f>'Company Price Out Rates Compare'!T145</f>
        <v>0.4421490857874803</v>
      </c>
      <c r="E28" s="107">
        <f t="shared" si="0"/>
        <v>22.622149085787481</v>
      </c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</row>
    <row r="29" spans="1:28">
      <c r="A29" s="131" t="s">
        <v>153</v>
      </c>
      <c r="B29" s="108" t="s">
        <v>107</v>
      </c>
      <c r="C29" s="113">
        <f>'Company Price Out Rates Compare'!I149</f>
        <v>30.08</v>
      </c>
      <c r="D29" s="107">
        <f>'Company Price Out Rates Compare'!T149</f>
        <v>0.66322362868122042</v>
      </c>
      <c r="E29" s="107">
        <f t="shared" si="0"/>
        <v>30.743223628681218</v>
      </c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</row>
    <row r="30" spans="1:28">
      <c r="A30" s="131" t="s">
        <v>154</v>
      </c>
      <c r="B30" s="108" t="s">
        <v>107</v>
      </c>
      <c r="C30" s="113">
        <f>'Company Price Out Rates Compare'!I157</f>
        <v>41.6</v>
      </c>
      <c r="D30" s="107">
        <f>'Company Price Out Rates Compare'!T157</f>
        <v>0.8842981715749606</v>
      </c>
      <c r="E30" s="107">
        <f t="shared" si="0"/>
        <v>42.484298171574963</v>
      </c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</row>
    <row r="31" spans="1:28">
      <c r="A31" s="131" t="s">
        <v>155</v>
      </c>
      <c r="B31" s="108" t="s">
        <v>107</v>
      </c>
      <c r="C31" s="113">
        <f>'Company Price Out Rates Compare'!I166</f>
        <v>59.38</v>
      </c>
      <c r="D31" s="107">
        <f>'Company Price Out Rates Compare'!T166</f>
        <v>1.3264472573624408</v>
      </c>
      <c r="E31" s="107">
        <f t="shared" si="0"/>
        <v>60.706447257362441</v>
      </c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</row>
    <row r="32" spans="1:28">
      <c r="A32" s="131" t="s">
        <v>156</v>
      </c>
      <c r="B32" s="108" t="s">
        <v>107</v>
      </c>
      <c r="C32" s="113">
        <f>'Company Price Out Rates Compare'!I174</f>
        <v>74.56</v>
      </c>
      <c r="D32" s="107">
        <f>'Company Price Out Rates Compare'!T174</f>
        <v>1.7685963431499212</v>
      </c>
      <c r="E32" s="107">
        <f t="shared" si="0"/>
        <v>76.328596343149925</v>
      </c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</row>
    <row r="33" spans="1:28">
      <c r="A33" s="131" t="s">
        <v>157</v>
      </c>
      <c r="B33" s="108" t="s">
        <v>107</v>
      </c>
      <c r="C33" s="113">
        <f>'Company Price Out Rates Compare'!I185</f>
        <v>110.93</v>
      </c>
      <c r="D33" s="107">
        <f>'Company Price Out Rates Compare'!T185</f>
        <v>2.6528945147248817</v>
      </c>
      <c r="E33" s="107">
        <f t="shared" si="0"/>
        <v>113.58289451472488</v>
      </c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</row>
    <row r="34" spans="1:28">
      <c r="A34" s="131" t="s">
        <v>158</v>
      </c>
      <c r="B34" s="108" t="s">
        <v>107</v>
      </c>
      <c r="C34" s="113">
        <f>'Company Price Out Rates Compare'!I191</f>
        <v>140.44999999999999</v>
      </c>
      <c r="D34" s="107">
        <f>'Company Price Out Rates Compare'!T191</f>
        <v>3.5371926862998424</v>
      </c>
      <c r="E34" s="107">
        <f t="shared" si="0"/>
        <v>143.98719268629984</v>
      </c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</row>
    <row r="35" spans="1:28">
      <c r="A35" s="108"/>
      <c r="B35" s="108"/>
      <c r="C35" s="113"/>
      <c r="D35" s="107"/>
      <c r="E35" s="107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7"/>
    </row>
    <row r="36" spans="1:28">
      <c r="A36" s="256" t="s">
        <v>274</v>
      </c>
      <c r="B36" s="257" t="s">
        <v>107</v>
      </c>
      <c r="C36" s="254">
        <f>'Company Price Out Rates Compare'!I136</f>
        <v>8.83</v>
      </c>
      <c r="D36" s="254">
        <f>'Company Price Out Rates Compare'!T136</f>
        <v>4.4214908578748033E-2</v>
      </c>
      <c r="E36" s="254">
        <f t="shared" si="0"/>
        <v>8.8742149085787485</v>
      </c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7"/>
    </row>
    <row r="37" spans="1:28">
      <c r="A37" s="256" t="s">
        <v>276</v>
      </c>
      <c r="B37" s="257" t="s">
        <v>107</v>
      </c>
      <c r="C37" s="254">
        <f>'Company Price Out Rates Compare'!I138</f>
        <v>8.91</v>
      </c>
      <c r="D37" s="254">
        <f>'Company Price Out Rates Compare'!T138</f>
        <v>6.9859555554421887E-2</v>
      </c>
      <c r="E37" s="254">
        <f t="shared" si="0"/>
        <v>8.9798595555544214</v>
      </c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7"/>
    </row>
    <row r="38" spans="1:28">
      <c r="A38" s="256" t="s">
        <v>275</v>
      </c>
      <c r="B38" s="257" t="s">
        <v>107</v>
      </c>
      <c r="C38" s="254">
        <f>'Company Price Out Rates Compare'!I140</f>
        <v>10.35</v>
      </c>
      <c r="D38" s="254">
        <f>'Company Price Out Rates Compare'!T140</f>
        <v>0.13971911110884377</v>
      </c>
      <c r="E38" s="254">
        <f t="shared" si="0"/>
        <v>10.489719111108844</v>
      </c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7"/>
    </row>
    <row r="39" spans="1:28">
      <c r="A39" s="256" t="s">
        <v>277</v>
      </c>
      <c r="B39" s="257" t="s">
        <v>107</v>
      </c>
      <c r="C39" s="254">
        <f>'Company Price Out Rates Compare'!I142</f>
        <v>12.87</v>
      </c>
      <c r="D39" s="254">
        <f>'Company Price Out Rates Compare'!T142</f>
        <v>0.20957866666326563</v>
      </c>
      <c r="E39" s="254">
        <f t="shared" si="0"/>
        <v>13.079578666663265</v>
      </c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7"/>
    </row>
    <row r="40" spans="1:28">
      <c r="A40" s="256" t="s">
        <v>250</v>
      </c>
      <c r="B40" s="257" t="s">
        <v>107</v>
      </c>
      <c r="C40" s="254">
        <f>'Company Price Out Rates Compare'!I146</f>
        <v>23.68</v>
      </c>
      <c r="D40" s="254">
        <f>'Company Price Out Rates Compare'!T146</f>
        <v>0.4421490857874803</v>
      </c>
      <c r="E40" s="254">
        <f t="shared" si="0"/>
        <v>24.122149085787481</v>
      </c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7"/>
    </row>
    <row r="41" spans="1:28">
      <c r="A41" s="256" t="s">
        <v>278</v>
      </c>
      <c r="B41" s="257" t="s">
        <v>107</v>
      </c>
      <c r="C41" s="254">
        <f>'Company Price Out Rates Compare'!I152</f>
        <v>31.93</v>
      </c>
      <c r="D41" s="254">
        <f>'Company Price Out Rates Compare'!T152</f>
        <v>0.66322362868122042</v>
      </c>
      <c r="E41" s="254">
        <f t="shared" si="0"/>
        <v>32.593223628681223</v>
      </c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7"/>
    </row>
    <row r="42" spans="1:28">
      <c r="A42" s="256" t="s">
        <v>251</v>
      </c>
      <c r="B42" s="257" t="s">
        <v>107</v>
      </c>
      <c r="C42" s="254">
        <f>'Company Price Out Rates Compare'!I161</f>
        <v>45.05</v>
      </c>
      <c r="D42" s="254">
        <f>'Company Price Out Rates Compare'!T161</f>
        <v>0.8842981715749606</v>
      </c>
      <c r="E42" s="254">
        <f t="shared" si="0"/>
        <v>45.934298171574959</v>
      </c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7"/>
    </row>
    <row r="43" spans="1:28">
      <c r="A43" s="256" t="s">
        <v>252</v>
      </c>
      <c r="B43" s="257" t="s">
        <v>107</v>
      </c>
      <c r="C43" s="254">
        <f>'Company Price Out Rates Compare'!I169</f>
        <v>62.72</v>
      </c>
      <c r="D43" s="254">
        <f>'Company Price Out Rates Compare'!T169</f>
        <v>1.3264472573624408</v>
      </c>
      <c r="E43" s="254">
        <f t="shared" si="0"/>
        <v>64.046447257362445</v>
      </c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7"/>
    </row>
    <row r="44" spans="1:28">
      <c r="A44" s="256" t="s">
        <v>253</v>
      </c>
      <c r="B44" s="257" t="s">
        <v>107</v>
      </c>
      <c r="C44" s="254">
        <f>'Company Price Out Rates Compare'!I178</f>
        <v>77.73</v>
      </c>
      <c r="D44" s="254">
        <f>'Company Price Out Rates Compare'!T178</f>
        <v>1.7685963431499212</v>
      </c>
      <c r="E44" s="254">
        <f t="shared" si="0"/>
        <v>79.498596343149927</v>
      </c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7"/>
    </row>
    <row r="45" spans="1:28">
      <c r="A45" s="256" t="s">
        <v>254</v>
      </c>
      <c r="B45" s="257" t="s">
        <v>107</v>
      </c>
      <c r="C45" s="254">
        <f>'Company Price Out Rates Compare'!I188</f>
        <v>116.74</v>
      </c>
      <c r="D45" s="254">
        <f>'Company Price Out Rates Compare'!T188</f>
        <v>2.6528945147248817</v>
      </c>
      <c r="E45" s="254">
        <f t="shared" si="0"/>
        <v>119.39289451472487</v>
      </c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7"/>
    </row>
    <row r="46" spans="1:28">
      <c r="A46" s="256" t="s">
        <v>255</v>
      </c>
      <c r="B46" s="257" t="s">
        <v>107</v>
      </c>
      <c r="C46" s="254">
        <f>'Company Price Out Rates Compare'!I195</f>
        <v>143.09</v>
      </c>
      <c r="D46" s="254">
        <f>'Company Price Out Rates Compare'!T195</f>
        <v>3.5371926862998424</v>
      </c>
      <c r="E46" s="254">
        <f t="shared" si="0"/>
        <v>146.62719268629985</v>
      </c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7"/>
    </row>
    <row r="47" spans="1:28" s="258" customFormat="1">
      <c r="A47" s="131"/>
      <c r="B47" s="114"/>
      <c r="C47" s="113"/>
      <c r="D47" s="113"/>
      <c r="E47" s="113">
        <f t="shared" si="0"/>
        <v>0</v>
      </c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7"/>
    </row>
    <row r="48" spans="1:28">
      <c r="A48" s="256" t="s">
        <v>311</v>
      </c>
      <c r="B48" s="257" t="s">
        <v>107</v>
      </c>
      <c r="C48" s="254">
        <f>'Company Price Out Rates Compare'!I147</f>
        <v>23.68</v>
      </c>
      <c r="D48" s="254">
        <f>'Company Price Out Rates Compare'!T147</f>
        <v>0.4421490857874803</v>
      </c>
      <c r="E48" s="254">
        <f t="shared" si="0"/>
        <v>24.122149085787481</v>
      </c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7"/>
    </row>
    <row r="49" spans="1:17">
      <c r="A49" s="256" t="s">
        <v>312</v>
      </c>
      <c r="B49" s="257" t="s">
        <v>107</v>
      </c>
      <c r="C49" s="254">
        <f>'Company Price Out Rates Compare'!I153</f>
        <v>31.93</v>
      </c>
      <c r="D49" s="254">
        <f>'Company Price Out Rates Compare'!T153</f>
        <v>0.66322362868122042</v>
      </c>
      <c r="E49" s="254">
        <f t="shared" si="0"/>
        <v>32.593223628681223</v>
      </c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7"/>
    </row>
    <row r="50" spans="1:17">
      <c r="A50" s="256" t="s">
        <v>313</v>
      </c>
      <c r="B50" s="257" t="s">
        <v>107</v>
      </c>
      <c r="C50" s="254">
        <f>'Company Price Out Rates Compare'!I162</f>
        <v>45.05</v>
      </c>
      <c r="D50" s="254">
        <f>'Company Price Out Rates Compare'!T162</f>
        <v>0.8842981715749606</v>
      </c>
      <c r="E50" s="254">
        <f t="shared" si="0"/>
        <v>45.934298171574959</v>
      </c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7"/>
    </row>
    <row r="51" spans="1:17">
      <c r="A51" s="256" t="s">
        <v>314</v>
      </c>
      <c r="B51" s="257" t="s">
        <v>107</v>
      </c>
      <c r="C51" s="254">
        <f>'Company Price Out Rates Compare'!I170</f>
        <v>62.72</v>
      </c>
      <c r="D51" s="254">
        <f>'Company Price Out Rates Compare'!T170</f>
        <v>1.3264472573624408</v>
      </c>
      <c r="E51" s="254">
        <f t="shared" si="0"/>
        <v>64.046447257362445</v>
      </c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7"/>
    </row>
    <row r="52" spans="1:17">
      <c r="A52" s="256" t="s">
        <v>315</v>
      </c>
      <c r="B52" s="257" t="s">
        <v>107</v>
      </c>
      <c r="C52" s="254">
        <f>'Company Price Out Rates Compare'!I179</f>
        <v>77.73</v>
      </c>
      <c r="D52" s="254">
        <f>'Company Price Out Rates Compare'!T179</f>
        <v>1.7685963431499212</v>
      </c>
      <c r="E52" s="254">
        <f t="shared" si="0"/>
        <v>79.498596343149927</v>
      </c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7"/>
    </row>
    <row r="53" spans="1:17">
      <c r="A53" s="256" t="s">
        <v>316</v>
      </c>
      <c r="B53" s="257" t="s">
        <v>107</v>
      </c>
      <c r="C53" s="254">
        <f>'Company Price Out Rates Compare'!I189</f>
        <v>116.74</v>
      </c>
      <c r="D53" s="254">
        <f>'Company Price Out Rates Compare'!T189</f>
        <v>2.6528945147248817</v>
      </c>
      <c r="E53" s="254">
        <f t="shared" si="0"/>
        <v>119.39289451472487</v>
      </c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7"/>
    </row>
    <row r="54" spans="1:17">
      <c r="A54" s="256" t="s">
        <v>317</v>
      </c>
      <c r="B54" s="257" t="s">
        <v>107</v>
      </c>
      <c r="C54" s="254">
        <f>'Company Price Out Rates Compare'!I196</f>
        <v>143.09</v>
      </c>
      <c r="D54" s="254">
        <f>'Company Price Out Rates Compare'!T196</f>
        <v>3.5371926862998424</v>
      </c>
      <c r="E54" s="254">
        <f t="shared" si="0"/>
        <v>146.62719268629985</v>
      </c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7"/>
    </row>
    <row r="55" spans="1:17">
      <c r="A55" s="108"/>
      <c r="B55" s="108"/>
      <c r="C55" s="113"/>
      <c r="D55" s="107"/>
      <c r="E55" s="107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7"/>
    </row>
    <row r="56" spans="1:17">
      <c r="A56" s="104" t="s">
        <v>345</v>
      </c>
      <c r="B56" s="108"/>
      <c r="C56" s="113"/>
      <c r="D56" s="107"/>
      <c r="E56" s="107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7"/>
    </row>
    <row r="57" spans="1:17">
      <c r="A57" s="257" t="s">
        <v>279</v>
      </c>
      <c r="B57" s="257" t="s">
        <v>107</v>
      </c>
      <c r="C57" s="254">
        <f>'Company Price Out Rates Compare'!I143</f>
        <v>122.46</v>
      </c>
      <c r="D57" s="254">
        <f>'Company Price Out Rates Compare'!T143</f>
        <v>1.547521800256181</v>
      </c>
      <c r="E57" s="254">
        <f t="shared" si="0"/>
        <v>124.00752180025617</v>
      </c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7"/>
    </row>
    <row r="58" spans="1:17">
      <c r="A58" s="257" t="s">
        <v>280</v>
      </c>
      <c r="B58" s="257" t="s">
        <v>107</v>
      </c>
      <c r="C58" s="254">
        <f>'Company Price Out Rates Compare'!I154</f>
        <v>173.45</v>
      </c>
      <c r="D58" s="254">
        <f>'Company Price Out Rates Compare'!T154</f>
        <v>3.095043600512362</v>
      </c>
      <c r="E58" s="254">
        <f t="shared" si="0"/>
        <v>176.54504360051234</v>
      </c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7"/>
    </row>
    <row r="59" spans="1:17">
      <c r="A59" s="257" t="s">
        <v>281</v>
      </c>
      <c r="B59" s="257" t="s">
        <v>107</v>
      </c>
      <c r="C59" s="254">
        <f>'Company Price Out Rates Compare'!I163</f>
        <v>216.27</v>
      </c>
      <c r="D59" s="254">
        <f>'Company Price Out Rates Compare'!T163</f>
        <v>4.642565400768544</v>
      </c>
      <c r="E59" s="254">
        <f t="shared" si="0"/>
        <v>220.91256540076856</v>
      </c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7"/>
    </row>
    <row r="60" spans="1:17">
      <c r="A60" s="257" t="s">
        <v>282</v>
      </c>
      <c r="B60" s="257" t="s">
        <v>107</v>
      </c>
      <c r="C60" s="254">
        <f>'Company Price Out Rates Compare'!I171</f>
        <v>256.45</v>
      </c>
      <c r="D60" s="254">
        <f>'Company Price Out Rates Compare'!T171</f>
        <v>6.1900872010247241</v>
      </c>
      <c r="E60" s="254">
        <f t="shared" si="0"/>
        <v>262.6400872010247</v>
      </c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7"/>
    </row>
    <row r="61" spans="1:17">
      <c r="A61" s="257" t="s">
        <v>283</v>
      </c>
      <c r="B61" s="257" t="s">
        <v>107</v>
      </c>
      <c r="C61" s="254">
        <f>'Company Price Out Rates Compare'!I180</f>
        <v>297.07</v>
      </c>
      <c r="D61" s="254">
        <f>'Company Price Out Rates Compare'!T180</f>
        <v>7.7376090012809051</v>
      </c>
      <c r="E61" s="254">
        <f t="shared" si="0"/>
        <v>304.80760900128092</v>
      </c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7"/>
    </row>
    <row r="62" spans="1:17">
      <c r="A62" s="257" t="s">
        <v>284</v>
      </c>
      <c r="B62" s="257" t="s">
        <v>107</v>
      </c>
      <c r="C62" s="254">
        <f>'Company Price Out Rates Compare'!I182</f>
        <v>374.4</v>
      </c>
      <c r="D62" s="254">
        <f>'Company Price Out Rates Compare'!T182</f>
        <v>9.2851308015370879</v>
      </c>
      <c r="E62" s="254">
        <f t="shared" si="0"/>
        <v>383.68513080153707</v>
      </c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7"/>
    </row>
    <row r="63" spans="1:17">
      <c r="A63" s="108"/>
      <c r="B63" s="108"/>
      <c r="C63" s="113"/>
      <c r="D63" s="107"/>
      <c r="E63" s="107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7"/>
    </row>
    <row r="64" spans="1:17">
      <c r="A64" s="104" t="s">
        <v>346</v>
      </c>
      <c r="B64" s="108"/>
      <c r="C64" s="113"/>
      <c r="D64" s="107"/>
      <c r="E64" s="107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7"/>
    </row>
    <row r="65" spans="1:23">
      <c r="A65" s="257" t="s">
        <v>279</v>
      </c>
      <c r="B65" s="257" t="s">
        <v>107</v>
      </c>
      <c r="C65" s="254">
        <f>'Company Price Out Rates Compare'!I144</f>
        <v>136</v>
      </c>
      <c r="D65" s="254">
        <f>'Company Price Out Rates Compare'!T143</f>
        <v>1.547521800256181</v>
      </c>
      <c r="E65" s="254">
        <f t="shared" si="0"/>
        <v>137.54752180025619</v>
      </c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7"/>
    </row>
    <row r="66" spans="1:23">
      <c r="A66" s="257" t="s">
        <v>280</v>
      </c>
      <c r="B66" s="257" t="s">
        <v>107</v>
      </c>
      <c r="C66" s="254">
        <f>'Company Price Out Rates Compare'!I155</f>
        <v>208.6</v>
      </c>
      <c r="D66" s="254">
        <f>'Company Price Out Rates Compare'!T155</f>
        <v>4.4214908578748027</v>
      </c>
      <c r="E66" s="254">
        <f t="shared" si="0"/>
        <v>213.0214908578748</v>
      </c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7"/>
    </row>
    <row r="67" spans="1:23">
      <c r="A67" s="257" t="s">
        <v>281</v>
      </c>
      <c r="B67" s="257" t="s">
        <v>107</v>
      </c>
      <c r="C67" s="254">
        <f>'Company Price Out Rates Compare'!I164</f>
        <v>265.77999999999997</v>
      </c>
      <c r="D67" s="254">
        <f>'Company Price Out Rates Compare'!T164</f>
        <v>6.6322362868122049</v>
      </c>
      <c r="E67" s="254">
        <f t="shared" si="0"/>
        <v>272.41223628681217</v>
      </c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7"/>
    </row>
    <row r="68" spans="1:23">
      <c r="A68" s="257" t="s">
        <v>282</v>
      </c>
      <c r="B68" s="257" t="s">
        <v>107</v>
      </c>
      <c r="C68" s="254">
        <f>'Company Price Out Rates Compare'!I172</f>
        <v>322.85000000000002</v>
      </c>
      <c r="D68" s="254">
        <f>'Company Price Out Rates Compare'!T172</f>
        <v>8.8429817157496053</v>
      </c>
      <c r="E68" s="254">
        <f t="shared" si="0"/>
        <v>331.69298171574962</v>
      </c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7"/>
    </row>
    <row r="69" spans="1:23">
      <c r="A69" s="257" t="s">
        <v>283</v>
      </c>
      <c r="B69" s="257" t="s">
        <v>107</v>
      </c>
      <c r="C69" s="254">
        <f>'Company Price Out Rates Compare'!I181</f>
        <v>379.78</v>
      </c>
      <c r="D69" s="254">
        <f>'Company Price Out Rates Compare'!T181</f>
        <v>11.053727144687008</v>
      </c>
      <c r="E69" s="254">
        <f t="shared" si="0"/>
        <v>390.83372714468697</v>
      </c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7"/>
    </row>
    <row r="70" spans="1:23">
      <c r="A70" s="257" t="s">
        <v>284</v>
      </c>
      <c r="B70" s="257" t="s">
        <v>107</v>
      </c>
      <c r="C70" s="254">
        <f>'Company Price Out Rates Compare'!I183</f>
        <v>436.16</v>
      </c>
      <c r="D70" s="254">
        <f>'Company Price Out Rates Compare'!T183</f>
        <v>13.26447257362441</v>
      </c>
      <c r="E70" s="254">
        <f t="shared" si="0"/>
        <v>449.42447257362443</v>
      </c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7"/>
    </row>
    <row r="71" spans="1:23">
      <c r="A71" s="108"/>
      <c r="B71" s="108"/>
      <c r="C71" s="113"/>
      <c r="D71" s="107"/>
      <c r="E71" s="107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7"/>
    </row>
    <row r="72" spans="1:23">
      <c r="A72" s="108"/>
      <c r="B72" s="108"/>
      <c r="C72" s="113"/>
      <c r="D72" s="107"/>
      <c r="E72" s="107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7"/>
    </row>
    <row r="73" spans="1:23">
      <c r="A73" s="104" t="s">
        <v>347</v>
      </c>
      <c r="B73" s="108"/>
      <c r="C73" s="113"/>
      <c r="D73" s="107"/>
      <c r="E73" s="107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7"/>
    </row>
    <row r="74" spans="1:23">
      <c r="A74" s="131" t="s">
        <v>150</v>
      </c>
      <c r="B74" s="108" t="s">
        <v>107</v>
      </c>
      <c r="C74" s="113">
        <f>'Company Price Out Rates Compare'!I42</f>
        <v>3.93</v>
      </c>
      <c r="D74" s="107">
        <f>'Company Price Out Rates Compare'!T42</f>
        <v>6.9859555554421887E-2</v>
      </c>
      <c r="E74" s="107">
        <f t="shared" ref="E74:E123" si="1">C74+D74</f>
        <v>3.9998595555544219</v>
      </c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113"/>
      <c r="S74" s="113"/>
      <c r="T74" s="113"/>
      <c r="U74" s="113"/>
      <c r="V74" s="113"/>
      <c r="W74" s="113"/>
    </row>
    <row r="75" spans="1:23">
      <c r="A75" s="256" t="s">
        <v>273</v>
      </c>
      <c r="B75" s="257" t="s">
        <v>107</v>
      </c>
      <c r="C75" s="254">
        <f>'Company Price Out Rates Compare'!I44</f>
        <v>6.41</v>
      </c>
      <c r="D75" s="254">
        <f>'Company Price Out Rates Compare'!T44</f>
        <v>0.13971911110884377</v>
      </c>
      <c r="E75" s="254">
        <f t="shared" si="1"/>
        <v>6.5497191111088435</v>
      </c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113"/>
      <c r="S75" s="113"/>
      <c r="T75" s="113"/>
      <c r="U75" s="113"/>
      <c r="V75" s="113"/>
      <c r="W75" s="113"/>
    </row>
    <row r="76" spans="1:23">
      <c r="A76" s="256" t="s">
        <v>151</v>
      </c>
      <c r="B76" s="257" t="s">
        <v>107</v>
      </c>
      <c r="C76" s="254">
        <f>'Company Price Out Rates Compare'!I46</f>
        <v>9.59</v>
      </c>
      <c r="D76" s="254">
        <f>'Company Price Out Rates Compare'!T46</f>
        <v>0.20957866666326563</v>
      </c>
      <c r="E76" s="254">
        <f t="shared" si="1"/>
        <v>9.7995786666632654</v>
      </c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113"/>
      <c r="S76" s="113"/>
      <c r="T76" s="113"/>
      <c r="U76" s="113"/>
      <c r="V76" s="113"/>
      <c r="W76" s="113"/>
    </row>
    <row r="77" spans="1:23">
      <c r="A77" s="131" t="s">
        <v>152</v>
      </c>
      <c r="B77" s="108" t="s">
        <v>107</v>
      </c>
      <c r="C77" s="113">
        <f>'Company Price Out Rates Compare'!I53</f>
        <v>20.440000000000001</v>
      </c>
      <c r="D77" s="107">
        <f>'Company Price Out Rates Compare'!T53</f>
        <v>0.4421490857874803</v>
      </c>
      <c r="E77" s="107">
        <f t="shared" si="1"/>
        <v>20.882149085787482</v>
      </c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113"/>
      <c r="S77" s="113"/>
      <c r="T77" s="113"/>
      <c r="U77" s="113"/>
      <c r="V77" s="113"/>
      <c r="W77" s="113"/>
    </row>
    <row r="78" spans="1:23">
      <c r="A78" s="131" t="s">
        <v>153</v>
      </c>
      <c r="B78" s="108" t="s">
        <v>107</v>
      </c>
      <c r="C78" s="113">
        <f>'Company Price Out Rates Compare'!I57</f>
        <v>27.48</v>
      </c>
      <c r="D78" s="107">
        <f>'Company Price Out Rates Compare'!T57</f>
        <v>0.66322362868122042</v>
      </c>
      <c r="E78" s="107">
        <f t="shared" si="1"/>
        <v>28.14322362868122</v>
      </c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113"/>
      <c r="S78" s="113"/>
      <c r="T78" s="113"/>
      <c r="U78" s="113"/>
      <c r="V78" s="113"/>
      <c r="W78" s="113"/>
    </row>
    <row r="79" spans="1:23">
      <c r="A79" s="131" t="s">
        <v>154</v>
      </c>
      <c r="B79" s="108" t="s">
        <v>107</v>
      </c>
      <c r="C79" s="113">
        <f>'Company Price Out Rates Compare'!I67</f>
        <v>38.130000000000003</v>
      </c>
      <c r="D79" s="107">
        <f>'Company Price Out Rates Compare'!T67</f>
        <v>0.8842981715749606</v>
      </c>
      <c r="E79" s="107">
        <f t="shared" si="1"/>
        <v>39.014298171574964</v>
      </c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113"/>
      <c r="S79" s="113"/>
      <c r="T79" s="113"/>
      <c r="U79" s="113"/>
      <c r="V79" s="113"/>
      <c r="W79" s="113"/>
    </row>
    <row r="80" spans="1:23">
      <c r="A80" s="131" t="s">
        <v>155</v>
      </c>
      <c r="B80" s="108" t="s">
        <v>107</v>
      </c>
      <c r="C80" s="113">
        <f>'Company Price Out Rates Compare'!I78</f>
        <v>54.17</v>
      </c>
      <c r="D80" s="107">
        <f>'Company Price Out Rates Compare'!T78</f>
        <v>1.3264472573624408</v>
      </c>
      <c r="E80" s="107">
        <f t="shared" si="1"/>
        <v>55.496447257362441</v>
      </c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113"/>
      <c r="S80" s="113"/>
      <c r="T80" s="113"/>
      <c r="U80" s="113"/>
      <c r="V80" s="113"/>
      <c r="W80" s="113"/>
    </row>
    <row r="81" spans="1:23">
      <c r="A81" s="131" t="s">
        <v>156</v>
      </c>
      <c r="B81" s="108" t="s">
        <v>107</v>
      </c>
      <c r="C81" s="113">
        <f>'Company Price Out Rates Compare'!I88</f>
        <v>67.62</v>
      </c>
      <c r="D81" s="107">
        <f>'Company Price Out Rates Compare'!T88</f>
        <v>1.7685963431499212</v>
      </c>
      <c r="E81" s="107">
        <f t="shared" si="1"/>
        <v>69.388596343149928</v>
      </c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113"/>
      <c r="S81" s="113"/>
      <c r="T81" s="113"/>
      <c r="U81" s="113"/>
      <c r="V81" s="113"/>
      <c r="W81" s="113"/>
    </row>
    <row r="82" spans="1:23">
      <c r="A82" s="131" t="s">
        <v>157</v>
      </c>
      <c r="B82" s="108" t="s">
        <v>107</v>
      </c>
      <c r="C82" s="113">
        <f>'Company Price Out Rates Compare'!I104</f>
        <v>100.52</v>
      </c>
      <c r="D82" s="107">
        <f>'Company Price Out Rates Compare'!T104</f>
        <v>2.6528945147248817</v>
      </c>
      <c r="E82" s="107">
        <f t="shared" si="1"/>
        <v>103.17289451472487</v>
      </c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113"/>
      <c r="S82" s="113"/>
      <c r="T82" s="113"/>
      <c r="U82" s="113"/>
      <c r="V82" s="113"/>
      <c r="W82" s="113"/>
    </row>
    <row r="83" spans="1:23">
      <c r="A83" s="131" t="s">
        <v>158</v>
      </c>
      <c r="B83" s="108" t="s">
        <v>107</v>
      </c>
      <c r="C83" s="113">
        <f>'Company Price Out Rates Compare'!I111</f>
        <v>126.58</v>
      </c>
      <c r="D83" s="107">
        <f>'Company Price Out Rates Compare'!T111</f>
        <v>3.5371926862998424</v>
      </c>
      <c r="E83" s="107">
        <f t="shared" si="1"/>
        <v>130.11719268629983</v>
      </c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113"/>
      <c r="S83" s="113"/>
      <c r="T83" s="113"/>
      <c r="U83" s="113"/>
      <c r="V83" s="113"/>
      <c r="W83" s="113"/>
    </row>
    <row r="84" spans="1:23">
      <c r="A84" s="131" t="s">
        <v>32</v>
      </c>
      <c r="B84" s="108" t="s">
        <v>107</v>
      </c>
      <c r="C84" s="113">
        <v>14.32</v>
      </c>
      <c r="D84" s="107">
        <f>'Company Price Out Rates Compare'!T118</f>
        <v>0.4421490857874803</v>
      </c>
      <c r="E84" s="293">
        <f t="shared" si="1"/>
        <v>14.762149085787481</v>
      </c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7"/>
    </row>
    <row r="85" spans="1:23">
      <c r="A85" s="256" t="s">
        <v>286</v>
      </c>
      <c r="B85" s="257" t="s">
        <v>107</v>
      </c>
      <c r="C85" s="254">
        <f>'Company Price Out Rates Compare'!I43</f>
        <v>8.61</v>
      </c>
      <c r="D85" s="254">
        <f>'Company Price Out Rates Compare'!T43</f>
        <v>6.9859555554421887E-2</v>
      </c>
      <c r="E85" s="254">
        <f t="shared" si="1"/>
        <v>8.6798595555544207</v>
      </c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7"/>
    </row>
    <row r="86" spans="1:23">
      <c r="A86" s="256" t="s">
        <v>275</v>
      </c>
      <c r="B86" s="257" t="s">
        <v>107</v>
      </c>
      <c r="C86" s="254">
        <f>'Company Price Out Rates Compare'!I45</f>
        <v>9.8000000000000007</v>
      </c>
      <c r="D86" s="254">
        <f>'Company Price Out Rates Compare'!T47</f>
        <v>0.20957866666326563</v>
      </c>
      <c r="E86" s="254">
        <f t="shared" si="1"/>
        <v>10.009578666663266</v>
      </c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7"/>
    </row>
    <row r="87" spans="1:23">
      <c r="A87" s="256" t="s">
        <v>287</v>
      </c>
      <c r="B87" s="257" t="s">
        <v>107</v>
      </c>
      <c r="C87" s="254">
        <f>'Company Price Out Rates Compare'!I47</f>
        <v>12.04</v>
      </c>
      <c r="D87" s="254">
        <f>'Company Price Out Rates Compare'!T47</f>
        <v>0.20957866666326563</v>
      </c>
      <c r="E87" s="254">
        <f t="shared" si="1"/>
        <v>12.249578666663265</v>
      </c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7"/>
    </row>
    <row r="88" spans="1:23">
      <c r="A88" s="108" t="s">
        <v>250</v>
      </c>
      <c r="B88" s="108" t="s">
        <v>107</v>
      </c>
      <c r="C88" s="113">
        <f>'Company Price Out Rates Compare'!I54</f>
        <v>21.94</v>
      </c>
      <c r="D88" s="107">
        <f>'Company Price Out Rates Compare'!T54</f>
        <v>0.4421490857874803</v>
      </c>
      <c r="E88" s="107">
        <f t="shared" si="1"/>
        <v>22.382149085787482</v>
      </c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7"/>
    </row>
    <row r="89" spans="1:23">
      <c r="A89" s="256" t="s">
        <v>278</v>
      </c>
      <c r="B89" s="257" t="s">
        <v>107</v>
      </c>
      <c r="C89" s="254">
        <f>'Company Price Out Rates Compare'!I60</f>
        <v>28.91</v>
      </c>
      <c r="D89" s="254">
        <f>'Company Price Out Rates Compare'!T60</f>
        <v>0.66322362868122042</v>
      </c>
      <c r="E89" s="254">
        <f t="shared" si="1"/>
        <v>29.57322362868122</v>
      </c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7"/>
    </row>
    <row r="90" spans="1:23">
      <c r="A90" s="108" t="s">
        <v>251</v>
      </c>
      <c r="B90" s="108" t="s">
        <v>107</v>
      </c>
      <c r="C90" s="113">
        <f>'Company Price Out Rates Compare'!I71</f>
        <v>41.58</v>
      </c>
      <c r="D90" s="107">
        <f>'Company Price Out Rates Compare'!T71</f>
        <v>4.642565400768544</v>
      </c>
      <c r="E90" s="107">
        <f t="shared" si="1"/>
        <v>46.222565400768545</v>
      </c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7"/>
    </row>
    <row r="91" spans="1:23">
      <c r="A91" s="108" t="s">
        <v>252</v>
      </c>
      <c r="B91" s="108" t="s">
        <v>107</v>
      </c>
      <c r="C91" s="113">
        <f>'Company Price Out Rates Compare'!I81</f>
        <v>57.52</v>
      </c>
      <c r="D91" s="107">
        <f>'Company Price Out Rates Compare'!T81</f>
        <v>1.3264472573624408</v>
      </c>
      <c r="E91" s="107">
        <f t="shared" si="1"/>
        <v>58.846447257362442</v>
      </c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7"/>
    </row>
    <row r="92" spans="1:23">
      <c r="A92" s="108" t="s">
        <v>253</v>
      </c>
      <c r="B92" s="108" t="s">
        <v>107</v>
      </c>
      <c r="C92" s="113">
        <f>'Company Price Out Rates Compare'!I93</f>
        <v>70.790000000000006</v>
      </c>
      <c r="D92" s="107">
        <f>'Company Price Out Rates Compare'!T93</f>
        <v>1.7685963431499212</v>
      </c>
      <c r="E92" s="107">
        <f t="shared" si="1"/>
        <v>72.558596343149929</v>
      </c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7"/>
    </row>
    <row r="93" spans="1:23">
      <c r="A93" s="108" t="s">
        <v>254</v>
      </c>
      <c r="B93" s="108" t="s">
        <v>107</v>
      </c>
      <c r="C93" s="113">
        <f>'Company Price Out Rates Compare'!I108</f>
        <v>106.33</v>
      </c>
      <c r="D93" s="107">
        <f>'Company Price Out Rates Compare'!T108</f>
        <v>2.6528945147248817</v>
      </c>
      <c r="E93" s="107">
        <f t="shared" si="1"/>
        <v>108.98289451472488</v>
      </c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7"/>
    </row>
    <row r="94" spans="1:23" s="25" customFormat="1">
      <c r="A94" s="115" t="s">
        <v>255</v>
      </c>
      <c r="B94" s="115" t="s">
        <v>107</v>
      </c>
      <c r="C94" s="113">
        <f>'Company Price Out Rates Compare'!I116</f>
        <v>129.21</v>
      </c>
      <c r="D94" s="107">
        <f>'Company Price Out Rates Compare'!T116</f>
        <v>3.5371926862998424</v>
      </c>
      <c r="E94" s="107">
        <f t="shared" si="1"/>
        <v>132.74719268629985</v>
      </c>
      <c r="F94" s="295"/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8"/>
    </row>
    <row r="95" spans="1:23">
      <c r="A95" s="108"/>
      <c r="B95" s="108"/>
      <c r="D95" s="107"/>
      <c r="E95" s="107"/>
      <c r="F95" s="285"/>
      <c r="G95" s="285"/>
      <c r="H95" s="285"/>
      <c r="I95" s="285"/>
      <c r="J95" s="285"/>
      <c r="K95" s="285"/>
      <c r="L95" s="285"/>
      <c r="M95" s="285"/>
      <c r="N95" s="285"/>
      <c r="O95" s="285"/>
      <c r="P95" s="285"/>
      <c r="Q95" s="297"/>
    </row>
    <row r="96" spans="1:23">
      <c r="A96" s="245" t="s">
        <v>348</v>
      </c>
      <c r="B96" s="114"/>
      <c r="C96" s="113"/>
      <c r="D96" s="107"/>
      <c r="E96" s="107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7"/>
    </row>
    <row r="97" spans="1:20">
      <c r="A97" s="108" t="s">
        <v>150</v>
      </c>
      <c r="B97" s="115" t="s">
        <v>107</v>
      </c>
      <c r="C97" s="113">
        <f>'Company Price Out Rates Compare'!I42</f>
        <v>3.93</v>
      </c>
      <c r="D97" s="107">
        <f>'Company Price Out Rates Compare'!T42</f>
        <v>6.9859555554421887E-2</v>
      </c>
      <c r="E97" s="107">
        <f t="shared" si="1"/>
        <v>3.9998595555544219</v>
      </c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113"/>
      <c r="S97" s="113"/>
      <c r="T97" s="113"/>
    </row>
    <row r="98" spans="1:20">
      <c r="A98" s="256" t="s">
        <v>273</v>
      </c>
      <c r="B98" s="257" t="s">
        <v>107</v>
      </c>
      <c r="C98" s="254">
        <f>'Company Price Out Rates Compare'!I44</f>
        <v>6.41</v>
      </c>
      <c r="D98" s="254">
        <f>'Company Price Out Rates Compare'!T45</f>
        <v>0.13971911110884377</v>
      </c>
      <c r="E98" s="254">
        <f t="shared" si="1"/>
        <v>6.5497191111088435</v>
      </c>
      <c r="F98" s="295"/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113"/>
      <c r="S98" s="113"/>
      <c r="T98" s="113"/>
    </row>
    <row r="99" spans="1:20">
      <c r="A99" s="256" t="s">
        <v>151</v>
      </c>
      <c r="B99" s="257" t="s">
        <v>107</v>
      </c>
      <c r="C99" s="254">
        <f>'Company Price Out Rates Compare'!I46</f>
        <v>9.59</v>
      </c>
      <c r="D99" s="254">
        <f>'Company Price Out Rates Compare'!T46</f>
        <v>0.20957866666326563</v>
      </c>
      <c r="E99" s="254">
        <f t="shared" si="1"/>
        <v>9.7995786666632654</v>
      </c>
      <c r="F99" s="295"/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113"/>
      <c r="S99" s="113"/>
      <c r="T99" s="113"/>
    </row>
    <row r="100" spans="1:20">
      <c r="A100" s="104"/>
      <c r="B100" s="108"/>
      <c r="C100" s="113"/>
      <c r="D100" s="107"/>
      <c r="E100" s="107">
        <f t="shared" si="1"/>
        <v>0</v>
      </c>
      <c r="F100" s="295"/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7"/>
    </row>
    <row r="101" spans="1:20">
      <c r="A101" s="256" t="s">
        <v>286</v>
      </c>
      <c r="B101" s="257" t="s">
        <v>107</v>
      </c>
      <c r="C101" s="254">
        <f>'Company Price Out Rates Compare'!I43</f>
        <v>8.61</v>
      </c>
      <c r="D101" s="254">
        <f>'Company Price Out Rates Compare'!T43</f>
        <v>6.9859555554421887E-2</v>
      </c>
      <c r="E101" s="254">
        <f t="shared" si="1"/>
        <v>8.6798595555544207</v>
      </c>
      <c r="F101" s="295"/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7"/>
    </row>
    <row r="102" spans="1:20">
      <c r="A102" s="256" t="s">
        <v>275</v>
      </c>
      <c r="B102" s="257" t="s">
        <v>107</v>
      </c>
      <c r="C102" s="254">
        <f>'Company Price Out Rates Compare'!I45</f>
        <v>9.8000000000000007</v>
      </c>
      <c r="D102" s="254">
        <f>'Company Price Out Rates Compare'!T45</f>
        <v>0.13971911110884377</v>
      </c>
      <c r="E102" s="254">
        <f t="shared" si="1"/>
        <v>9.939719111108845</v>
      </c>
      <c r="F102" s="295"/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7"/>
    </row>
    <row r="103" spans="1:20">
      <c r="A103" s="256" t="s">
        <v>287</v>
      </c>
      <c r="B103" s="257" t="s">
        <v>107</v>
      </c>
      <c r="C103" s="254">
        <f>'Company Price Out Rates Compare'!I47</f>
        <v>12.04</v>
      </c>
      <c r="D103" s="254">
        <f>'Company Price Out Rates Compare'!T47</f>
        <v>0.20957866666326563</v>
      </c>
      <c r="E103" s="254">
        <f t="shared" si="1"/>
        <v>12.249578666663265</v>
      </c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7"/>
    </row>
    <row r="104" spans="1:20">
      <c r="A104" s="104"/>
      <c r="B104" s="108"/>
      <c r="C104" s="113"/>
      <c r="D104" s="107"/>
      <c r="E104" s="107"/>
      <c r="F104" s="295"/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7"/>
    </row>
    <row r="105" spans="1:20">
      <c r="A105" s="104" t="s">
        <v>350</v>
      </c>
      <c r="B105" s="108"/>
      <c r="C105" s="113"/>
      <c r="D105" s="107"/>
      <c r="E105" s="107"/>
      <c r="F105" s="295"/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7"/>
    </row>
    <row r="106" spans="1:20">
      <c r="A106" s="257" t="s">
        <v>279</v>
      </c>
      <c r="B106" s="257" t="s">
        <v>107</v>
      </c>
      <c r="C106" s="254">
        <f>'Company Price Out Rates Compare'!I48</f>
        <v>116.39</v>
      </c>
      <c r="D106" s="254">
        <f>'Company Price Out Rates Compare'!T48</f>
        <v>1.547521800256181</v>
      </c>
      <c r="E106" s="254">
        <f t="shared" si="1"/>
        <v>117.93752180025618</v>
      </c>
      <c r="F106" s="295"/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113"/>
    </row>
    <row r="107" spans="1:20">
      <c r="A107" s="257" t="s">
        <v>280</v>
      </c>
      <c r="B107" s="257" t="s">
        <v>107</v>
      </c>
      <c r="C107" s="254">
        <f>'Company Price Out Rates Compare'!I62</f>
        <v>161.31</v>
      </c>
      <c r="D107" s="254">
        <f>'Company Price Out Rates Compare'!T62</f>
        <v>3.095043600512362</v>
      </c>
      <c r="E107" s="254">
        <f t="shared" si="1"/>
        <v>164.40504360051236</v>
      </c>
      <c r="F107" s="295"/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113"/>
    </row>
    <row r="108" spans="1:20">
      <c r="A108" s="257" t="s">
        <v>281</v>
      </c>
      <c r="B108" s="257" t="s">
        <v>107</v>
      </c>
      <c r="C108" s="254">
        <f>'Company Price Out Rates Compare'!I73</f>
        <v>198.05</v>
      </c>
      <c r="D108" s="254">
        <f>'Company Price Out Rates Compare'!T73</f>
        <v>4.642565400768544</v>
      </c>
      <c r="E108" s="254">
        <f t="shared" si="1"/>
        <v>202.69256540076856</v>
      </c>
      <c r="F108" s="295"/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113"/>
    </row>
    <row r="109" spans="1:20">
      <c r="A109" s="257" t="s">
        <v>282</v>
      </c>
      <c r="B109" s="257" t="s">
        <v>107</v>
      </c>
      <c r="C109" s="254">
        <f>'Company Price Out Rates Compare'!I83</f>
        <v>232.16</v>
      </c>
      <c r="D109" s="254">
        <f>'Company Price Out Rates Compare'!T83</f>
        <v>6.1900872010247241</v>
      </c>
      <c r="E109" s="254">
        <f t="shared" si="1"/>
        <v>238.35008720102473</v>
      </c>
      <c r="F109" s="295"/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113"/>
    </row>
    <row r="110" spans="1:20">
      <c r="A110" s="257" t="s">
        <v>283</v>
      </c>
      <c r="B110" s="257" t="s">
        <v>107</v>
      </c>
      <c r="C110" s="254">
        <f>'Company Price Out Rates Compare'!I95</f>
        <v>266.70999999999998</v>
      </c>
      <c r="D110" s="254">
        <f>'Company Price Out Rates Compare'!T95</f>
        <v>7.7376090012809051</v>
      </c>
      <c r="E110" s="254">
        <f t="shared" si="1"/>
        <v>274.44760900128091</v>
      </c>
      <c r="F110" s="295"/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113"/>
    </row>
    <row r="111" spans="1:20">
      <c r="A111" s="257" t="s">
        <v>284</v>
      </c>
      <c r="B111" s="257" t="s">
        <v>107</v>
      </c>
      <c r="C111" s="254">
        <f>'Company Price Out Rates Compare'!I99</f>
        <v>337.97</v>
      </c>
      <c r="D111" s="254">
        <f>'Company Price Out Rates Compare'!T99</f>
        <v>9.2851308015370879</v>
      </c>
      <c r="E111" s="254">
        <f t="shared" si="1"/>
        <v>347.25513080153712</v>
      </c>
      <c r="F111" s="295"/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113"/>
    </row>
    <row r="112" spans="1:20">
      <c r="A112" s="257"/>
      <c r="B112" s="257"/>
      <c r="C112" s="254"/>
      <c r="D112" s="254"/>
      <c r="E112" s="254">
        <f t="shared" si="1"/>
        <v>0</v>
      </c>
      <c r="F112" s="295"/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113"/>
    </row>
    <row r="113" spans="1:18">
      <c r="A113" s="257" t="s">
        <v>328</v>
      </c>
      <c r="B113" s="257" t="s">
        <v>107</v>
      </c>
      <c r="C113" s="254">
        <f>'Company Price Out Rates Compare'!I49</f>
        <v>116.39</v>
      </c>
      <c r="D113" s="254">
        <f>'Company Price Out Rates Compare'!T54</f>
        <v>0.4421490857874803</v>
      </c>
      <c r="E113" s="254">
        <f t="shared" si="1"/>
        <v>116.83214908578748</v>
      </c>
      <c r="F113" s="295"/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113"/>
    </row>
    <row r="114" spans="1:18">
      <c r="A114" s="257" t="s">
        <v>329</v>
      </c>
      <c r="B114" s="257" t="s">
        <v>107</v>
      </c>
      <c r="C114" s="254">
        <f>'Company Price Out Rates Compare'!I63</f>
        <v>161.31</v>
      </c>
      <c r="D114" s="254">
        <f>'Company Price Out Rates Compare'!T71</f>
        <v>4.642565400768544</v>
      </c>
      <c r="E114" s="254">
        <f t="shared" si="1"/>
        <v>165.95256540076855</v>
      </c>
      <c r="F114" s="295"/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113"/>
    </row>
    <row r="115" spans="1:18">
      <c r="A115" s="257" t="s">
        <v>330</v>
      </c>
      <c r="B115" s="257" t="s">
        <v>107</v>
      </c>
      <c r="C115" s="254">
        <f>'Company Price Out Rates Compare'!I74</f>
        <v>198.05</v>
      </c>
      <c r="D115" s="254">
        <f>'Company Price Out Rates Compare'!T81</f>
        <v>1.3264472573624408</v>
      </c>
      <c r="E115" s="254">
        <f t="shared" si="1"/>
        <v>199.37644725736246</v>
      </c>
      <c r="F115" s="295"/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113"/>
    </row>
    <row r="116" spans="1:18">
      <c r="A116" s="257" t="s">
        <v>331</v>
      </c>
      <c r="B116" s="257" t="s">
        <v>107</v>
      </c>
      <c r="C116" s="254">
        <f>'Company Price Out Rates Compare'!I84</f>
        <v>232.16</v>
      </c>
      <c r="D116" s="254">
        <f>'Company Price Out Rates Compare'!T93</f>
        <v>1.7685963431499212</v>
      </c>
      <c r="E116" s="254">
        <f t="shared" si="1"/>
        <v>233.92859634314991</v>
      </c>
      <c r="F116" s="295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113"/>
    </row>
    <row r="117" spans="1:18">
      <c r="A117" s="257" t="s">
        <v>332</v>
      </c>
      <c r="B117" s="257" t="s">
        <v>107</v>
      </c>
      <c r="C117" s="254">
        <f>'Company Price Out Rates Compare'!I96</f>
        <v>266.70999999999998</v>
      </c>
      <c r="D117" s="254">
        <f>'Company Price Out Rates Compare'!T96</f>
        <v>7.7376090012809051</v>
      </c>
      <c r="E117" s="254">
        <f t="shared" si="1"/>
        <v>274.44760900128091</v>
      </c>
      <c r="F117" s="295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113"/>
    </row>
    <row r="118" spans="1:18">
      <c r="A118" s="257" t="s">
        <v>333</v>
      </c>
      <c r="B118" s="257" t="s">
        <v>107</v>
      </c>
      <c r="C118" s="254">
        <f>'Company Price Out Rates Compare'!I100</f>
        <v>337.97</v>
      </c>
      <c r="D118" s="254">
        <f>'Company Price Out Rates Compare'!T108</f>
        <v>2.6528945147248817</v>
      </c>
      <c r="E118" s="254">
        <f t="shared" si="1"/>
        <v>340.62289451472492</v>
      </c>
      <c r="F118" s="295"/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113"/>
    </row>
    <row r="119" spans="1:18">
      <c r="E119" s="107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97"/>
    </row>
    <row r="120" spans="1:18">
      <c r="A120" s="104" t="s">
        <v>349</v>
      </c>
      <c r="B120" s="108"/>
      <c r="C120" s="113"/>
      <c r="D120" s="107"/>
      <c r="E120" s="107"/>
      <c r="F120" s="295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7"/>
    </row>
    <row r="121" spans="1:18">
      <c r="A121" s="257" t="s">
        <v>279</v>
      </c>
      <c r="B121" s="257" t="s">
        <v>107</v>
      </c>
      <c r="C121" s="254">
        <f>'Company Price Out Rates Compare'!I50</f>
        <v>127.32</v>
      </c>
      <c r="D121" s="254">
        <f>'Company Price Out Rates Compare'!T48</f>
        <v>1.547521800256181</v>
      </c>
      <c r="E121" s="254">
        <f t="shared" si="1"/>
        <v>128.86752180025618</v>
      </c>
      <c r="F121" s="295"/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7"/>
    </row>
    <row r="122" spans="1:18">
      <c r="A122" s="257" t="s">
        <v>280</v>
      </c>
      <c r="B122" s="257" t="s">
        <v>107</v>
      </c>
      <c r="C122" s="254">
        <f>'Company Price Out Rates Compare'!I64</f>
        <v>191.25</v>
      </c>
      <c r="D122" s="254">
        <f>'Company Price Out Rates Compare'!T62</f>
        <v>3.095043600512362</v>
      </c>
      <c r="E122" s="254">
        <f t="shared" si="1"/>
        <v>194.34504360051235</v>
      </c>
      <c r="F122" s="295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</row>
    <row r="123" spans="1:18">
      <c r="A123" s="257" t="s">
        <v>281</v>
      </c>
      <c r="B123" s="257" t="s">
        <v>107</v>
      </c>
      <c r="C123" s="254">
        <f>'Company Price Out Rates Compare'!I75</f>
        <v>239.76</v>
      </c>
      <c r="D123" s="254">
        <f>'Company Price Out Rates Compare'!T73</f>
        <v>4.642565400768544</v>
      </c>
      <c r="E123" s="254">
        <f t="shared" si="1"/>
        <v>244.40256540076854</v>
      </c>
      <c r="F123" s="295"/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</row>
    <row r="124" spans="1:18">
      <c r="A124" s="257" t="s">
        <v>282</v>
      </c>
      <c r="B124" s="257" t="s">
        <v>107</v>
      </c>
      <c r="C124" s="254">
        <f>'Company Price Out Rates Compare'!I85</f>
        <v>288.16000000000003</v>
      </c>
      <c r="D124" s="254">
        <f>'Company Price Out Rates Compare'!T83</f>
        <v>6.1900872010247241</v>
      </c>
      <c r="E124" s="254">
        <f t="shared" ref="E124:E133" si="2">C124+D124</f>
        <v>294.35008720102473</v>
      </c>
      <c r="F124" s="295"/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</row>
    <row r="125" spans="1:18">
      <c r="A125" s="257" t="s">
        <v>283</v>
      </c>
      <c r="B125" s="257" t="s">
        <v>107</v>
      </c>
      <c r="C125" s="254">
        <f>'Company Price Out Rates Compare'!I97</f>
        <v>336.4</v>
      </c>
      <c r="D125" s="254">
        <f>'Company Price Out Rates Compare'!T95</f>
        <v>7.7376090012809051</v>
      </c>
      <c r="E125" s="254">
        <f t="shared" si="2"/>
        <v>344.13760900128091</v>
      </c>
      <c r="F125" s="295"/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</row>
    <row r="126" spans="1:18">
      <c r="A126" s="257" t="s">
        <v>284</v>
      </c>
      <c r="B126" s="257" t="s">
        <v>107</v>
      </c>
      <c r="C126" s="254">
        <f>'Company Price Out Rates Compare'!I101</f>
        <v>384.11</v>
      </c>
      <c r="D126" s="254">
        <f>'Company Price Out Rates Compare'!T99</f>
        <v>9.2851308015370879</v>
      </c>
      <c r="E126" s="254">
        <f t="shared" si="2"/>
        <v>393.39513080153711</v>
      </c>
      <c r="F126" s="295"/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</row>
    <row r="127" spans="1:18">
      <c r="E127" s="107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97"/>
    </row>
    <row r="128" spans="1:18">
      <c r="A128" s="257" t="s">
        <v>328</v>
      </c>
      <c r="B128" s="257" t="s">
        <v>107</v>
      </c>
      <c r="C128" s="291">
        <f>'Company Price Out Rates Compare'!I51</f>
        <v>127.32</v>
      </c>
      <c r="D128" s="291">
        <f>'Company Price Out Rates Compare'!T54</f>
        <v>0.4421490857874803</v>
      </c>
      <c r="E128" s="254">
        <f t="shared" si="2"/>
        <v>127.76214908578747</v>
      </c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297"/>
    </row>
    <row r="129" spans="1:17">
      <c r="A129" s="257" t="s">
        <v>329</v>
      </c>
      <c r="B129" s="257" t="s">
        <v>107</v>
      </c>
      <c r="C129" s="291">
        <f>'Company Price Out Rates Compare'!I65</f>
        <v>191.25</v>
      </c>
      <c r="D129" s="291">
        <f>'Company Price Out Rates Compare'!T71</f>
        <v>4.642565400768544</v>
      </c>
      <c r="E129" s="254">
        <f t="shared" si="2"/>
        <v>195.89256540076855</v>
      </c>
      <c r="F129" s="285"/>
      <c r="G129" s="285"/>
      <c r="H129" s="285"/>
      <c r="I129" s="285"/>
      <c r="J129" s="285"/>
      <c r="K129" s="285"/>
      <c r="L129" s="285"/>
      <c r="M129" s="285"/>
      <c r="N129" s="285"/>
      <c r="O129" s="285"/>
      <c r="P129" s="285"/>
      <c r="Q129" s="297"/>
    </row>
    <row r="130" spans="1:17">
      <c r="A130" s="257" t="s">
        <v>330</v>
      </c>
      <c r="B130" s="257" t="s">
        <v>107</v>
      </c>
      <c r="C130" s="291">
        <f>'Company Price Out Rates Compare'!I76</f>
        <v>239.76</v>
      </c>
      <c r="D130" s="291">
        <f>'Company Price Out Rates Compare'!T81</f>
        <v>1.3264472573624408</v>
      </c>
      <c r="E130" s="254">
        <f t="shared" si="2"/>
        <v>241.08644725736244</v>
      </c>
      <c r="F130" s="285"/>
      <c r="G130" s="285"/>
      <c r="H130" s="285"/>
      <c r="I130" s="285"/>
      <c r="J130" s="285"/>
      <c r="K130" s="285"/>
      <c r="L130" s="285"/>
      <c r="M130" s="285"/>
      <c r="N130" s="285"/>
      <c r="O130" s="285"/>
      <c r="P130" s="285"/>
      <c r="Q130" s="297"/>
    </row>
    <row r="131" spans="1:17">
      <c r="A131" s="257" t="s">
        <v>331</v>
      </c>
      <c r="B131" s="257" t="s">
        <v>107</v>
      </c>
      <c r="C131" s="291">
        <f>'Company Price Out Rates Compare'!I86</f>
        <v>288.16000000000003</v>
      </c>
      <c r="D131" s="291">
        <f>'Company Price Out Rates Compare'!T84</f>
        <v>6.1900872010247241</v>
      </c>
      <c r="E131" s="254">
        <f t="shared" si="2"/>
        <v>294.35008720102473</v>
      </c>
      <c r="F131" s="285"/>
      <c r="G131" s="285"/>
      <c r="H131" s="285"/>
      <c r="I131" s="285"/>
      <c r="J131" s="285"/>
      <c r="K131" s="285"/>
      <c r="L131" s="285"/>
      <c r="M131" s="285"/>
      <c r="N131" s="285"/>
      <c r="O131" s="285"/>
      <c r="P131" s="285"/>
      <c r="Q131" s="297"/>
    </row>
    <row r="132" spans="1:17">
      <c r="A132" s="257" t="s">
        <v>332</v>
      </c>
      <c r="B132" s="257" t="s">
        <v>107</v>
      </c>
      <c r="C132" s="291">
        <f>'Company Price Out Rates Compare'!I98</f>
        <v>336.4</v>
      </c>
      <c r="D132" s="291">
        <f>'Company Price Out Rates Compare'!T100</f>
        <v>9.2851308015370879</v>
      </c>
      <c r="E132" s="254">
        <f t="shared" si="2"/>
        <v>345.68513080153707</v>
      </c>
      <c r="F132" s="285"/>
      <c r="G132" s="285"/>
      <c r="H132" s="285"/>
      <c r="I132" s="285"/>
      <c r="J132" s="285"/>
      <c r="K132" s="285"/>
      <c r="L132" s="285"/>
      <c r="M132" s="285"/>
      <c r="N132" s="285"/>
      <c r="O132" s="285"/>
      <c r="P132" s="285"/>
      <c r="Q132" s="297"/>
    </row>
    <row r="133" spans="1:17">
      <c r="A133" s="257" t="s">
        <v>333</v>
      </c>
      <c r="B133" s="257" t="s">
        <v>107</v>
      </c>
      <c r="C133" s="291">
        <f>'Company Price Out Rates Compare'!I102</f>
        <v>384.11</v>
      </c>
      <c r="D133" s="291">
        <f>'Company Price Out Rates Compare'!T108</f>
        <v>2.6528945147248817</v>
      </c>
      <c r="E133" s="254">
        <f t="shared" si="2"/>
        <v>386.76289451472491</v>
      </c>
      <c r="F133" s="285"/>
      <c r="G133" s="285"/>
      <c r="H133" s="285"/>
      <c r="I133" s="285"/>
      <c r="J133" s="285"/>
      <c r="K133" s="285"/>
      <c r="L133" s="285"/>
      <c r="M133" s="285"/>
      <c r="N133" s="285"/>
      <c r="O133" s="285"/>
      <c r="P133" s="285"/>
      <c r="Q133" s="297"/>
    </row>
  </sheetData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C327"/>
  <sheetViews>
    <sheetView topLeftCell="E103" workbookViewId="0">
      <selection activeCell="T118" sqref="T118"/>
    </sheetView>
  </sheetViews>
  <sheetFormatPr defaultRowHeight="11.25"/>
  <cols>
    <col min="1" max="1" width="21" style="146" bestFit="1" customWidth="1"/>
    <col min="2" max="2" width="5.5703125" style="146" customWidth="1"/>
    <col min="3" max="3" width="5.85546875" style="146" customWidth="1"/>
    <col min="4" max="4" width="4.7109375" style="146" customWidth="1"/>
    <col min="5" max="5" width="10.140625" style="146" customWidth="1"/>
    <col min="6" max="6" width="7.5703125" style="146" customWidth="1"/>
    <col min="7" max="7" width="4.85546875" style="146" customWidth="1"/>
    <col min="8" max="8" width="13" style="146" customWidth="1"/>
    <col min="9" max="9" width="8.28515625" style="146" customWidth="1"/>
    <col min="10" max="10" width="8.85546875" style="146" customWidth="1"/>
    <col min="11" max="11" width="10" style="146" customWidth="1"/>
    <col min="12" max="12" width="8" style="146" customWidth="1"/>
    <col min="13" max="13" width="5.7109375" style="147" customWidth="1"/>
    <col min="14" max="15" width="7.28515625" style="146" customWidth="1"/>
    <col min="16" max="16" width="5.28515625" style="146" customWidth="1"/>
    <col min="17" max="17" width="17.42578125" style="146" customWidth="1"/>
    <col min="18" max="18" width="7.5703125" style="146" customWidth="1"/>
    <col min="19" max="19" width="6.140625" style="146" customWidth="1"/>
    <col min="20" max="20" width="16.140625" style="146" customWidth="1"/>
    <col min="21" max="21" width="7.28515625" style="146" customWidth="1"/>
    <col min="22" max="22" width="14" style="146" bestFit="1" customWidth="1"/>
    <col min="23" max="24" width="11.7109375" style="146" bestFit="1" customWidth="1"/>
    <col min="25" max="25" width="11.42578125" style="146" bestFit="1" customWidth="1"/>
    <col min="26" max="26" width="1.85546875" style="146" customWidth="1"/>
    <col min="27" max="27" width="11.140625" style="146" bestFit="1" customWidth="1"/>
    <col min="28" max="28" width="9.42578125" style="202" bestFit="1" customWidth="1"/>
    <col min="29" max="29" width="9.42578125" style="148" bestFit="1" customWidth="1"/>
    <col min="30" max="256" width="8.85546875" style="148"/>
    <col min="257" max="257" width="21" style="148" bestFit="1" customWidth="1"/>
    <col min="258" max="258" width="4" style="148" bestFit="1" customWidth="1"/>
    <col min="259" max="259" width="4.85546875" style="148" customWidth="1"/>
    <col min="260" max="260" width="4.7109375" style="148" customWidth="1"/>
    <col min="261" max="261" width="8.140625" style="148" bestFit="1" customWidth="1"/>
    <col min="262" max="262" width="6.28515625" style="148" bestFit="1" customWidth="1"/>
    <col min="263" max="263" width="4.85546875" style="148" bestFit="1" customWidth="1"/>
    <col min="264" max="264" width="9.28515625" style="148" customWidth="1"/>
    <col min="265" max="266" width="7" style="148" bestFit="1" customWidth="1"/>
    <col min="267" max="267" width="8.140625" style="148" bestFit="1" customWidth="1"/>
    <col min="268" max="268" width="7.28515625" style="148" bestFit="1" customWidth="1"/>
    <col min="269" max="269" width="5.7109375" style="148" bestFit="1" customWidth="1"/>
    <col min="270" max="271" width="7.28515625" style="148" bestFit="1" customWidth="1"/>
    <col min="272" max="272" width="0" style="148" hidden="1" customWidth="1"/>
    <col min="273" max="273" width="17.42578125" style="148" bestFit="1" customWidth="1"/>
    <col min="274" max="274" width="7" style="148" bestFit="1" customWidth="1"/>
    <col min="275" max="275" width="6.140625" style="148" bestFit="1" customWidth="1"/>
    <col min="276" max="276" width="16.140625" style="148" bestFit="1" customWidth="1"/>
    <col min="277" max="277" width="6.42578125" style="148" bestFit="1" customWidth="1"/>
    <col min="278" max="278" width="14" style="148" bestFit="1" customWidth="1"/>
    <col min="279" max="280" width="11.7109375" style="148" bestFit="1" customWidth="1"/>
    <col min="281" max="281" width="11.42578125" style="148" bestFit="1" customWidth="1"/>
    <col min="282" max="282" width="1.85546875" style="148" customWidth="1"/>
    <col min="283" max="283" width="11.140625" style="148" bestFit="1" customWidth="1"/>
    <col min="284" max="285" width="9.42578125" style="148" bestFit="1" customWidth="1"/>
    <col min="286" max="512" width="8.85546875" style="148"/>
    <col min="513" max="513" width="21" style="148" bestFit="1" customWidth="1"/>
    <col min="514" max="514" width="4" style="148" bestFit="1" customWidth="1"/>
    <col min="515" max="515" width="4.85546875" style="148" customWidth="1"/>
    <col min="516" max="516" width="4.7109375" style="148" customWidth="1"/>
    <col min="517" max="517" width="8.140625" style="148" bestFit="1" customWidth="1"/>
    <col min="518" max="518" width="6.28515625" style="148" bestFit="1" customWidth="1"/>
    <col min="519" max="519" width="4.85546875" style="148" bestFit="1" customWidth="1"/>
    <col min="520" max="520" width="9.28515625" style="148" customWidth="1"/>
    <col min="521" max="522" width="7" style="148" bestFit="1" customWidth="1"/>
    <col min="523" max="523" width="8.140625" style="148" bestFit="1" customWidth="1"/>
    <col min="524" max="524" width="7.28515625" style="148" bestFit="1" customWidth="1"/>
    <col min="525" max="525" width="5.7109375" style="148" bestFit="1" customWidth="1"/>
    <col min="526" max="527" width="7.28515625" style="148" bestFit="1" customWidth="1"/>
    <col min="528" max="528" width="0" style="148" hidden="1" customWidth="1"/>
    <col min="529" max="529" width="17.42578125" style="148" bestFit="1" customWidth="1"/>
    <col min="530" max="530" width="7" style="148" bestFit="1" customWidth="1"/>
    <col min="531" max="531" width="6.140625" style="148" bestFit="1" customWidth="1"/>
    <col min="532" max="532" width="16.140625" style="148" bestFit="1" customWidth="1"/>
    <col min="533" max="533" width="6.42578125" style="148" bestFit="1" customWidth="1"/>
    <col min="534" max="534" width="14" style="148" bestFit="1" customWidth="1"/>
    <col min="535" max="536" width="11.7109375" style="148" bestFit="1" customWidth="1"/>
    <col min="537" max="537" width="11.42578125" style="148" bestFit="1" customWidth="1"/>
    <col min="538" max="538" width="1.85546875" style="148" customWidth="1"/>
    <col min="539" max="539" width="11.140625" style="148" bestFit="1" customWidth="1"/>
    <col min="540" max="541" width="9.42578125" style="148" bestFit="1" customWidth="1"/>
    <col min="542" max="768" width="8.85546875" style="148"/>
    <col min="769" max="769" width="21" style="148" bestFit="1" customWidth="1"/>
    <col min="770" max="770" width="4" style="148" bestFit="1" customWidth="1"/>
    <col min="771" max="771" width="4.85546875" style="148" customWidth="1"/>
    <col min="772" max="772" width="4.7109375" style="148" customWidth="1"/>
    <col min="773" max="773" width="8.140625" style="148" bestFit="1" customWidth="1"/>
    <col min="774" max="774" width="6.28515625" style="148" bestFit="1" customWidth="1"/>
    <col min="775" max="775" width="4.85546875" style="148" bestFit="1" customWidth="1"/>
    <col min="776" max="776" width="9.28515625" style="148" customWidth="1"/>
    <col min="777" max="778" width="7" style="148" bestFit="1" customWidth="1"/>
    <col min="779" max="779" width="8.140625" style="148" bestFit="1" customWidth="1"/>
    <col min="780" max="780" width="7.28515625" style="148" bestFit="1" customWidth="1"/>
    <col min="781" max="781" width="5.7109375" style="148" bestFit="1" customWidth="1"/>
    <col min="782" max="783" width="7.28515625" style="148" bestFit="1" customWidth="1"/>
    <col min="784" max="784" width="0" style="148" hidden="1" customWidth="1"/>
    <col min="785" max="785" width="17.42578125" style="148" bestFit="1" customWidth="1"/>
    <col min="786" max="786" width="7" style="148" bestFit="1" customWidth="1"/>
    <col min="787" max="787" width="6.140625" style="148" bestFit="1" customWidth="1"/>
    <col min="788" max="788" width="16.140625" style="148" bestFit="1" customWidth="1"/>
    <col min="789" max="789" width="6.42578125" style="148" bestFit="1" customWidth="1"/>
    <col min="790" max="790" width="14" style="148" bestFit="1" customWidth="1"/>
    <col min="791" max="792" width="11.7109375" style="148" bestFit="1" customWidth="1"/>
    <col min="793" max="793" width="11.42578125" style="148" bestFit="1" customWidth="1"/>
    <col min="794" max="794" width="1.85546875" style="148" customWidth="1"/>
    <col min="795" max="795" width="11.140625" style="148" bestFit="1" customWidth="1"/>
    <col min="796" max="797" width="9.42578125" style="148" bestFit="1" customWidth="1"/>
    <col min="798" max="1024" width="8.85546875" style="148"/>
    <col min="1025" max="1025" width="21" style="148" bestFit="1" customWidth="1"/>
    <col min="1026" max="1026" width="4" style="148" bestFit="1" customWidth="1"/>
    <col min="1027" max="1027" width="4.85546875" style="148" customWidth="1"/>
    <col min="1028" max="1028" width="4.7109375" style="148" customWidth="1"/>
    <col min="1029" max="1029" width="8.140625" style="148" bestFit="1" customWidth="1"/>
    <col min="1030" max="1030" width="6.28515625" style="148" bestFit="1" customWidth="1"/>
    <col min="1031" max="1031" width="4.85546875" style="148" bestFit="1" customWidth="1"/>
    <col min="1032" max="1032" width="9.28515625" style="148" customWidth="1"/>
    <col min="1033" max="1034" width="7" style="148" bestFit="1" customWidth="1"/>
    <col min="1035" max="1035" width="8.140625" style="148" bestFit="1" customWidth="1"/>
    <col min="1036" max="1036" width="7.28515625" style="148" bestFit="1" customWidth="1"/>
    <col min="1037" max="1037" width="5.7109375" style="148" bestFit="1" customWidth="1"/>
    <col min="1038" max="1039" width="7.28515625" style="148" bestFit="1" customWidth="1"/>
    <col min="1040" max="1040" width="0" style="148" hidden="1" customWidth="1"/>
    <col min="1041" max="1041" width="17.42578125" style="148" bestFit="1" customWidth="1"/>
    <col min="1042" max="1042" width="7" style="148" bestFit="1" customWidth="1"/>
    <col min="1043" max="1043" width="6.140625" style="148" bestFit="1" customWidth="1"/>
    <col min="1044" max="1044" width="16.140625" style="148" bestFit="1" customWidth="1"/>
    <col min="1045" max="1045" width="6.42578125" style="148" bestFit="1" customWidth="1"/>
    <col min="1046" max="1046" width="14" style="148" bestFit="1" customWidth="1"/>
    <col min="1047" max="1048" width="11.7109375" style="148" bestFit="1" customWidth="1"/>
    <col min="1049" max="1049" width="11.42578125" style="148" bestFit="1" customWidth="1"/>
    <col min="1050" max="1050" width="1.85546875" style="148" customWidth="1"/>
    <col min="1051" max="1051" width="11.140625" style="148" bestFit="1" customWidth="1"/>
    <col min="1052" max="1053" width="9.42578125" style="148" bestFit="1" customWidth="1"/>
    <col min="1054" max="1280" width="8.85546875" style="148"/>
    <col min="1281" max="1281" width="21" style="148" bestFit="1" customWidth="1"/>
    <col min="1282" max="1282" width="4" style="148" bestFit="1" customWidth="1"/>
    <col min="1283" max="1283" width="4.85546875" style="148" customWidth="1"/>
    <col min="1284" max="1284" width="4.7109375" style="148" customWidth="1"/>
    <col min="1285" max="1285" width="8.140625" style="148" bestFit="1" customWidth="1"/>
    <col min="1286" max="1286" width="6.28515625" style="148" bestFit="1" customWidth="1"/>
    <col min="1287" max="1287" width="4.85546875" style="148" bestFit="1" customWidth="1"/>
    <col min="1288" max="1288" width="9.28515625" style="148" customWidth="1"/>
    <col min="1289" max="1290" width="7" style="148" bestFit="1" customWidth="1"/>
    <col min="1291" max="1291" width="8.140625" style="148" bestFit="1" customWidth="1"/>
    <col min="1292" max="1292" width="7.28515625" style="148" bestFit="1" customWidth="1"/>
    <col min="1293" max="1293" width="5.7109375" style="148" bestFit="1" customWidth="1"/>
    <col min="1294" max="1295" width="7.28515625" style="148" bestFit="1" customWidth="1"/>
    <col min="1296" max="1296" width="0" style="148" hidden="1" customWidth="1"/>
    <col min="1297" max="1297" width="17.42578125" style="148" bestFit="1" customWidth="1"/>
    <col min="1298" max="1298" width="7" style="148" bestFit="1" customWidth="1"/>
    <col min="1299" max="1299" width="6.140625" style="148" bestFit="1" customWidth="1"/>
    <col min="1300" max="1300" width="16.140625" style="148" bestFit="1" customWidth="1"/>
    <col min="1301" max="1301" width="6.42578125" style="148" bestFit="1" customWidth="1"/>
    <col min="1302" max="1302" width="14" style="148" bestFit="1" customWidth="1"/>
    <col min="1303" max="1304" width="11.7109375" style="148" bestFit="1" customWidth="1"/>
    <col min="1305" max="1305" width="11.42578125" style="148" bestFit="1" customWidth="1"/>
    <col min="1306" max="1306" width="1.85546875" style="148" customWidth="1"/>
    <col min="1307" max="1307" width="11.140625" style="148" bestFit="1" customWidth="1"/>
    <col min="1308" max="1309" width="9.42578125" style="148" bestFit="1" customWidth="1"/>
    <col min="1310" max="1536" width="8.85546875" style="148"/>
    <col min="1537" max="1537" width="21" style="148" bestFit="1" customWidth="1"/>
    <col min="1538" max="1538" width="4" style="148" bestFit="1" customWidth="1"/>
    <col min="1539" max="1539" width="4.85546875" style="148" customWidth="1"/>
    <col min="1540" max="1540" width="4.7109375" style="148" customWidth="1"/>
    <col min="1541" max="1541" width="8.140625" style="148" bestFit="1" customWidth="1"/>
    <col min="1542" max="1542" width="6.28515625" style="148" bestFit="1" customWidth="1"/>
    <col min="1543" max="1543" width="4.85546875" style="148" bestFit="1" customWidth="1"/>
    <col min="1544" max="1544" width="9.28515625" style="148" customWidth="1"/>
    <col min="1545" max="1546" width="7" style="148" bestFit="1" customWidth="1"/>
    <col min="1547" max="1547" width="8.140625" style="148" bestFit="1" customWidth="1"/>
    <col min="1548" max="1548" width="7.28515625" style="148" bestFit="1" customWidth="1"/>
    <col min="1549" max="1549" width="5.7109375" style="148" bestFit="1" customWidth="1"/>
    <col min="1550" max="1551" width="7.28515625" style="148" bestFit="1" customWidth="1"/>
    <col min="1552" max="1552" width="0" style="148" hidden="1" customWidth="1"/>
    <col min="1553" max="1553" width="17.42578125" style="148" bestFit="1" customWidth="1"/>
    <col min="1554" max="1554" width="7" style="148" bestFit="1" customWidth="1"/>
    <col min="1555" max="1555" width="6.140625" style="148" bestFit="1" customWidth="1"/>
    <col min="1556" max="1556" width="16.140625" style="148" bestFit="1" customWidth="1"/>
    <col min="1557" max="1557" width="6.42578125" style="148" bestFit="1" customWidth="1"/>
    <col min="1558" max="1558" width="14" style="148" bestFit="1" customWidth="1"/>
    <col min="1559" max="1560" width="11.7109375" style="148" bestFit="1" customWidth="1"/>
    <col min="1561" max="1561" width="11.42578125" style="148" bestFit="1" customWidth="1"/>
    <col min="1562" max="1562" width="1.85546875" style="148" customWidth="1"/>
    <col min="1563" max="1563" width="11.140625" style="148" bestFit="1" customWidth="1"/>
    <col min="1564" max="1565" width="9.42578125" style="148" bestFit="1" customWidth="1"/>
    <col min="1566" max="1792" width="8.85546875" style="148"/>
    <col min="1793" max="1793" width="21" style="148" bestFit="1" customWidth="1"/>
    <col min="1794" max="1794" width="4" style="148" bestFit="1" customWidth="1"/>
    <col min="1795" max="1795" width="4.85546875" style="148" customWidth="1"/>
    <col min="1796" max="1796" width="4.7109375" style="148" customWidth="1"/>
    <col min="1797" max="1797" width="8.140625" style="148" bestFit="1" customWidth="1"/>
    <col min="1798" max="1798" width="6.28515625" style="148" bestFit="1" customWidth="1"/>
    <col min="1799" max="1799" width="4.85546875" style="148" bestFit="1" customWidth="1"/>
    <col min="1800" max="1800" width="9.28515625" style="148" customWidth="1"/>
    <col min="1801" max="1802" width="7" style="148" bestFit="1" customWidth="1"/>
    <col min="1803" max="1803" width="8.140625" style="148" bestFit="1" customWidth="1"/>
    <col min="1804" max="1804" width="7.28515625" style="148" bestFit="1" customWidth="1"/>
    <col min="1805" max="1805" width="5.7109375" style="148" bestFit="1" customWidth="1"/>
    <col min="1806" max="1807" width="7.28515625" style="148" bestFit="1" customWidth="1"/>
    <col min="1808" max="1808" width="0" style="148" hidden="1" customWidth="1"/>
    <col min="1809" max="1809" width="17.42578125" style="148" bestFit="1" customWidth="1"/>
    <col min="1810" max="1810" width="7" style="148" bestFit="1" customWidth="1"/>
    <col min="1811" max="1811" width="6.140625" style="148" bestFit="1" customWidth="1"/>
    <col min="1812" max="1812" width="16.140625" style="148" bestFit="1" customWidth="1"/>
    <col min="1813" max="1813" width="6.42578125" style="148" bestFit="1" customWidth="1"/>
    <col min="1814" max="1814" width="14" style="148" bestFit="1" customWidth="1"/>
    <col min="1815" max="1816" width="11.7109375" style="148" bestFit="1" customWidth="1"/>
    <col min="1817" max="1817" width="11.42578125" style="148" bestFit="1" customWidth="1"/>
    <col min="1818" max="1818" width="1.85546875" style="148" customWidth="1"/>
    <col min="1819" max="1819" width="11.140625" style="148" bestFit="1" customWidth="1"/>
    <col min="1820" max="1821" width="9.42578125" style="148" bestFit="1" customWidth="1"/>
    <col min="1822" max="2048" width="8.85546875" style="148"/>
    <col min="2049" max="2049" width="21" style="148" bestFit="1" customWidth="1"/>
    <col min="2050" max="2050" width="4" style="148" bestFit="1" customWidth="1"/>
    <col min="2051" max="2051" width="4.85546875" style="148" customWidth="1"/>
    <col min="2052" max="2052" width="4.7109375" style="148" customWidth="1"/>
    <col min="2053" max="2053" width="8.140625" style="148" bestFit="1" customWidth="1"/>
    <col min="2054" max="2054" width="6.28515625" style="148" bestFit="1" customWidth="1"/>
    <col min="2055" max="2055" width="4.85546875" style="148" bestFit="1" customWidth="1"/>
    <col min="2056" max="2056" width="9.28515625" style="148" customWidth="1"/>
    <col min="2057" max="2058" width="7" style="148" bestFit="1" customWidth="1"/>
    <col min="2059" max="2059" width="8.140625" style="148" bestFit="1" customWidth="1"/>
    <col min="2060" max="2060" width="7.28515625" style="148" bestFit="1" customWidth="1"/>
    <col min="2061" max="2061" width="5.7109375" style="148" bestFit="1" customWidth="1"/>
    <col min="2062" max="2063" width="7.28515625" style="148" bestFit="1" customWidth="1"/>
    <col min="2064" max="2064" width="0" style="148" hidden="1" customWidth="1"/>
    <col min="2065" max="2065" width="17.42578125" style="148" bestFit="1" customWidth="1"/>
    <col min="2066" max="2066" width="7" style="148" bestFit="1" customWidth="1"/>
    <col min="2067" max="2067" width="6.140625" style="148" bestFit="1" customWidth="1"/>
    <col min="2068" max="2068" width="16.140625" style="148" bestFit="1" customWidth="1"/>
    <col min="2069" max="2069" width="6.42578125" style="148" bestFit="1" customWidth="1"/>
    <col min="2070" max="2070" width="14" style="148" bestFit="1" customWidth="1"/>
    <col min="2071" max="2072" width="11.7109375" style="148" bestFit="1" customWidth="1"/>
    <col min="2073" max="2073" width="11.42578125" style="148" bestFit="1" customWidth="1"/>
    <col min="2074" max="2074" width="1.85546875" style="148" customWidth="1"/>
    <col min="2075" max="2075" width="11.140625" style="148" bestFit="1" customWidth="1"/>
    <col min="2076" max="2077" width="9.42578125" style="148" bestFit="1" customWidth="1"/>
    <col min="2078" max="2304" width="8.85546875" style="148"/>
    <col min="2305" max="2305" width="21" style="148" bestFit="1" customWidth="1"/>
    <col min="2306" max="2306" width="4" style="148" bestFit="1" customWidth="1"/>
    <col min="2307" max="2307" width="4.85546875" style="148" customWidth="1"/>
    <col min="2308" max="2308" width="4.7109375" style="148" customWidth="1"/>
    <col min="2309" max="2309" width="8.140625" style="148" bestFit="1" customWidth="1"/>
    <col min="2310" max="2310" width="6.28515625" style="148" bestFit="1" customWidth="1"/>
    <col min="2311" max="2311" width="4.85546875" style="148" bestFit="1" customWidth="1"/>
    <col min="2312" max="2312" width="9.28515625" style="148" customWidth="1"/>
    <col min="2313" max="2314" width="7" style="148" bestFit="1" customWidth="1"/>
    <col min="2315" max="2315" width="8.140625" style="148" bestFit="1" customWidth="1"/>
    <col min="2316" max="2316" width="7.28515625" style="148" bestFit="1" customWidth="1"/>
    <col min="2317" max="2317" width="5.7109375" style="148" bestFit="1" customWidth="1"/>
    <col min="2318" max="2319" width="7.28515625" style="148" bestFit="1" customWidth="1"/>
    <col min="2320" max="2320" width="0" style="148" hidden="1" customWidth="1"/>
    <col min="2321" max="2321" width="17.42578125" style="148" bestFit="1" customWidth="1"/>
    <col min="2322" max="2322" width="7" style="148" bestFit="1" customWidth="1"/>
    <col min="2323" max="2323" width="6.140625" style="148" bestFit="1" customWidth="1"/>
    <col min="2324" max="2324" width="16.140625" style="148" bestFit="1" customWidth="1"/>
    <col min="2325" max="2325" width="6.42578125" style="148" bestFit="1" customWidth="1"/>
    <col min="2326" max="2326" width="14" style="148" bestFit="1" customWidth="1"/>
    <col min="2327" max="2328" width="11.7109375" style="148" bestFit="1" customWidth="1"/>
    <col min="2329" max="2329" width="11.42578125" style="148" bestFit="1" customWidth="1"/>
    <col min="2330" max="2330" width="1.85546875" style="148" customWidth="1"/>
    <col min="2331" max="2331" width="11.140625" style="148" bestFit="1" customWidth="1"/>
    <col min="2332" max="2333" width="9.42578125" style="148" bestFit="1" customWidth="1"/>
    <col min="2334" max="2560" width="8.85546875" style="148"/>
    <col min="2561" max="2561" width="21" style="148" bestFit="1" customWidth="1"/>
    <col min="2562" max="2562" width="4" style="148" bestFit="1" customWidth="1"/>
    <col min="2563" max="2563" width="4.85546875" style="148" customWidth="1"/>
    <col min="2564" max="2564" width="4.7109375" style="148" customWidth="1"/>
    <col min="2565" max="2565" width="8.140625" style="148" bestFit="1" customWidth="1"/>
    <col min="2566" max="2566" width="6.28515625" style="148" bestFit="1" customWidth="1"/>
    <col min="2567" max="2567" width="4.85546875" style="148" bestFit="1" customWidth="1"/>
    <col min="2568" max="2568" width="9.28515625" style="148" customWidth="1"/>
    <col min="2569" max="2570" width="7" style="148" bestFit="1" customWidth="1"/>
    <col min="2571" max="2571" width="8.140625" style="148" bestFit="1" customWidth="1"/>
    <col min="2572" max="2572" width="7.28515625" style="148" bestFit="1" customWidth="1"/>
    <col min="2573" max="2573" width="5.7109375" style="148" bestFit="1" customWidth="1"/>
    <col min="2574" max="2575" width="7.28515625" style="148" bestFit="1" customWidth="1"/>
    <col min="2576" max="2576" width="0" style="148" hidden="1" customWidth="1"/>
    <col min="2577" max="2577" width="17.42578125" style="148" bestFit="1" customWidth="1"/>
    <col min="2578" max="2578" width="7" style="148" bestFit="1" customWidth="1"/>
    <col min="2579" max="2579" width="6.140625" style="148" bestFit="1" customWidth="1"/>
    <col min="2580" max="2580" width="16.140625" style="148" bestFit="1" customWidth="1"/>
    <col min="2581" max="2581" width="6.42578125" style="148" bestFit="1" customWidth="1"/>
    <col min="2582" max="2582" width="14" style="148" bestFit="1" customWidth="1"/>
    <col min="2583" max="2584" width="11.7109375" style="148" bestFit="1" customWidth="1"/>
    <col min="2585" max="2585" width="11.42578125" style="148" bestFit="1" customWidth="1"/>
    <col min="2586" max="2586" width="1.85546875" style="148" customWidth="1"/>
    <col min="2587" max="2587" width="11.140625" style="148" bestFit="1" customWidth="1"/>
    <col min="2588" max="2589" width="9.42578125" style="148" bestFit="1" customWidth="1"/>
    <col min="2590" max="2816" width="8.85546875" style="148"/>
    <col min="2817" max="2817" width="21" style="148" bestFit="1" customWidth="1"/>
    <col min="2818" max="2818" width="4" style="148" bestFit="1" customWidth="1"/>
    <col min="2819" max="2819" width="4.85546875" style="148" customWidth="1"/>
    <col min="2820" max="2820" width="4.7109375" style="148" customWidth="1"/>
    <col min="2821" max="2821" width="8.140625" style="148" bestFit="1" customWidth="1"/>
    <col min="2822" max="2822" width="6.28515625" style="148" bestFit="1" customWidth="1"/>
    <col min="2823" max="2823" width="4.85546875" style="148" bestFit="1" customWidth="1"/>
    <col min="2824" max="2824" width="9.28515625" style="148" customWidth="1"/>
    <col min="2825" max="2826" width="7" style="148" bestFit="1" customWidth="1"/>
    <col min="2827" max="2827" width="8.140625" style="148" bestFit="1" customWidth="1"/>
    <col min="2828" max="2828" width="7.28515625" style="148" bestFit="1" customWidth="1"/>
    <col min="2829" max="2829" width="5.7109375" style="148" bestFit="1" customWidth="1"/>
    <col min="2830" max="2831" width="7.28515625" style="148" bestFit="1" customWidth="1"/>
    <col min="2832" max="2832" width="0" style="148" hidden="1" customWidth="1"/>
    <col min="2833" max="2833" width="17.42578125" style="148" bestFit="1" customWidth="1"/>
    <col min="2834" max="2834" width="7" style="148" bestFit="1" customWidth="1"/>
    <col min="2835" max="2835" width="6.140625" style="148" bestFit="1" customWidth="1"/>
    <col min="2836" max="2836" width="16.140625" style="148" bestFit="1" customWidth="1"/>
    <col min="2837" max="2837" width="6.42578125" style="148" bestFit="1" customWidth="1"/>
    <col min="2838" max="2838" width="14" style="148" bestFit="1" customWidth="1"/>
    <col min="2839" max="2840" width="11.7109375" style="148" bestFit="1" customWidth="1"/>
    <col min="2841" max="2841" width="11.42578125" style="148" bestFit="1" customWidth="1"/>
    <col min="2842" max="2842" width="1.85546875" style="148" customWidth="1"/>
    <col min="2843" max="2843" width="11.140625" style="148" bestFit="1" customWidth="1"/>
    <col min="2844" max="2845" width="9.42578125" style="148" bestFit="1" customWidth="1"/>
    <col min="2846" max="3072" width="8.85546875" style="148"/>
    <col min="3073" max="3073" width="21" style="148" bestFit="1" customWidth="1"/>
    <col min="3074" max="3074" width="4" style="148" bestFit="1" customWidth="1"/>
    <col min="3075" max="3075" width="4.85546875" style="148" customWidth="1"/>
    <col min="3076" max="3076" width="4.7109375" style="148" customWidth="1"/>
    <col min="3077" max="3077" width="8.140625" style="148" bestFit="1" customWidth="1"/>
    <col min="3078" max="3078" width="6.28515625" style="148" bestFit="1" customWidth="1"/>
    <col min="3079" max="3079" width="4.85546875" style="148" bestFit="1" customWidth="1"/>
    <col min="3080" max="3080" width="9.28515625" style="148" customWidth="1"/>
    <col min="3081" max="3082" width="7" style="148" bestFit="1" customWidth="1"/>
    <col min="3083" max="3083" width="8.140625" style="148" bestFit="1" customWidth="1"/>
    <col min="3084" max="3084" width="7.28515625" style="148" bestFit="1" customWidth="1"/>
    <col min="3085" max="3085" width="5.7109375" style="148" bestFit="1" customWidth="1"/>
    <col min="3086" max="3087" width="7.28515625" style="148" bestFit="1" customWidth="1"/>
    <col min="3088" max="3088" width="0" style="148" hidden="1" customWidth="1"/>
    <col min="3089" max="3089" width="17.42578125" style="148" bestFit="1" customWidth="1"/>
    <col min="3090" max="3090" width="7" style="148" bestFit="1" customWidth="1"/>
    <col min="3091" max="3091" width="6.140625" style="148" bestFit="1" customWidth="1"/>
    <col min="3092" max="3092" width="16.140625" style="148" bestFit="1" customWidth="1"/>
    <col min="3093" max="3093" width="6.42578125" style="148" bestFit="1" customWidth="1"/>
    <col min="3094" max="3094" width="14" style="148" bestFit="1" customWidth="1"/>
    <col min="3095" max="3096" width="11.7109375" style="148" bestFit="1" customWidth="1"/>
    <col min="3097" max="3097" width="11.42578125" style="148" bestFit="1" customWidth="1"/>
    <col min="3098" max="3098" width="1.85546875" style="148" customWidth="1"/>
    <col min="3099" max="3099" width="11.140625" style="148" bestFit="1" customWidth="1"/>
    <col min="3100" max="3101" width="9.42578125" style="148" bestFit="1" customWidth="1"/>
    <col min="3102" max="3328" width="8.85546875" style="148"/>
    <col min="3329" max="3329" width="21" style="148" bestFit="1" customWidth="1"/>
    <col min="3330" max="3330" width="4" style="148" bestFit="1" customWidth="1"/>
    <col min="3331" max="3331" width="4.85546875" style="148" customWidth="1"/>
    <col min="3332" max="3332" width="4.7109375" style="148" customWidth="1"/>
    <col min="3333" max="3333" width="8.140625" style="148" bestFit="1" customWidth="1"/>
    <col min="3334" max="3334" width="6.28515625" style="148" bestFit="1" customWidth="1"/>
    <col min="3335" max="3335" width="4.85546875" style="148" bestFit="1" customWidth="1"/>
    <col min="3336" max="3336" width="9.28515625" style="148" customWidth="1"/>
    <col min="3337" max="3338" width="7" style="148" bestFit="1" customWidth="1"/>
    <col min="3339" max="3339" width="8.140625" style="148" bestFit="1" customWidth="1"/>
    <col min="3340" max="3340" width="7.28515625" style="148" bestFit="1" customWidth="1"/>
    <col min="3341" max="3341" width="5.7109375" style="148" bestFit="1" customWidth="1"/>
    <col min="3342" max="3343" width="7.28515625" style="148" bestFit="1" customWidth="1"/>
    <col min="3344" max="3344" width="0" style="148" hidden="1" customWidth="1"/>
    <col min="3345" max="3345" width="17.42578125" style="148" bestFit="1" customWidth="1"/>
    <col min="3346" max="3346" width="7" style="148" bestFit="1" customWidth="1"/>
    <col min="3347" max="3347" width="6.140625" style="148" bestFit="1" customWidth="1"/>
    <col min="3348" max="3348" width="16.140625" style="148" bestFit="1" customWidth="1"/>
    <col min="3349" max="3349" width="6.42578125" style="148" bestFit="1" customWidth="1"/>
    <col min="3350" max="3350" width="14" style="148" bestFit="1" customWidth="1"/>
    <col min="3351" max="3352" width="11.7109375" style="148" bestFit="1" customWidth="1"/>
    <col min="3353" max="3353" width="11.42578125" style="148" bestFit="1" customWidth="1"/>
    <col min="3354" max="3354" width="1.85546875" style="148" customWidth="1"/>
    <col min="3355" max="3355" width="11.140625" style="148" bestFit="1" customWidth="1"/>
    <col min="3356" max="3357" width="9.42578125" style="148" bestFit="1" customWidth="1"/>
    <col min="3358" max="3584" width="8.85546875" style="148"/>
    <col min="3585" max="3585" width="21" style="148" bestFit="1" customWidth="1"/>
    <col min="3586" max="3586" width="4" style="148" bestFit="1" customWidth="1"/>
    <col min="3587" max="3587" width="4.85546875" style="148" customWidth="1"/>
    <col min="3588" max="3588" width="4.7109375" style="148" customWidth="1"/>
    <col min="3589" max="3589" width="8.140625" style="148" bestFit="1" customWidth="1"/>
    <col min="3590" max="3590" width="6.28515625" style="148" bestFit="1" customWidth="1"/>
    <col min="3591" max="3591" width="4.85546875" style="148" bestFit="1" customWidth="1"/>
    <col min="3592" max="3592" width="9.28515625" style="148" customWidth="1"/>
    <col min="3593" max="3594" width="7" style="148" bestFit="1" customWidth="1"/>
    <col min="3595" max="3595" width="8.140625" style="148" bestFit="1" customWidth="1"/>
    <col min="3596" max="3596" width="7.28515625" style="148" bestFit="1" customWidth="1"/>
    <col min="3597" max="3597" width="5.7109375" style="148" bestFit="1" customWidth="1"/>
    <col min="3598" max="3599" width="7.28515625" style="148" bestFit="1" customWidth="1"/>
    <col min="3600" max="3600" width="0" style="148" hidden="1" customWidth="1"/>
    <col min="3601" max="3601" width="17.42578125" style="148" bestFit="1" customWidth="1"/>
    <col min="3602" max="3602" width="7" style="148" bestFit="1" customWidth="1"/>
    <col min="3603" max="3603" width="6.140625" style="148" bestFit="1" customWidth="1"/>
    <col min="3604" max="3604" width="16.140625" style="148" bestFit="1" customWidth="1"/>
    <col min="3605" max="3605" width="6.42578125" style="148" bestFit="1" customWidth="1"/>
    <col min="3606" max="3606" width="14" style="148" bestFit="1" customWidth="1"/>
    <col min="3607" max="3608" width="11.7109375" style="148" bestFit="1" customWidth="1"/>
    <col min="3609" max="3609" width="11.42578125" style="148" bestFit="1" customWidth="1"/>
    <col min="3610" max="3610" width="1.85546875" style="148" customWidth="1"/>
    <col min="3611" max="3611" width="11.140625" style="148" bestFit="1" customWidth="1"/>
    <col min="3612" max="3613" width="9.42578125" style="148" bestFit="1" customWidth="1"/>
    <col min="3614" max="3840" width="8.85546875" style="148"/>
    <col min="3841" max="3841" width="21" style="148" bestFit="1" customWidth="1"/>
    <col min="3842" max="3842" width="4" style="148" bestFit="1" customWidth="1"/>
    <col min="3843" max="3843" width="4.85546875" style="148" customWidth="1"/>
    <col min="3844" max="3844" width="4.7109375" style="148" customWidth="1"/>
    <col min="3845" max="3845" width="8.140625" style="148" bestFit="1" customWidth="1"/>
    <col min="3846" max="3846" width="6.28515625" style="148" bestFit="1" customWidth="1"/>
    <col min="3847" max="3847" width="4.85546875" style="148" bestFit="1" customWidth="1"/>
    <col min="3848" max="3848" width="9.28515625" style="148" customWidth="1"/>
    <col min="3849" max="3850" width="7" style="148" bestFit="1" customWidth="1"/>
    <col min="3851" max="3851" width="8.140625" style="148" bestFit="1" customWidth="1"/>
    <col min="3852" max="3852" width="7.28515625" style="148" bestFit="1" customWidth="1"/>
    <col min="3853" max="3853" width="5.7109375" style="148" bestFit="1" customWidth="1"/>
    <col min="3854" max="3855" width="7.28515625" style="148" bestFit="1" customWidth="1"/>
    <col min="3856" max="3856" width="0" style="148" hidden="1" customWidth="1"/>
    <col min="3857" max="3857" width="17.42578125" style="148" bestFit="1" customWidth="1"/>
    <col min="3858" max="3858" width="7" style="148" bestFit="1" customWidth="1"/>
    <col min="3859" max="3859" width="6.140625" style="148" bestFit="1" customWidth="1"/>
    <col min="3860" max="3860" width="16.140625" style="148" bestFit="1" customWidth="1"/>
    <col min="3861" max="3861" width="6.42578125" style="148" bestFit="1" customWidth="1"/>
    <col min="3862" max="3862" width="14" style="148" bestFit="1" customWidth="1"/>
    <col min="3863" max="3864" width="11.7109375" style="148" bestFit="1" customWidth="1"/>
    <col min="3865" max="3865" width="11.42578125" style="148" bestFit="1" customWidth="1"/>
    <col min="3866" max="3866" width="1.85546875" style="148" customWidth="1"/>
    <col min="3867" max="3867" width="11.140625" style="148" bestFit="1" customWidth="1"/>
    <col min="3868" max="3869" width="9.42578125" style="148" bestFit="1" customWidth="1"/>
    <col min="3870" max="4096" width="8.85546875" style="148"/>
    <col min="4097" max="4097" width="21" style="148" bestFit="1" customWidth="1"/>
    <col min="4098" max="4098" width="4" style="148" bestFit="1" customWidth="1"/>
    <col min="4099" max="4099" width="4.85546875" style="148" customWidth="1"/>
    <col min="4100" max="4100" width="4.7109375" style="148" customWidth="1"/>
    <col min="4101" max="4101" width="8.140625" style="148" bestFit="1" customWidth="1"/>
    <col min="4102" max="4102" width="6.28515625" style="148" bestFit="1" customWidth="1"/>
    <col min="4103" max="4103" width="4.85546875" style="148" bestFit="1" customWidth="1"/>
    <col min="4104" max="4104" width="9.28515625" style="148" customWidth="1"/>
    <col min="4105" max="4106" width="7" style="148" bestFit="1" customWidth="1"/>
    <col min="4107" max="4107" width="8.140625" style="148" bestFit="1" customWidth="1"/>
    <col min="4108" max="4108" width="7.28515625" style="148" bestFit="1" customWidth="1"/>
    <col min="4109" max="4109" width="5.7109375" style="148" bestFit="1" customWidth="1"/>
    <col min="4110" max="4111" width="7.28515625" style="148" bestFit="1" customWidth="1"/>
    <col min="4112" max="4112" width="0" style="148" hidden="1" customWidth="1"/>
    <col min="4113" max="4113" width="17.42578125" style="148" bestFit="1" customWidth="1"/>
    <col min="4114" max="4114" width="7" style="148" bestFit="1" customWidth="1"/>
    <col min="4115" max="4115" width="6.140625" style="148" bestFit="1" customWidth="1"/>
    <col min="4116" max="4116" width="16.140625" style="148" bestFit="1" customWidth="1"/>
    <col min="4117" max="4117" width="6.42578125" style="148" bestFit="1" customWidth="1"/>
    <col min="4118" max="4118" width="14" style="148" bestFit="1" customWidth="1"/>
    <col min="4119" max="4120" width="11.7109375" style="148" bestFit="1" customWidth="1"/>
    <col min="4121" max="4121" width="11.42578125" style="148" bestFit="1" customWidth="1"/>
    <col min="4122" max="4122" width="1.85546875" style="148" customWidth="1"/>
    <col min="4123" max="4123" width="11.140625" style="148" bestFit="1" customWidth="1"/>
    <col min="4124" max="4125" width="9.42578125" style="148" bestFit="1" customWidth="1"/>
    <col min="4126" max="4352" width="8.85546875" style="148"/>
    <col min="4353" max="4353" width="21" style="148" bestFit="1" customWidth="1"/>
    <col min="4354" max="4354" width="4" style="148" bestFit="1" customWidth="1"/>
    <col min="4355" max="4355" width="4.85546875" style="148" customWidth="1"/>
    <col min="4356" max="4356" width="4.7109375" style="148" customWidth="1"/>
    <col min="4357" max="4357" width="8.140625" style="148" bestFit="1" customWidth="1"/>
    <col min="4358" max="4358" width="6.28515625" style="148" bestFit="1" customWidth="1"/>
    <col min="4359" max="4359" width="4.85546875" style="148" bestFit="1" customWidth="1"/>
    <col min="4360" max="4360" width="9.28515625" style="148" customWidth="1"/>
    <col min="4361" max="4362" width="7" style="148" bestFit="1" customWidth="1"/>
    <col min="4363" max="4363" width="8.140625" style="148" bestFit="1" customWidth="1"/>
    <col min="4364" max="4364" width="7.28515625" style="148" bestFit="1" customWidth="1"/>
    <col min="4365" max="4365" width="5.7109375" style="148" bestFit="1" customWidth="1"/>
    <col min="4366" max="4367" width="7.28515625" style="148" bestFit="1" customWidth="1"/>
    <col min="4368" max="4368" width="0" style="148" hidden="1" customWidth="1"/>
    <col min="4369" max="4369" width="17.42578125" style="148" bestFit="1" customWidth="1"/>
    <col min="4370" max="4370" width="7" style="148" bestFit="1" customWidth="1"/>
    <col min="4371" max="4371" width="6.140625" style="148" bestFit="1" customWidth="1"/>
    <col min="4372" max="4372" width="16.140625" style="148" bestFit="1" customWidth="1"/>
    <col min="4373" max="4373" width="6.42578125" style="148" bestFit="1" customWidth="1"/>
    <col min="4374" max="4374" width="14" style="148" bestFit="1" customWidth="1"/>
    <col min="4375" max="4376" width="11.7109375" style="148" bestFit="1" customWidth="1"/>
    <col min="4377" max="4377" width="11.42578125" style="148" bestFit="1" customWidth="1"/>
    <col min="4378" max="4378" width="1.85546875" style="148" customWidth="1"/>
    <col min="4379" max="4379" width="11.140625" style="148" bestFit="1" customWidth="1"/>
    <col min="4380" max="4381" width="9.42578125" style="148" bestFit="1" customWidth="1"/>
    <col min="4382" max="4608" width="8.85546875" style="148"/>
    <col min="4609" max="4609" width="21" style="148" bestFit="1" customWidth="1"/>
    <col min="4610" max="4610" width="4" style="148" bestFit="1" customWidth="1"/>
    <col min="4611" max="4611" width="4.85546875" style="148" customWidth="1"/>
    <col min="4612" max="4612" width="4.7109375" style="148" customWidth="1"/>
    <col min="4613" max="4613" width="8.140625" style="148" bestFit="1" customWidth="1"/>
    <col min="4614" max="4614" width="6.28515625" style="148" bestFit="1" customWidth="1"/>
    <col min="4615" max="4615" width="4.85546875" style="148" bestFit="1" customWidth="1"/>
    <col min="4616" max="4616" width="9.28515625" style="148" customWidth="1"/>
    <col min="4617" max="4618" width="7" style="148" bestFit="1" customWidth="1"/>
    <col min="4619" max="4619" width="8.140625" style="148" bestFit="1" customWidth="1"/>
    <col min="4620" max="4620" width="7.28515625" style="148" bestFit="1" customWidth="1"/>
    <col min="4621" max="4621" width="5.7109375" style="148" bestFit="1" customWidth="1"/>
    <col min="4622" max="4623" width="7.28515625" style="148" bestFit="1" customWidth="1"/>
    <col min="4624" max="4624" width="0" style="148" hidden="1" customWidth="1"/>
    <col min="4625" max="4625" width="17.42578125" style="148" bestFit="1" customWidth="1"/>
    <col min="4626" max="4626" width="7" style="148" bestFit="1" customWidth="1"/>
    <col min="4627" max="4627" width="6.140625" style="148" bestFit="1" customWidth="1"/>
    <col min="4628" max="4628" width="16.140625" style="148" bestFit="1" customWidth="1"/>
    <col min="4629" max="4629" width="6.42578125" style="148" bestFit="1" customWidth="1"/>
    <col min="4630" max="4630" width="14" style="148" bestFit="1" customWidth="1"/>
    <col min="4631" max="4632" width="11.7109375" style="148" bestFit="1" customWidth="1"/>
    <col min="4633" max="4633" width="11.42578125" style="148" bestFit="1" customWidth="1"/>
    <col min="4634" max="4634" width="1.85546875" style="148" customWidth="1"/>
    <col min="4635" max="4635" width="11.140625" style="148" bestFit="1" customWidth="1"/>
    <col min="4636" max="4637" width="9.42578125" style="148" bestFit="1" customWidth="1"/>
    <col min="4638" max="4864" width="8.85546875" style="148"/>
    <col min="4865" max="4865" width="21" style="148" bestFit="1" customWidth="1"/>
    <col min="4866" max="4866" width="4" style="148" bestFit="1" customWidth="1"/>
    <col min="4867" max="4867" width="4.85546875" style="148" customWidth="1"/>
    <col min="4868" max="4868" width="4.7109375" style="148" customWidth="1"/>
    <col min="4869" max="4869" width="8.140625" style="148" bestFit="1" customWidth="1"/>
    <col min="4870" max="4870" width="6.28515625" style="148" bestFit="1" customWidth="1"/>
    <col min="4871" max="4871" width="4.85546875" style="148" bestFit="1" customWidth="1"/>
    <col min="4872" max="4872" width="9.28515625" style="148" customWidth="1"/>
    <col min="4873" max="4874" width="7" style="148" bestFit="1" customWidth="1"/>
    <col min="4875" max="4875" width="8.140625" style="148" bestFit="1" customWidth="1"/>
    <col min="4876" max="4876" width="7.28515625" style="148" bestFit="1" customWidth="1"/>
    <col min="4877" max="4877" width="5.7109375" style="148" bestFit="1" customWidth="1"/>
    <col min="4878" max="4879" width="7.28515625" style="148" bestFit="1" customWidth="1"/>
    <col min="4880" max="4880" width="0" style="148" hidden="1" customWidth="1"/>
    <col min="4881" max="4881" width="17.42578125" style="148" bestFit="1" customWidth="1"/>
    <col min="4882" max="4882" width="7" style="148" bestFit="1" customWidth="1"/>
    <col min="4883" max="4883" width="6.140625" style="148" bestFit="1" customWidth="1"/>
    <col min="4884" max="4884" width="16.140625" style="148" bestFit="1" customWidth="1"/>
    <col min="4885" max="4885" width="6.42578125" style="148" bestFit="1" customWidth="1"/>
    <col min="4886" max="4886" width="14" style="148" bestFit="1" customWidth="1"/>
    <col min="4887" max="4888" width="11.7109375" style="148" bestFit="1" customWidth="1"/>
    <col min="4889" max="4889" width="11.42578125" style="148" bestFit="1" customWidth="1"/>
    <col min="4890" max="4890" width="1.85546875" style="148" customWidth="1"/>
    <col min="4891" max="4891" width="11.140625" style="148" bestFit="1" customWidth="1"/>
    <col min="4892" max="4893" width="9.42578125" style="148" bestFit="1" customWidth="1"/>
    <col min="4894" max="5120" width="8.85546875" style="148"/>
    <col min="5121" max="5121" width="21" style="148" bestFit="1" customWidth="1"/>
    <col min="5122" max="5122" width="4" style="148" bestFit="1" customWidth="1"/>
    <col min="5123" max="5123" width="4.85546875" style="148" customWidth="1"/>
    <col min="5124" max="5124" width="4.7109375" style="148" customWidth="1"/>
    <col min="5125" max="5125" width="8.140625" style="148" bestFit="1" customWidth="1"/>
    <col min="5126" max="5126" width="6.28515625" style="148" bestFit="1" customWidth="1"/>
    <col min="5127" max="5127" width="4.85546875" style="148" bestFit="1" customWidth="1"/>
    <col min="5128" max="5128" width="9.28515625" style="148" customWidth="1"/>
    <col min="5129" max="5130" width="7" style="148" bestFit="1" customWidth="1"/>
    <col min="5131" max="5131" width="8.140625" style="148" bestFit="1" customWidth="1"/>
    <col min="5132" max="5132" width="7.28515625" style="148" bestFit="1" customWidth="1"/>
    <col min="5133" max="5133" width="5.7109375" style="148" bestFit="1" customWidth="1"/>
    <col min="5134" max="5135" width="7.28515625" style="148" bestFit="1" customWidth="1"/>
    <col min="5136" max="5136" width="0" style="148" hidden="1" customWidth="1"/>
    <col min="5137" max="5137" width="17.42578125" style="148" bestFit="1" customWidth="1"/>
    <col min="5138" max="5138" width="7" style="148" bestFit="1" customWidth="1"/>
    <col min="5139" max="5139" width="6.140625" style="148" bestFit="1" customWidth="1"/>
    <col min="5140" max="5140" width="16.140625" style="148" bestFit="1" customWidth="1"/>
    <col min="5141" max="5141" width="6.42578125" style="148" bestFit="1" customWidth="1"/>
    <col min="5142" max="5142" width="14" style="148" bestFit="1" customWidth="1"/>
    <col min="5143" max="5144" width="11.7109375" style="148" bestFit="1" customWidth="1"/>
    <col min="5145" max="5145" width="11.42578125" style="148" bestFit="1" customWidth="1"/>
    <col min="5146" max="5146" width="1.85546875" style="148" customWidth="1"/>
    <col min="5147" max="5147" width="11.140625" style="148" bestFit="1" customWidth="1"/>
    <col min="5148" max="5149" width="9.42578125" style="148" bestFit="1" customWidth="1"/>
    <col min="5150" max="5376" width="8.85546875" style="148"/>
    <col min="5377" max="5377" width="21" style="148" bestFit="1" customWidth="1"/>
    <col min="5378" max="5378" width="4" style="148" bestFit="1" customWidth="1"/>
    <col min="5379" max="5379" width="4.85546875" style="148" customWidth="1"/>
    <col min="5380" max="5380" width="4.7109375" style="148" customWidth="1"/>
    <col min="5381" max="5381" width="8.140625" style="148" bestFit="1" customWidth="1"/>
    <col min="5382" max="5382" width="6.28515625" style="148" bestFit="1" customWidth="1"/>
    <col min="5383" max="5383" width="4.85546875" style="148" bestFit="1" customWidth="1"/>
    <col min="5384" max="5384" width="9.28515625" style="148" customWidth="1"/>
    <col min="5385" max="5386" width="7" style="148" bestFit="1" customWidth="1"/>
    <col min="5387" max="5387" width="8.140625" style="148" bestFit="1" customWidth="1"/>
    <col min="5388" max="5388" width="7.28515625" style="148" bestFit="1" customWidth="1"/>
    <col min="5389" max="5389" width="5.7109375" style="148" bestFit="1" customWidth="1"/>
    <col min="5390" max="5391" width="7.28515625" style="148" bestFit="1" customWidth="1"/>
    <col min="5392" max="5392" width="0" style="148" hidden="1" customWidth="1"/>
    <col min="5393" max="5393" width="17.42578125" style="148" bestFit="1" customWidth="1"/>
    <col min="5394" max="5394" width="7" style="148" bestFit="1" customWidth="1"/>
    <col min="5395" max="5395" width="6.140625" style="148" bestFit="1" customWidth="1"/>
    <col min="5396" max="5396" width="16.140625" style="148" bestFit="1" customWidth="1"/>
    <col min="5397" max="5397" width="6.42578125" style="148" bestFit="1" customWidth="1"/>
    <col min="5398" max="5398" width="14" style="148" bestFit="1" customWidth="1"/>
    <col min="5399" max="5400" width="11.7109375" style="148" bestFit="1" customWidth="1"/>
    <col min="5401" max="5401" width="11.42578125" style="148" bestFit="1" customWidth="1"/>
    <col min="5402" max="5402" width="1.85546875" style="148" customWidth="1"/>
    <col min="5403" max="5403" width="11.140625" style="148" bestFit="1" customWidth="1"/>
    <col min="5404" max="5405" width="9.42578125" style="148" bestFit="1" customWidth="1"/>
    <col min="5406" max="5632" width="8.85546875" style="148"/>
    <col min="5633" max="5633" width="21" style="148" bestFit="1" customWidth="1"/>
    <col min="5634" max="5634" width="4" style="148" bestFit="1" customWidth="1"/>
    <col min="5635" max="5635" width="4.85546875" style="148" customWidth="1"/>
    <col min="5636" max="5636" width="4.7109375" style="148" customWidth="1"/>
    <col min="5637" max="5637" width="8.140625" style="148" bestFit="1" customWidth="1"/>
    <col min="5638" max="5638" width="6.28515625" style="148" bestFit="1" customWidth="1"/>
    <col min="5639" max="5639" width="4.85546875" style="148" bestFit="1" customWidth="1"/>
    <col min="5640" max="5640" width="9.28515625" style="148" customWidth="1"/>
    <col min="5641" max="5642" width="7" style="148" bestFit="1" customWidth="1"/>
    <col min="5643" max="5643" width="8.140625" style="148" bestFit="1" customWidth="1"/>
    <col min="5644" max="5644" width="7.28515625" style="148" bestFit="1" customWidth="1"/>
    <col min="5645" max="5645" width="5.7109375" style="148" bestFit="1" customWidth="1"/>
    <col min="5646" max="5647" width="7.28515625" style="148" bestFit="1" customWidth="1"/>
    <col min="5648" max="5648" width="0" style="148" hidden="1" customWidth="1"/>
    <col min="5649" max="5649" width="17.42578125" style="148" bestFit="1" customWidth="1"/>
    <col min="5650" max="5650" width="7" style="148" bestFit="1" customWidth="1"/>
    <col min="5651" max="5651" width="6.140625" style="148" bestFit="1" customWidth="1"/>
    <col min="5652" max="5652" width="16.140625" style="148" bestFit="1" customWidth="1"/>
    <col min="5653" max="5653" width="6.42578125" style="148" bestFit="1" customWidth="1"/>
    <col min="5654" max="5654" width="14" style="148" bestFit="1" customWidth="1"/>
    <col min="5655" max="5656" width="11.7109375" style="148" bestFit="1" customWidth="1"/>
    <col min="5657" max="5657" width="11.42578125" style="148" bestFit="1" customWidth="1"/>
    <col min="5658" max="5658" width="1.85546875" style="148" customWidth="1"/>
    <col min="5659" max="5659" width="11.140625" style="148" bestFit="1" customWidth="1"/>
    <col min="5660" max="5661" width="9.42578125" style="148" bestFit="1" customWidth="1"/>
    <col min="5662" max="5888" width="8.85546875" style="148"/>
    <col min="5889" max="5889" width="21" style="148" bestFit="1" customWidth="1"/>
    <col min="5890" max="5890" width="4" style="148" bestFit="1" customWidth="1"/>
    <col min="5891" max="5891" width="4.85546875" style="148" customWidth="1"/>
    <col min="5892" max="5892" width="4.7109375" style="148" customWidth="1"/>
    <col min="5893" max="5893" width="8.140625" style="148" bestFit="1" customWidth="1"/>
    <col min="5894" max="5894" width="6.28515625" style="148" bestFit="1" customWidth="1"/>
    <col min="5895" max="5895" width="4.85546875" style="148" bestFit="1" customWidth="1"/>
    <col min="5896" max="5896" width="9.28515625" style="148" customWidth="1"/>
    <col min="5897" max="5898" width="7" style="148" bestFit="1" customWidth="1"/>
    <col min="5899" max="5899" width="8.140625" style="148" bestFit="1" customWidth="1"/>
    <col min="5900" max="5900" width="7.28515625" style="148" bestFit="1" customWidth="1"/>
    <col min="5901" max="5901" width="5.7109375" style="148" bestFit="1" customWidth="1"/>
    <col min="5902" max="5903" width="7.28515625" style="148" bestFit="1" customWidth="1"/>
    <col min="5904" max="5904" width="0" style="148" hidden="1" customWidth="1"/>
    <col min="5905" max="5905" width="17.42578125" style="148" bestFit="1" customWidth="1"/>
    <col min="5906" max="5906" width="7" style="148" bestFit="1" customWidth="1"/>
    <col min="5907" max="5907" width="6.140625" style="148" bestFit="1" customWidth="1"/>
    <col min="5908" max="5908" width="16.140625" style="148" bestFit="1" customWidth="1"/>
    <col min="5909" max="5909" width="6.42578125" style="148" bestFit="1" customWidth="1"/>
    <col min="5910" max="5910" width="14" style="148" bestFit="1" customWidth="1"/>
    <col min="5911" max="5912" width="11.7109375" style="148" bestFit="1" customWidth="1"/>
    <col min="5913" max="5913" width="11.42578125" style="148" bestFit="1" customWidth="1"/>
    <col min="5914" max="5914" width="1.85546875" style="148" customWidth="1"/>
    <col min="5915" max="5915" width="11.140625" style="148" bestFit="1" customWidth="1"/>
    <col min="5916" max="5917" width="9.42578125" style="148" bestFit="1" customWidth="1"/>
    <col min="5918" max="6144" width="8.85546875" style="148"/>
    <col min="6145" max="6145" width="21" style="148" bestFit="1" customWidth="1"/>
    <col min="6146" max="6146" width="4" style="148" bestFit="1" customWidth="1"/>
    <col min="6147" max="6147" width="4.85546875" style="148" customWidth="1"/>
    <col min="6148" max="6148" width="4.7109375" style="148" customWidth="1"/>
    <col min="6149" max="6149" width="8.140625" style="148" bestFit="1" customWidth="1"/>
    <col min="6150" max="6150" width="6.28515625" style="148" bestFit="1" customWidth="1"/>
    <col min="6151" max="6151" width="4.85546875" style="148" bestFit="1" customWidth="1"/>
    <col min="6152" max="6152" width="9.28515625" style="148" customWidth="1"/>
    <col min="6153" max="6154" width="7" style="148" bestFit="1" customWidth="1"/>
    <col min="6155" max="6155" width="8.140625" style="148" bestFit="1" customWidth="1"/>
    <col min="6156" max="6156" width="7.28515625" style="148" bestFit="1" customWidth="1"/>
    <col min="6157" max="6157" width="5.7109375" style="148" bestFit="1" customWidth="1"/>
    <col min="6158" max="6159" width="7.28515625" style="148" bestFit="1" customWidth="1"/>
    <col min="6160" max="6160" width="0" style="148" hidden="1" customWidth="1"/>
    <col min="6161" max="6161" width="17.42578125" style="148" bestFit="1" customWidth="1"/>
    <col min="6162" max="6162" width="7" style="148" bestFit="1" customWidth="1"/>
    <col min="6163" max="6163" width="6.140625" style="148" bestFit="1" customWidth="1"/>
    <col min="6164" max="6164" width="16.140625" style="148" bestFit="1" customWidth="1"/>
    <col min="6165" max="6165" width="6.42578125" style="148" bestFit="1" customWidth="1"/>
    <col min="6166" max="6166" width="14" style="148" bestFit="1" customWidth="1"/>
    <col min="6167" max="6168" width="11.7109375" style="148" bestFit="1" customWidth="1"/>
    <col min="6169" max="6169" width="11.42578125" style="148" bestFit="1" customWidth="1"/>
    <col min="6170" max="6170" width="1.85546875" style="148" customWidth="1"/>
    <col min="6171" max="6171" width="11.140625" style="148" bestFit="1" customWidth="1"/>
    <col min="6172" max="6173" width="9.42578125" style="148" bestFit="1" customWidth="1"/>
    <col min="6174" max="6400" width="8.85546875" style="148"/>
    <col min="6401" max="6401" width="21" style="148" bestFit="1" customWidth="1"/>
    <col min="6402" max="6402" width="4" style="148" bestFit="1" customWidth="1"/>
    <col min="6403" max="6403" width="4.85546875" style="148" customWidth="1"/>
    <col min="6404" max="6404" width="4.7109375" style="148" customWidth="1"/>
    <col min="6405" max="6405" width="8.140625" style="148" bestFit="1" customWidth="1"/>
    <col min="6406" max="6406" width="6.28515625" style="148" bestFit="1" customWidth="1"/>
    <col min="6407" max="6407" width="4.85546875" style="148" bestFit="1" customWidth="1"/>
    <col min="6408" max="6408" width="9.28515625" style="148" customWidth="1"/>
    <col min="6409" max="6410" width="7" style="148" bestFit="1" customWidth="1"/>
    <col min="6411" max="6411" width="8.140625" style="148" bestFit="1" customWidth="1"/>
    <col min="6412" max="6412" width="7.28515625" style="148" bestFit="1" customWidth="1"/>
    <col min="6413" max="6413" width="5.7109375" style="148" bestFit="1" customWidth="1"/>
    <col min="6414" max="6415" width="7.28515625" style="148" bestFit="1" customWidth="1"/>
    <col min="6416" max="6416" width="0" style="148" hidden="1" customWidth="1"/>
    <col min="6417" max="6417" width="17.42578125" style="148" bestFit="1" customWidth="1"/>
    <col min="6418" max="6418" width="7" style="148" bestFit="1" customWidth="1"/>
    <col min="6419" max="6419" width="6.140625" style="148" bestFit="1" customWidth="1"/>
    <col min="6420" max="6420" width="16.140625" style="148" bestFit="1" customWidth="1"/>
    <col min="6421" max="6421" width="6.42578125" style="148" bestFit="1" customWidth="1"/>
    <col min="6422" max="6422" width="14" style="148" bestFit="1" customWidth="1"/>
    <col min="6423" max="6424" width="11.7109375" style="148" bestFit="1" customWidth="1"/>
    <col min="6425" max="6425" width="11.42578125" style="148" bestFit="1" customWidth="1"/>
    <col min="6426" max="6426" width="1.85546875" style="148" customWidth="1"/>
    <col min="6427" max="6427" width="11.140625" style="148" bestFit="1" customWidth="1"/>
    <col min="6428" max="6429" width="9.42578125" style="148" bestFit="1" customWidth="1"/>
    <col min="6430" max="6656" width="8.85546875" style="148"/>
    <col min="6657" max="6657" width="21" style="148" bestFit="1" customWidth="1"/>
    <col min="6658" max="6658" width="4" style="148" bestFit="1" customWidth="1"/>
    <col min="6659" max="6659" width="4.85546875" style="148" customWidth="1"/>
    <col min="6660" max="6660" width="4.7109375" style="148" customWidth="1"/>
    <col min="6661" max="6661" width="8.140625" style="148" bestFit="1" customWidth="1"/>
    <col min="6662" max="6662" width="6.28515625" style="148" bestFit="1" customWidth="1"/>
    <col min="6663" max="6663" width="4.85546875" style="148" bestFit="1" customWidth="1"/>
    <col min="6664" max="6664" width="9.28515625" style="148" customWidth="1"/>
    <col min="6665" max="6666" width="7" style="148" bestFit="1" customWidth="1"/>
    <col min="6667" max="6667" width="8.140625" style="148" bestFit="1" customWidth="1"/>
    <col min="6668" max="6668" width="7.28515625" style="148" bestFit="1" customWidth="1"/>
    <col min="6669" max="6669" width="5.7109375" style="148" bestFit="1" customWidth="1"/>
    <col min="6670" max="6671" width="7.28515625" style="148" bestFit="1" customWidth="1"/>
    <col min="6672" max="6672" width="0" style="148" hidden="1" customWidth="1"/>
    <col min="6673" max="6673" width="17.42578125" style="148" bestFit="1" customWidth="1"/>
    <col min="6674" max="6674" width="7" style="148" bestFit="1" customWidth="1"/>
    <col min="6675" max="6675" width="6.140625" style="148" bestFit="1" customWidth="1"/>
    <col min="6676" max="6676" width="16.140625" style="148" bestFit="1" customWidth="1"/>
    <col min="6677" max="6677" width="6.42578125" style="148" bestFit="1" customWidth="1"/>
    <col min="6678" max="6678" width="14" style="148" bestFit="1" customWidth="1"/>
    <col min="6679" max="6680" width="11.7109375" style="148" bestFit="1" customWidth="1"/>
    <col min="6681" max="6681" width="11.42578125" style="148" bestFit="1" customWidth="1"/>
    <col min="6682" max="6682" width="1.85546875" style="148" customWidth="1"/>
    <col min="6683" max="6683" width="11.140625" style="148" bestFit="1" customWidth="1"/>
    <col min="6684" max="6685" width="9.42578125" style="148" bestFit="1" customWidth="1"/>
    <col min="6686" max="6912" width="8.85546875" style="148"/>
    <col min="6913" max="6913" width="21" style="148" bestFit="1" customWidth="1"/>
    <col min="6914" max="6914" width="4" style="148" bestFit="1" customWidth="1"/>
    <col min="6915" max="6915" width="4.85546875" style="148" customWidth="1"/>
    <col min="6916" max="6916" width="4.7109375" style="148" customWidth="1"/>
    <col min="6917" max="6917" width="8.140625" style="148" bestFit="1" customWidth="1"/>
    <col min="6918" max="6918" width="6.28515625" style="148" bestFit="1" customWidth="1"/>
    <col min="6919" max="6919" width="4.85546875" style="148" bestFit="1" customWidth="1"/>
    <col min="6920" max="6920" width="9.28515625" style="148" customWidth="1"/>
    <col min="6921" max="6922" width="7" style="148" bestFit="1" customWidth="1"/>
    <col min="6923" max="6923" width="8.140625" style="148" bestFit="1" customWidth="1"/>
    <col min="6924" max="6924" width="7.28515625" style="148" bestFit="1" customWidth="1"/>
    <col min="6925" max="6925" width="5.7109375" style="148" bestFit="1" customWidth="1"/>
    <col min="6926" max="6927" width="7.28515625" style="148" bestFit="1" customWidth="1"/>
    <col min="6928" max="6928" width="0" style="148" hidden="1" customWidth="1"/>
    <col min="6929" max="6929" width="17.42578125" style="148" bestFit="1" customWidth="1"/>
    <col min="6930" max="6930" width="7" style="148" bestFit="1" customWidth="1"/>
    <col min="6931" max="6931" width="6.140625" style="148" bestFit="1" customWidth="1"/>
    <col min="6932" max="6932" width="16.140625" style="148" bestFit="1" customWidth="1"/>
    <col min="6933" max="6933" width="6.42578125" style="148" bestFit="1" customWidth="1"/>
    <col min="6934" max="6934" width="14" style="148" bestFit="1" customWidth="1"/>
    <col min="6935" max="6936" width="11.7109375" style="148" bestFit="1" customWidth="1"/>
    <col min="6937" max="6937" width="11.42578125" style="148" bestFit="1" customWidth="1"/>
    <col min="6938" max="6938" width="1.85546875" style="148" customWidth="1"/>
    <col min="6939" max="6939" width="11.140625" style="148" bestFit="1" customWidth="1"/>
    <col min="6940" max="6941" width="9.42578125" style="148" bestFit="1" customWidth="1"/>
    <col min="6942" max="7168" width="8.85546875" style="148"/>
    <col min="7169" max="7169" width="21" style="148" bestFit="1" customWidth="1"/>
    <col min="7170" max="7170" width="4" style="148" bestFit="1" customWidth="1"/>
    <col min="7171" max="7171" width="4.85546875" style="148" customWidth="1"/>
    <col min="7172" max="7172" width="4.7109375" style="148" customWidth="1"/>
    <col min="7173" max="7173" width="8.140625" style="148" bestFit="1" customWidth="1"/>
    <col min="7174" max="7174" width="6.28515625" style="148" bestFit="1" customWidth="1"/>
    <col min="7175" max="7175" width="4.85546875" style="148" bestFit="1" customWidth="1"/>
    <col min="7176" max="7176" width="9.28515625" style="148" customWidth="1"/>
    <col min="7177" max="7178" width="7" style="148" bestFit="1" customWidth="1"/>
    <col min="7179" max="7179" width="8.140625" style="148" bestFit="1" customWidth="1"/>
    <col min="7180" max="7180" width="7.28515625" style="148" bestFit="1" customWidth="1"/>
    <col min="7181" max="7181" width="5.7109375" style="148" bestFit="1" customWidth="1"/>
    <col min="7182" max="7183" width="7.28515625" style="148" bestFit="1" customWidth="1"/>
    <col min="7184" max="7184" width="0" style="148" hidden="1" customWidth="1"/>
    <col min="7185" max="7185" width="17.42578125" style="148" bestFit="1" customWidth="1"/>
    <col min="7186" max="7186" width="7" style="148" bestFit="1" customWidth="1"/>
    <col min="7187" max="7187" width="6.140625" style="148" bestFit="1" customWidth="1"/>
    <col min="7188" max="7188" width="16.140625" style="148" bestFit="1" customWidth="1"/>
    <col min="7189" max="7189" width="6.42578125" style="148" bestFit="1" customWidth="1"/>
    <col min="7190" max="7190" width="14" style="148" bestFit="1" customWidth="1"/>
    <col min="7191" max="7192" width="11.7109375" style="148" bestFit="1" customWidth="1"/>
    <col min="7193" max="7193" width="11.42578125" style="148" bestFit="1" customWidth="1"/>
    <col min="7194" max="7194" width="1.85546875" style="148" customWidth="1"/>
    <col min="7195" max="7195" width="11.140625" style="148" bestFit="1" customWidth="1"/>
    <col min="7196" max="7197" width="9.42578125" style="148" bestFit="1" customWidth="1"/>
    <col min="7198" max="7424" width="8.85546875" style="148"/>
    <col min="7425" max="7425" width="21" style="148" bestFit="1" customWidth="1"/>
    <col min="7426" max="7426" width="4" style="148" bestFit="1" customWidth="1"/>
    <col min="7427" max="7427" width="4.85546875" style="148" customWidth="1"/>
    <col min="7428" max="7428" width="4.7109375" style="148" customWidth="1"/>
    <col min="7429" max="7429" width="8.140625" style="148" bestFit="1" customWidth="1"/>
    <col min="7430" max="7430" width="6.28515625" style="148" bestFit="1" customWidth="1"/>
    <col min="7431" max="7431" width="4.85546875" style="148" bestFit="1" customWidth="1"/>
    <col min="7432" max="7432" width="9.28515625" style="148" customWidth="1"/>
    <col min="7433" max="7434" width="7" style="148" bestFit="1" customWidth="1"/>
    <col min="7435" max="7435" width="8.140625" style="148" bestFit="1" customWidth="1"/>
    <col min="7436" max="7436" width="7.28515625" style="148" bestFit="1" customWidth="1"/>
    <col min="7437" max="7437" width="5.7109375" style="148" bestFit="1" customWidth="1"/>
    <col min="7438" max="7439" width="7.28515625" style="148" bestFit="1" customWidth="1"/>
    <col min="7440" max="7440" width="0" style="148" hidden="1" customWidth="1"/>
    <col min="7441" max="7441" width="17.42578125" style="148" bestFit="1" customWidth="1"/>
    <col min="7442" max="7442" width="7" style="148" bestFit="1" customWidth="1"/>
    <col min="7443" max="7443" width="6.140625" style="148" bestFit="1" customWidth="1"/>
    <col min="7444" max="7444" width="16.140625" style="148" bestFit="1" customWidth="1"/>
    <col min="7445" max="7445" width="6.42578125" style="148" bestFit="1" customWidth="1"/>
    <col min="7446" max="7446" width="14" style="148" bestFit="1" customWidth="1"/>
    <col min="7447" max="7448" width="11.7109375" style="148" bestFit="1" customWidth="1"/>
    <col min="7449" max="7449" width="11.42578125" style="148" bestFit="1" customWidth="1"/>
    <col min="7450" max="7450" width="1.85546875" style="148" customWidth="1"/>
    <col min="7451" max="7451" width="11.140625" style="148" bestFit="1" customWidth="1"/>
    <col min="7452" max="7453" width="9.42578125" style="148" bestFit="1" customWidth="1"/>
    <col min="7454" max="7680" width="8.85546875" style="148"/>
    <col min="7681" max="7681" width="21" style="148" bestFit="1" customWidth="1"/>
    <col min="7682" max="7682" width="4" style="148" bestFit="1" customWidth="1"/>
    <col min="7683" max="7683" width="4.85546875" style="148" customWidth="1"/>
    <col min="7684" max="7684" width="4.7109375" style="148" customWidth="1"/>
    <col min="7685" max="7685" width="8.140625" style="148" bestFit="1" customWidth="1"/>
    <col min="7686" max="7686" width="6.28515625" style="148" bestFit="1" customWidth="1"/>
    <col min="7687" max="7687" width="4.85546875" style="148" bestFit="1" customWidth="1"/>
    <col min="7688" max="7688" width="9.28515625" style="148" customWidth="1"/>
    <col min="7689" max="7690" width="7" style="148" bestFit="1" customWidth="1"/>
    <col min="7691" max="7691" width="8.140625" style="148" bestFit="1" customWidth="1"/>
    <col min="7692" max="7692" width="7.28515625" style="148" bestFit="1" customWidth="1"/>
    <col min="7693" max="7693" width="5.7109375" style="148" bestFit="1" customWidth="1"/>
    <col min="7694" max="7695" width="7.28515625" style="148" bestFit="1" customWidth="1"/>
    <col min="7696" max="7696" width="0" style="148" hidden="1" customWidth="1"/>
    <col min="7697" max="7697" width="17.42578125" style="148" bestFit="1" customWidth="1"/>
    <col min="7698" max="7698" width="7" style="148" bestFit="1" customWidth="1"/>
    <col min="7699" max="7699" width="6.140625" style="148" bestFit="1" customWidth="1"/>
    <col min="7700" max="7700" width="16.140625" style="148" bestFit="1" customWidth="1"/>
    <col min="7701" max="7701" width="6.42578125" style="148" bestFit="1" customWidth="1"/>
    <col min="7702" max="7702" width="14" style="148" bestFit="1" customWidth="1"/>
    <col min="7703" max="7704" width="11.7109375" style="148" bestFit="1" customWidth="1"/>
    <col min="7705" max="7705" width="11.42578125" style="148" bestFit="1" customWidth="1"/>
    <col min="7706" max="7706" width="1.85546875" style="148" customWidth="1"/>
    <col min="7707" max="7707" width="11.140625" style="148" bestFit="1" customWidth="1"/>
    <col min="7708" max="7709" width="9.42578125" style="148" bestFit="1" customWidth="1"/>
    <col min="7710" max="7936" width="8.85546875" style="148"/>
    <col min="7937" max="7937" width="21" style="148" bestFit="1" customWidth="1"/>
    <col min="7938" max="7938" width="4" style="148" bestFit="1" customWidth="1"/>
    <col min="7939" max="7939" width="4.85546875" style="148" customWidth="1"/>
    <col min="7940" max="7940" width="4.7109375" style="148" customWidth="1"/>
    <col min="7941" max="7941" width="8.140625" style="148" bestFit="1" customWidth="1"/>
    <col min="7942" max="7942" width="6.28515625" style="148" bestFit="1" customWidth="1"/>
    <col min="7943" max="7943" width="4.85546875" style="148" bestFit="1" customWidth="1"/>
    <col min="7944" max="7944" width="9.28515625" style="148" customWidth="1"/>
    <col min="7945" max="7946" width="7" style="148" bestFit="1" customWidth="1"/>
    <col min="7947" max="7947" width="8.140625" style="148" bestFit="1" customWidth="1"/>
    <col min="7948" max="7948" width="7.28515625" style="148" bestFit="1" customWidth="1"/>
    <col min="7949" max="7949" width="5.7109375" style="148" bestFit="1" customWidth="1"/>
    <col min="7950" max="7951" width="7.28515625" style="148" bestFit="1" customWidth="1"/>
    <col min="7952" max="7952" width="0" style="148" hidden="1" customWidth="1"/>
    <col min="7953" max="7953" width="17.42578125" style="148" bestFit="1" customWidth="1"/>
    <col min="7954" max="7954" width="7" style="148" bestFit="1" customWidth="1"/>
    <col min="7955" max="7955" width="6.140625" style="148" bestFit="1" customWidth="1"/>
    <col min="7956" max="7956" width="16.140625" style="148" bestFit="1" customWidth="1"/>
    <col min="7957" max="7957" width="6.42578125" style="148" bestFit="1" customWidth="1"/>
    <col min="7958" max="7958" width="14" style="148" bestFit="1" customWidth="1"/>
    <col min="7959" max="7960" width="11.7109375" style="148" bestFit="1" customWidth="1"/>
    <col min="7961" max="7961" width="11.42578125" style="148" bestFit="1" customWidth="1"/>
    <col min="7962" max="7962" width="1.85546875" style="148" customWidth="1"/>
    <col min="7963" max="7963" width="11.140625" style="148" bestFit="1" customWidth="1"/>
    <col min="7964" max="7965" width="9.42578125" style="148" bestFit="1" customWidth="1"/>
    <col min="7966" max="8192" width="8.85546875" style="148"/>
    <col min="8193" max="8193" width="21" style="148" bestFit="1" customWidth="1"/>
    <col min="8194" max="8194" width="4" style="148" bestFit="1" customWidth="1"/>
    <col min="8195" max="8195" width="4.85546875" style="148" customWidth="1"/>
    <col min="8196" max="8196" width="4.7109375" style="148" customWidth="1"/>
    <col min="8197" max="8197" width="8.140625" style="148" bestFit="1" customWidth="1"/>
    <col min="8198" max="8198" width="6.28515625" style="148" bestFit="1" customWidth="1"/>
    <col min="8199" max="8199" width="4.85546875" style="148" bestFit="1" customWidth="1"/>
    <col min="8200" max="8200" width="9.28515625" style="148" customWidth="1"/>
    <col min="8201" max="8202" width="7" style="148" bestFit="1" customWidth="1"/>
    <col min="8203" max="8203" width="8.140625" style="148" bestFit="1" customWidth="1"/>
    <col min="8204" max="8204" width="7.28515625" style="148" bestFit="1" customWidth="1"/>
    <col min="8205" max="8205" width="5.7109375" style="148" bestFit="1" customWidth="1"/>
    <col min="8206" max="8207" width="7.28515625" style="148" bestFit="1" customWidth="1"/>
    <col min="8208" max="8208" width="0" style="148" hidden="1" customWidth="1"/>
    <col min="8209" max="8209" width="17.42578125" style="148" bestFit="1" customWidth="1"/>
    <col min="8210" max="8210" width="7" style="148" bestFit="1" customWidth="1"/>
    <col min="8211" max="8211" width="6.140625" style="148" bestFit="1" customWidth="1"/>
    <col min="8212" max="8212" width="16.140625" style="148" bestFit="1" customWidth="1"/>
    <col min="8213" max="8213" width="6.42578125" style="148" bestFit="1" customWidth="1"/>
    <col min="8214" max="8214" width="14" style="148" bestFit="1" customWidth="1"/>
    <col min="8215" max="8216" width="11.7109375" style="148" bestFit="1" customWidth="1"/>
    <col min="8217" max="8217" width="11.42578125" style="148" bestFit="1" customWidth="1"/>
    <col min="8218" max="8218" width="1.85546875" style="148" customWidth="1"/>
    <col min="8219" max="8219" width="11.140625" style="148" bestFit="1" customWidth="1"/>
    <col min="8220" max="8221" width="9.42578125" style="148" bestFit="1" customWidth="1"/>
    <col min="8222" max="8448" width="8.85546875" style="148"/>
    <col min="8449" max="8449" width="21" style="148" bestFit="1" customWidth="1"/>
    <col min="8450" max="8450" width="4" style="148" bestFit="1" customWidth="1"/>
    <col min="8451" max="8451" width="4.85546875" style="148" customWidth="1"/>
    <col min="8452" max="8452" width="4.7109375" style="148" customWidth="1"/>
    <col min="8453" max="8453" width="8.140625" style="148" bestFit="1" customWidth="1"/>
    <col min="8454" max="8454" width="6.28515625" style="148" bestFit="1" customWidth="1"/>
    <col min="8455" max="8455" width="4.85546875" style="148" bestFit="1" customWidth="1"/>
    <col min="8456" max="8456" width="9.28515625" style="148" customWidth="1"/>
    <col min="8457" max="8458" width="7" style="148" bestFit="1" customWidth="1"/>
    <col min="8459" max="8459" width="8.140625" style="148" bestFit="1" customWidth="1"/>
    <col min="8460" max="8460" width="7.28515625" style="148" bestFit="1" customWidth="1"/>
    <col min="8461" max="8461" width="5.7109375" style="148" bestFit="1" customWidth="1"/>
    <col min="8462" max="8463" width="7.28515625" style="148" bestFit="1" customWidth="1"/>
    <col min="8464" max="8464" width="0" style="148" hidden="1" customWidth="1"/>
    <col min="8465" max="8465" width="17.42578125" style="148" bestFit="1" customWidth="1"/>
    <col min="8466" max="8466" width="7" style="148" bestFit="1" customWidth="1"/>
    <col min="8467" max="8467" width="6.140625" style="148" bestFit="1" customWidth="1"/>
    <col min="8468" max="8468" width="16.140625" style="148" bestFit="1" customWidth="1"/>
    <col min="8469" max="8469" width="6.42578125" style="148" bestFit="1" customWidth="1"/>
    <col min="8470" max="8470" width="14" style="148" bestFit="1" customWidth="1"/>
    <col min="8471" max="8472" width="11.7109375" style="148" bestFit="1" customWidth="1"/>
    <col min="8473" max="8473" width="11.42578125" style="148" bestFit="1" customWidth="1"/>
    <col min="8474" max="8474" width="1.85546875" style="148" customWidth="1"/>
    <col min="8475" max="8475" width="11.140625" style="148" bestFit="1" customWidth="1"/>
    <col min="8476" max="8477" width="9.42578125" style="148" bestFit="1" customWidth="1"/>
    <col min="8478" max="8704" width="8.85546875" style="148"/>
    <col min="8705" max="8705" width="21" style="148" bestFit="1" customWidth="1"/>
    <col min="8706" max="8706" width="4" style="148" bestFit="1" customWidth="1"/>
    <col min="8707" max="8707" width="4.85546875" style="148" customWidth="1"/>
    <col min="8708" max="8708" width="4.7109375" style="148" customWidth="1"/>
    <col min="8709" max="8709" width="8.140625" style="148" bestFit="1" customWidth="1"/>
    <col min="8710" max="8710" width="6.28515625" style="148" bestFit="1" customWidth="1"/>
    <col min="8711" max="8711" width="4.85546875" style="148" bestFit="1" customWidth="1"/>
    <col min="8712" max="8712" width="9.28515625" style="148" customWidth="1"/>
    <col min="8713" max="8714" width="7" style="148" bestFit="1" customWidth="1"/>
    <col min="8715" max="8715" width="8.140625" style="148" bestFit="1" customWidth="1"/>
    <col min="8716" max="8716" width="7.28515625" style="148" bestFit="1" customWidth="1"/>
    <col min="8717" max="8717" width="5.7109375" style="148" bestFit="1" customWidth="1"/>
    <col min="8718" max="8719" width="7.28515625" style="148" bestFit="1" customWidth="1"/>
    <col min="8720" max="8720" width="0" style="148" hidden="1" customWidth="1"/>
    <col min="8721" max="8721" width="17.42578125" style="148" bestFit="1" customWidth="1"/>
    <col min="8722" max="8722" width="7" style="148" bestFit="1" customWidth="1"/>
    <col min="8723" max="8723" width="6.140625" style="148" bestFit="1" customWidth="1"/>
    <col min="8724" max="8724" width="16.140625" style="148" bestFit="1" customWidth="1"/>
    <col min="8725" max="8725" width="6.42578125" style="148" bestFit="1" customWidth="1"/>
    <col min="8726" max="8726" width="14" style="148" bestFit="1" customWidth="1"/>
    <col min="8727" max="8728" width="11.7109375" style="148" bestFit="1" customWidth="1"/>
    <col min="8729" max="8729" width="11.42578125" style="148" bestFit="1" customWidth="1"/>
    <col min="8730" max="8730" width="1.85546875" style="148" customWidth="1"/>
    <col min="8731" max="8731" width="11.140625" style="148" bestFit="1" customWidth="1"/>
    <col min="8732" max="8733" width="9.42578125" style="148" bestFit="1" customWidth="1"/>
    <col min="8734" max="8960" width="8.85546875" style="148"/>
    <col min="8961" max="8961" width="21" style="148" bestFit="1" customWidth="1"/>
    <col min="8962" max="8962" width="4" style="148" bestFit="1" customWidth="1"/>
    <col min="8963" max="8963" width="4.85546875" style="148" customWidth="1"/>
    <col min="8964" max="8964" width="4.7109375" style="148" customWidth="1"/>
    <col min="8965" max="8965" width="8.140625" style="148" bestFit="1" customWidth="1"/>
    <col min="8966" max="8966" width="6.28515625" style="148" bestFit="1" customWidth="1"/>
    <col min="8967" max="8967" width="4.85546875" style="148" bestFit="1" customWidth="1"/>
    <col min="8968" max="8968" width="9.28515625" style="148" customWidth="1"/>
    <col min="8969" max="8970" width="7" style="148" bestFit="1" customWidth="1"/>
    <col min="8971" max="8971" width="8.140625" style="148" bestFit="1" customWidth="1"/>
    <col min="8972" max="8972" width="7.28515625" style="148" bestFit="1" customWidth="1"/>
    <col min="8973" max="8973" width="5.7109375" style="148" bestFit="1" customWidth="1"/>
    <col min="8974" max="8975" width="7.28515625" style="148" bestFit="1" customWidth="1"/>
    <col min="8976" max="8976" width="0" style="148" hidden="1" customWidth="1"/>
    <col min="8977" max="8977" width="17.42578125" style="148" bestFit="1" customWidth="1"/>
    <col min="8978" max="8978" width="7" style="148" bestFit="1" customWidth="1"/>
    <col min="8979" max="8979" width="6.140625" style="148" bestFit="1" customWidth="1"/>
    <col min="8980" max="8980" width="16.140625" style="148" bestFit="1" customWidth="1"/>
    <col min="8981" max="8981" width="6.42578125" style="148" bestFit="1" customWidth="1"/>
    <col min="8982" max="8982" width="14" style="148" bestFit="1" customWidth="1"/>
    <col min="8983" max="8984" width="11.7109375" style="148" bestFit="1" customWidth="1"/>
    <col min="8985" max="8985" width="11.42578125" style="148" bestFit="1" customWidth="1"/>
    <col min="8986" max="8986" width="1.85546875" style="148" customWidth="1"/>
    <col min="8987" max="8987" width="11.140625" style="148" bestFit="1" customWidth="1"/>
    <col min="8988" max="8989" width="9.42578125" style="148" bestFit="1" customWidth="1"/>
    <col min="8990" max="9216" width="8.85546875" style="148"/>
    <col min="9217" max="9217" width="21" style="148" bestFit="1" customWidth="1"/>
    <col min="9218" max="9218" width="4" style="148" bestFit="1" customWidth="1"/>
    <col min="9219" max="9219" width="4.85546875" style="148" customWidth="1"/>
    <col min="9220" max="9220" width="4.7109375" style="148" customWidth="1"/>
    <col min="9221" max="9221" width="8.140625" style="148" bestFit="1" customWidth="1"/>
    <col min="9222" max="9222" width="6.28515625" style="148" bestFit="1" customWidth="1"/>
    <col min="9223" max="9223" width="4.85546875" style="148" bestFit="1" customWidth="1"/>
    <col min="9224" max="9224" width="9.28515625" style="148" customWidth="1"/>
    <col min="9225" max="9226" width="7" style="148" bestFit="1" customWidth="1"/>
    <col min="9227" max="9227" width="8.140625" style="148" bestFit="1" customWidth="1"/>
    <col min="9228" max="9228" width="7.28515625" style="148" bestFit="1" customWidth="1"/>
    <col min="9229" max="9229" width="5.7109375" style="148" bestFit="1" customWidth="1"/>
    <col min="9230" max="9231" width="7.28515625" style="148" bestFit="1" customWidth="1"/>
    <col min="9232" max="9232" width="0" style="148" hidden="1" customWidth="1"/>
    <col min="9233" max="9233" width="17.42578125" style="148" bestFit="1" customWidth="1"/>
    <col min="9234" max="9234" width="7" style="148" bestFit="1" customWidth="1"/>
    <col min="9235" max="9235" width="6.140625" style="148" bestFit="1" customWidth="1"/>
    <col min="9236" max="9236" width="16.140625" style="148" bestFit="1" customWidth="1"/>
    <col min="9237" max="9237" width="6.42578125" style="148" bestFit="1" customWidth="1"/>
    <col min="9238" max="9238" width="14" style="148" bestFit="1" customWidth="1"/>
    <col min="9239" max="9240" width="11.7109375" style="148" bestFit="1" customWidth="1"/>
    <col min="9241" max="9241" width="11.42578125" style="148" bestFit="1" customWidth="1"/>
    <col min="9242" max="9242" width="1.85546875" style="148" customWidth="1"/>
    <col min="9243" max="9243" width="11.140625" style="148" bestFit="1" customWidth="1"/>
    <col min="9244" max="9245" width="9.42578125" style="148" bestFit="1" customWidth="1"/>
    <col min="9246" max="9472" width="8.85546875" style="148"/>
    <col min="9473" max="9473" width="21" style="148" bestFit="1" customWidth="1"/>
    <col min="9474" max="9474" width="4" style="148" bestFit="1" customWidth="1"/>
    <col min="9475" max="9475" width="4.85546875" style="148" customWidth="1"/>
    <col min="9476" max="9476" width="4.7109375" style="148" customWidth="1"/>
    <col min="9477" max="9477" width="8.140625" style="148" bestFit="1" customWidth="1"/>
    <col min="9478" max="9478" width="6.28515625" style="148" bestFit="1" customWidth="1"/>
    <col min="9479" max="9479" width="4.85546875" style="148" bestFit="1" customWidth="1"/>
    <col min="9480" max="9480" width="9.28515625" style="148" customWidth="1"/>
    <col min="9481" max="9482" width="7" style="148" bestFit="1" customWidth="1"/>
    <col min="9483" max="9483" width="8.140625" style="148" bestFit="1" customWidth="1"/>
    <col min="9484" max="9484" width="7.28515625" style="148" bestFit="1" customWidth="1"/>
    <col min="9485" max="9485" width="5.7109375" style="148" bestFit="1" customWidth="1"/>
    <col min="9486" max="9487" width="7.28515625" style="148" bestFit="1" customWidth="1"/>
    <col min="9488" max="9488" width="0" style="148" hidden="1" customWidth="1"/>
    <col min="9489" max="9489" width="17.42578125" style="148" bestFit="1" customWidth="1"/>
    <col min="9490" max="9490" width="7" style="148" bestFit="1" customWidth="1"/>
    <col min="9491" max="9491" width="6.140625" style="148" bestFit="1" customWidth="1"/>
    <col min="9492" max="9492" width="16.140625" style="148" bestFit="1" customWidth="1"/>
    <col min="9493" max="9493" width="6.42578125" style="148" bestFit="1" customWidth="1"/>
    <col min="9494" max="9494" width="14" style="148" bestFit="1" customWidth="1"/>
    <col min="9495" max="9496" width="11.7109375" style="148" bestFit="1" customWidth="1"/>
    <col min="9497" max="9497" width="11.42578125" style="148" bestFit="1" customWidth="1"/>
    <col min="9498" max="9498" width="1.85546875" style="148" customWidth="1"/>
    <col min="9499" max="9499" width="11.140625" style="148" bestFit="1" customWidth="1"/>
    <col min="9500" max="9501" width="9.42578125" style="148" bestFit="1" customWidth="1"/>
    <col min="9502" max="9728" width="8.85546875" style="148"/>
    <col min="9729" max="9729" width="21" style="148" bestFit="1" customWidth="1"/>
    <col min="9730" max="9730" width="4" style="148" bestFit="1" customWidth="1"/>
    <col min="9731" max="9731" width="4.85546875" style="148" customWidth="1"/>
    <col min="9732" max="9732" width="4.7109375" style="148" customWidth="1"/>
    <col min="9733" max="9733" width="8.140625" style="148" bestFit="1" customWidth="1"/>
    <col min="9734" max="9734" width="6.28515625" style="148" bestFit="1" customWidth="1"/>
    <col min="9735" max="9735" width="4.85546875" style="148" bestFit="1" customWidth="1"/>
    <col min="9736" max="9736" width="9.28515625" style="148" customWidth="1"/>
    <col min="9737" max="9738" width="7" style="148" bestFit="1" customWidth="1"/>
    <col min="9739" max="9739" width="8.140625" style="148" bestFit="1" customWidth="1"/>
    <col min="9740" max="9740" width="7.28515625" style="148" bestFit="1" customWidth="1"/>
    <col min="9741" max="9741" width="5.7109375" style="148" bestFit="1" customWidth="1"/>
    <col min="9742" max="9743" width="7.28515625" style="148" bestFit="1" customWidth="1"/>
    <col min="9744" max="9744" width="0" style="148" hidden="1" customWidth="1"/>
    <col min="9745" max="9745" width="17.42578125" style="148" bestFit="1" customWidth="1"/>
    <col min="9746" max="9746" width="7" style="148" bestFit="1" customWidth="1"/>
    <col min="9747" max="9747" width="6.140625" style="148" bestFit="1" customWidth="1"/>
    <col min="9748" max="9748" width="16.140625" style="148" bestFit="1" customWidth="1"/>
    <col min="9749" max="9749" width="6.42578125" style="148" bestFit="1" customWidth="1"/>
    <col min="9750" max="9750" width="14" style="148" bestFit="1" customWidth="1"/>
    <col min="9751" max="9752" width="11.7109375" style="148" bestFit="1" customWidth="1"/>
    <col min="9753" max="9753" width="11.42578125" style="148" bestFit="1" customWidth="1"/>
    <col min="9754" max="9754" width="1.85546875" style="148" customWidth="1"/>
    <col min="9755" max="9755" width="11.140625" style="148" bestFit="1" customWidth="1"/>
    <col min="9756" max="9757" width="9.42578125" style="148" bestFit="1" customWidth="1"/>
    <col min="9758" max="9984" width="8.85546875" style="148"/>
    <col min="9985" max="9985" width="21" style="148" bestFit="1" customWidth="1"/>
    <col min="9986" max="9986" width="4" style="148" bestFit="1" customWidth="1"/>
    <col min="9987" max="9987" width="4.85546875" style="148" customWidth="1"/>
    <col min="9988" max="9988" width="4.7109375" style="148" customWidth="1"/>
    <col min="9989" max="9989" width="8.140625" style="148" bestFit="1" customWidth="1"/>
    <col min="9990" max="9990" width="6.28515625" style="148" bestFit="1" customWidth="1"/>
    <col min="9991" max="9991" width="4.85546875" style="148" bestFit="1" customWidth="1"/>
    <col min="9992" max="9992" width="9.28515625" style="148" customWidth="1"/>
    <col min="9993" max="9994" width="7" style="148" bestFit="1" customWidth="1"/>
    <col min="9995" max="9995" width="8.140625" style="148" bestFit="1" customWidth="1"/>
    <col min="9996" max="9996" width="7.28515625" style="148" bestFit="1" customWidth="1"/>
    <col min="9997" max="9997" width="5.7109375" style="148" bestFit="1" customWidth="1"/>
    <col min="9998" max="9999" width="7.28515625" style="148" bestFit="1" customWidth="1"/>
    <col min="10000" max="10000" width="0" style="148" hidden="1" customWidth="1"/>
    <col min="10001" max="10001" width="17.42578125" style="148" bestFit="1" customWidth="1"/>
    <col min="10002" max="10002" width="7" style="148" bestFit="1" customWidth="1"/>
    <col min="10003" max="10003" width="6.140625" style="148" bestFit="1" customWidth="1"/>
    <col min="10004" max="10004" width="16.140625" style="148" bestFit="1" customWidth="1"/>
    <col min="10005" max="10005" width="6.42578125" style="148" bestFit="1" customWidth="1"/>
    <col min="10006" max="10006" width="14" style="148" bestFit="1" customWidth="1"/>
    <col min="10007" max="10008" width="11.7109375" style="148" bestFit="1" customWidth="1"/>
    <col min="10009" max="10009" width="11.42578125" style="148" bestFit="1" customWidth="1"/>
    <col min="10010" max="10010" width="1.85546875" style="148" customWidth="1"/>
    <col min="10011" max="10011" width="11.140625" style="148" bestFit="1" customWidth="1"/>
    <col min="10012" max="10013" width="9.42578125" style="148" bestFit="1" customWidth="1"/>
    <col min="10014" max="10240" width="8.85546875" style="148"/>
    <col min="10241" max="10241" width="21" style="148" bestFit="1" customWidth="1"/>
    <col min="10242" max="10242" width="4" style="148" bestFit="1" customWidth="1"/>
    <col min="10243" max="10243" width="4.85546875" style="148" customWidth="1"/>
    <col min="10244" max="10244" width="4.7109375" style="148" customWidth="1"/>
    <col min="10245" max="10245" width="8.140625" style="148" bestFit="1" customWidth="1"/>
    <col min="10246" max="10246" width="6.28515625" style="148" bestFit="1" customWidth="1"/>
    <col min="10247" max="10247" width="4.85546875" style="148" bestFit="1" customWidth="1"/>
    <col min="10248" max="10248" width="9.28515625" style="148" customWidth="1"/>
    <col min="10249" max="10250" width="7" style="148" bestFit="1" customWidth="1"/>
    <col min="10251" max="10251" width="8.140625" style="148" bestFit="1" customWidth="1"/>
    <col min="10252" max="10252" width="7.28515625" style="148" bestFit="1" customWidth="1"/>
    <col min="10253" max="10253" width="5.7109375" style="148" bestFit="1" customWidth="1"/>
    <col min="10254" max="10255" width="7.28515625" style="148" bestFit="1" customWidth="1"/>
    <col min="10256" max="10256" width="0" style="148" hidden="1" customWidth="1"/>
    <col min="10257" max="10257" width="17.42578125" style="148" bestFit="1" customWidth="1"/>
    <col min="10258" max="10258" width="7" style="148" bestFit="1" customWidth="1"/>
    <col min="10259" max="10259" width="6.140625" style="148" bestFit="1" customWidth="1"/>
    <col min="10260" max="10260" width="16.140625" style="148" bestFit="1" customWidth="1"/>
    <col min="10261" max="10261" width="6.42578125" style="148" bestFit="1" customWidth="1"/>
    <col min="10262" max="10262" width="14" style="148" bestFit="1" customWidth="1"/>
    <col min="10263" max="10264" width="11.7109375" style="148" bestFit="1" customWidth="1"/>
    <col min="10265" max="10265" width="11.42578125" style="148" bestFit="1" customWidth="1"/>
    <col min="10266" max="10266" width="1.85546875" style="148" customWidth="1"/>
    <col min="10267" max="10267" width="11.140625" style="148" bestFit="1" customWidth="1"/>
    <col min="10268" max="10269" width="9.42578125" style="148" bestFit="1" customWidth="1"/>
    <col min="10270" max="10496" width="8.85546875" style="148"/>
    <col min="10497" max="10497" width="21" style="148" bestFit="1" customWidth="1"/>
    <col min="10498" max="10498" width="4" style="148" bestFit="1" customWidth="1"/>
    <col min="10499" max="10499" width="4.85546875" style="148" customWidth="1"/>
    <col min="10500" max="10500" width="4.7109375" style="148" customWidth="1"/>
    <col min="10501" max="10501" width="8.140625" style="148" bestFit="1" customWidth="1"/>
    <col min="10502" max="10502" width="6.28515625" style="148" bestFit="1" customWidth="1"/>
    <col min="10503" max="10503" width="4.85546875" style="148" bestFit="1" customWidth="1"/>
    <col min="10504" max="10504" width="9.28515625" style="148" customWidth="1"/>
    <col min="10505" max="10506" width="7" style="148" bestFit="1" customWidth="1"/>
    <col min="10507" max="10507" width="8.140625" style="148" bestFit="1" customWidth="1"/>
    <col min="10508" max="10508" width="7.28515625" style="148" bestFit="1" customWidth="1"/>
    <col min="10509" max="10509" width="5.7109375" style="148" bestFit="1" customWidth="1"/>
    <col min="10510" max="10511" width="7.28515625" style="148" bestFit="1" customWidth="1"/>
    <col min="10512" max="10512" width="0" style="148" hidden="1" customWidth="1"/>
    <col min="10513" max="10513" width="17.42578125" style="148" bestFit="1" customWidth="1"/>
    <col min="10514" max="10514" width="7" style="148" bestFit="1" customWidth="1"/>
    <col min="10515" max="10515" width="6.140625" style="148" bestFit="1" customWidth="1"/>
    <col min="10516" max="10516" width="16.140625" style="148" bestFit="1" customWidth="1"/>
    <col min="10517" max="10517" width="6.42578125" style="148" bestFit="1" customWidth="1"/>
    <col min="10518" max="10518" width="14" style="148" bestFit="1" customWidth="1"/>
    <col min="10519" max="10520" width="11.7109375" style="148" bestFit="1" customWidth="1"/>
    <col min="10521" max="10521" width="11.42578125" style="148" bestFit="1" customWidth="1"/>
    <col min="10522" max="10522" width="1.85546875" style="148" customWidth="1"/>
    <col min="10523" max="10523" width="11.140625" style="148" bestFit="1" customWidth="1"/>
    <col min="10524" max="10525" width="9.42578125" style="148" bestFit="1" customWidth="1"/>
    <col min="10526" max="10752" width="8.85546875" style="148"/>
    <col min="10753" max="10753" width="21" style="148" bestFit="1" customWidth="1"/>
    <col min="10754" max="10754" width="4" style="148" bestFit="1" customWidth="1"/>
    <col min="10755" max="10755" width="4.85546875" style="148" customWidth="1"/>
    <col min="10756" max="10756" width="4.7109375" style="148" customWidth="1"/>
    <col min="10757" max="10757" width="8.140625" style="148" bestFit="1" customWidth="1"/>
    <col min="10758" max="10758" width="6.28515625" style="148" bestFit="1" customWidth="1"/>
    <col min="10759" max="10759" width="4.85546875" style="148" bestFit="1" customWidth="1"/>
    <col min="10760" max="10760" width="9.28515625" style="148" customWidth="1"/>
    <col min="10761" max="10762" width="7" style="148" bestFit="1" customWidth="1"/>
    <col min="10763" max="10763" width="8.140625" style="148" bestFit="1" customWidth="1"/>
    <col min="10764" max="10764" width="7.28515625" style="148" bestFit="1" customWidth="1"/>
    <col min="10765" max="10765" width="5.7109375" style="148" bestFit="1" customWidth="1"/>
    <col min="10766" max="10767" width="7.28515625" style="148" bestFit="1" customWidth="1"/>
    <col min="10768" max="10768" width="0" style="148" hidden="1" customWidth="1"/>
    <col min="10769" max="10769" width="17.42578125" style="148" bestFit="1" customWidth="1"/>
    <col min="10770" max="10770" width="7" style="148" bestFit="1" customWidth="1"/>
    <col min="10771" max="10771" width="6.140625" style="148" bestFit="1" customWidth="1"/>
    <col min="10772" max="10772" width="16.140625" style="148" bestFit="1" customWidth="1"/>
    <col min="10773" max="10773" width="6.42578125" style="148" bestFit="1" customWidth="1"/>
    <col min="10774" max="10774" width="14" style="148" bestFit="1" customWidth="1"/>
    <col min="10775" max="10776" width="11.7109375" style="148" bestFit="1" customWidth="1"/>
    <col min="10777" max="10777" width="11.42578125" style="148" bestFit="1" customWidth="1"/>
    <col min="10778" max="10778" width="1.85546875" style="148" customWidth="1"/>
    <col min="10779" max="10779" width="11.140625" style="148" bestFit="1" customWidth="1"/>
    <col min="10780" max="10781" width="9.42578125" style="148" bestFit="1" customWidth="1"/>
    <col min="10782" max="11008" width="8.85546875" style="148"/>
    <col min="11009" max="11009" width="21" style="148" bestFit="1" customWidth="1"/>
    <col min="11010" max="11010" width="4" style="148" bestFit="1" customWidth="1"/>
    <col min="11011" max="11011" width="4.85546875" style="148" customWidth="1"/>
    <col min="11012" max="11012" width="4.7109375" style="148" customWidth="1"/>
    <col min="11013" max="11013" width="8.140625" style="148" bestFit="1" customWidth="1"/>
    <col min="11014" max="11014" width="6.28515625" style="148" bestFit="1" customWidth="1"/>
    <col min="11015" max="11015" width="4.85546875" style="148" bestFit="1" customWidth="1"/>
    <col min="11016" max="11016" width="9.28515625" style="148" customWidth="1"/>
    <col min="11017" max="11018" width="7" style="148" bestFit="1" customWidth="1"/>
    <col min="11019" max="11019" width="8.140625" style="148" bestFit="1" customWidth="1"/>
    <col min="11020" max="11020" width="7.28515625" style="148" bestFit="1" customWidth="1"/>
    <col min="11021" max="11021" width="5.7109375" style="148" bestFit="1" customWidth="1"/>
    <col min="11022" max="11023" width="7.28515625" style="148" bestFit="1" customWidth="1"/>
    <col min="11024" max="11024" width="0" style="148" hidden="1" customWidth="1"/>
    <col min="11025" max="11025" width="17.42578125" style="148" bestFit="1" customWidth="1"/>
    <col min="11026" max="11026" width="7" style="148" bestFit="1" customWidth="1"/>
    <col min="11027" max="11027" width="6.140625" style="148" bestFit="1" customWidth="1"/>
    <col min="11028" max="11028" width="16.140625" style="148" bestFit="1" customWidth="1"/>
    <col min="11029" max="11029" width="6.42578125" style="148" bestFit="1" customWidth="1"/>
    <col min="11030" max="11030" width="14" style="148" bestFit="1" customWidth="1"/>
    <col min="11031" max="11032" width="11.7109375" style="148" bestFit="1" customWidth="1"/>
    <col min="11033" max="11033" width="11.42578125" style="148" bestFit="1" customWidth="1"/>
    <col min="11034" max="11034" width="1.85546875" style="148" customWidth="1"/>
    <col min="11035" max="11035" width="11.140625" style="148" bestFit="1" customWidth="1"/>
    <col min="11036" max="11037" width="9.42578125" style="148" bestFit="1" customWidth="1"/>
    <col min="11038" max="11264" width="8.85546875" style="148"/>
    <col min="11265" max="11265" width="21" style="148" bestFit="1" customWidth="1"/>
    <col min="11266" max="11266" width="4" style="148" bestFit="1" customWidth="1"/>
    <col min="11267" max="11267" width="4.85546875" style="148" customWidth="1"/>
    <col min="11268" max="11268" width="4.7109375" style="148" customWidth="1"/>
    <col min="11269" max="11269" width="8.140625" style="148" bestFit="1" customWidth="1"/>
    <col min="11270" max="11270" width="6.28515625" style="148" bestFit="1" customWidth="1"/>
    <col min="11271" max="11271" width="4.85546875" style="148" bestFit="1" customWidth="1"/>
    <col min="11272" max="11272" width="9.28515625" style="148" customWidth="1"/>
    <col min="11273" max="11274" width="7" style="148" bestFit="1" customWidth="1"/>
    <col min="11275" max="11275" width="8.140625" style="148" bestFit="1" customWidth="1"/>
    <col min="11276" max="11276" width="7.28515625" style="148" bestFit="1" customWidth="1"/>
    <col min="11277" max="11277" width="5.7109375" style="148" bestFit="1" customWidth="1"/>
    <col min="11278" max="11279" width="7.28515625" style="148" bestFit="1" customWidth="1"/>
    <col min="11280" max="11280" width="0" style="148" hidden="1" customWidth="1"/>
    <col min="11281" max="11281" width="17.42578125" style="148" bestFit="1" customWidth="1"/>
    <col min="11282" max="11282" width="7" style="148" bestFit="1" customWidth="1"/>
    <col min="11283" max="11283" width="6.140625" style="148" bestFit="1" customWidth="1"/>
    <col min="11284" max="11284" width="16.140625" style="148" bestFit="1" customWidth="1"/>
    <col min="11285" max="11285" width="6.42578125" style="148" bestFit="1" customWidth="1"/>
    <col min="11286" max="11286" width="14" style="148" bestFit="1" customWidth="1"/>
    <col min="11287" max="11288" width="11.7109375" style="148" bestFit="1" customWidth="1"/>
    <col min="11289" max="11289" width="11.42578125" style="148" bestFit="1" customWidth="1"/>
    <col min="11290" max="11290" width="1.85546875" style="148" customWidth="1"/>
    <col min="11291" max="11291" width="11.140625" style="148" bestFit="1" customWidth="1"/>
    <col min="11292" max="11293" width="9.42578125" style="148" bestFit="1" customWidth="1"/>
    <col min="11294" max="11520" width="8.85546875" style="148"/>
    <col min="11521" max="11521" width="21" style="148" bestFit="1" customWidth="1"/>
    <col min="11522" max="11522" width="4" style="148" bestFit="1" customWidth="1"/>
    <col min="11523" max="11523" width="4.85546875" style="148" customWidth="1"/>
    <col min="11524" max="11524" width="4.7109375" style="148" customWidth="1"/>
    <col min="11525" max="11525" width="8.140625" style="148" bestFit="1" customWidth="1"/>
    <col min="11526" max="11526" width="6.28515625" style="148" bestFit="1" customWidth="1"/>
    <col min="11527" max="11527" width="4.85546875" style="148" bestFit="1" customWidth="1"/>
    <col min="11528" max="11528" width="9.28515625" style="148" customWidth="1"/>
    <col min="11529" max="11530" width="7" style="148" bestFit="1" customWidth="1"/>
    <col min="11531" max="11531" width="8.140625" style="148" bestFit="1" customWidth="1"/>
    <col min="11532" max="11532" width="7.28515625" style="148" bestFit="1" customWidth="1"/>
    <col min="11533" max="11533" width="5.7109375" style="148" bestFit="1" customWidth="1"/>
    <col min="11534" max="11535" width="7.28515625" style="148" bestFit="1" customWidth="1"/>
    <col min="11536" max="11536" width="0" style="148" hidden="1" customWidth="1"/>
    <col min="11537" max="11537" width="17.42578125" style="148" bestFit="1" customWidth="1"/>
    <col min="11538" max="11538" width="7" style="148" bestFit="1" customWidth="1"/>
    <col min="11539" max="11539" width="6.140625" style="148" bestFit="1" customWidth="1"/>
    <col min="11540" max="11540" width="16.140625" style="148" bestFit="1" customWidth="1"/>
    <col min="11541" max="11541" width="6.42578125" style="148" bestFit="1" customWidth="1"/>
    <col min="11542" max="11542" width="14" style="148" bestFit="1" customWidth="1"/>
    <col min="11543" max="11544" width="11.7109375" style="148" bestFit="1" customWidth="1"/>
    <col min="11545" max="11545" width="11.42578125" style="148" bestFit="1" customWidth="1"/>
    <col min="11546" max="11546" width="1.85546875" style="148" customWidth="1"/>
    <col min="11547" max="11547" width="11.140625" style="148" bestFit="1" customWidth="1"/>
    <col min="11548" max="11549" width="9.42578125" style="148" bestFit="1" customWidth="1"/>
    <col min="11550" max="11776" width="8.85546875" style="148"/>
    <col min="11777" max="11777" width="21" style="148" bestFit="1" customWidth="1"/>
    <col min="11778" max="11778" width="4" style="148" bestFit="1" customWidth="1"/>
    <col min="11779" max="11779" width="4.85546875" style="148" customWidth="1"/>
    <col min="11780" max="11780" width="4.7109375" style="148" customWidth="1"/>
    <col min="11781" max="11781" width="8.140625" style="148" bestFit="1" customWidth="1"/>
    <col min="11782" max="11782" width="6.28515625" style="148" bestFit="1" customWidth="1"/>
    <col min="11783" max="11783" width="4.85546875" style="148" bestFit="1" customWidth="1"/>
    <col min="11784" max="11784" width="9.28515625" style="148" customWidth="1"/>
    <col min="11785" max="11786" width="7" style="148" bestFit="1" customWidth="1"/>
    <col min="11787" max="11787" width="8.140625" style="148" bestFit="1" customWidth="1"/>
    <col min="11788" max="11788" width="7.28515625" style="148" bestFit="1" customWidth="1"/>
    <col min="11789" max="11789" width="5.7109375" style="148" bestFit="1" customWidth="1"/>
    <col min="11790" max="11791" width="7.28515625" style="148" bestFit="1" customWidth="1"/>
    <col min="11792" max="11792" width="0" style="148" hidden="1" customWidth="1"/>
    <col min="11793" max="11793" width="17.42578125" style="148" bestFit="1" customWidth="1"/>
    <col min="11794" max="11794" width="7" style="148" bestFit="1" customWidth="1"/>
    <col min="11795" max="11795" width="6.140625" style="148" bestFit="1" customWidth="1"/>
    <col min="11796" max="11796" width="16.140625" style="148" bestFit="1" customWidth="1"/>
    <col min="11797" max="11797" width="6.42578125" style="148" bestFit="1" customWidth="1"/>
    <col min="11798" max="11798" width="14" style="148" bestFit="1" customWidth="1"/>
    <col min="11799" max="11800" width="11.7109375" style="148" bestFit="1" customWidth="1"/>
    <col min="11801" max="11801" width="11.42578125" style="148" bestFit="1" customWidth="1"/>
    <col min="11802" max="11802" width="1.85546875" style="148" customWidth="1"/>
    <col min="11803" max="11803" width="11.140625" style="148" bestFit="1" customWidth="1"/>
    <col min="11804" max="11805" width="9.42578125" style="148" bestFit="1" customWidth="1"/>
    <col min="11806" max="12032" width="8.85546875" style="148"/>
    <col min="12033" max="12033" width="21" style="148" bestFit="1" customWidth="1"/>
    <col min="12034" max="12034" width="4" style="148" bestFit="1" customWidth="1"/>
    <col min="12035" max="12035" width="4.85546875" style="148" customWidth="1"/>
    <col min="12036" max="12036" width="4.7109375" style="148" customWidth="1"/>
    <col min="12037" max="12037" width="8.140625" style="148" bestFit="1" customWidth="1"/>
    <col min="12038" max="12038" width="6.28515625" style="148" bestFit="1" customWidth="1"/>
    <col min="12039" max="12039" width="4.85546875" style="148" bestFit="1" customWidth="1"/>
    <col min="12040" max="12040" width="9.28515625" style="148" customWidth="1"/>
    <col min="12041" max="12042" width="7" style="148" bestFit="1" customWidth="1"/>
    <col min="12043" max="12043" width="8.140625" style="148" bestFit="1" customWidth="1"/>
    <col min="12044" max="12044" width="7.28515625" style="148" bestFit="1" customWidth="1"/>
    <col min="12045" max="12045" width="5.7109375" style="148" bestFit="1" customWidth="1"/>
    <col min="12046" max="12047" width="7.28515625" style="148" bestFit="1" customWidth="1"/>
    <col min="12048" max="12048" width="0" style="148" hidden="1" customWidth="1"/>
    <col min="12049" max="12049" width="17.42578125" style="148" bestFit="1" customWidth="1"/>
    <col min="12050" max="12050" width="7" style="148" bestFit="1" customWidth="1"/>
    <col min="12051" max="12051" width="6.140625" style="148" bestFit="1" customWidth="1"/>
    <col min="12052" max="12052" width="16.140625" style="148" bestFit="1" customWidth="1"/>
    <col min="12053" max="12053" width="6.42578125" style="148" bestFit="1" customWidth="1"/>
    <col min="12054" max="12054" width="14" style="148" bestFit="1" customWidth="1"/>
    <col min="12055" max="12056" width="11.7109375" style="148" bestFit="1" customWidth="1"/>
    <col min="12057" max="12057" width="11.42578125" style="148" bestFit="1" customWidth="1"/>
    <col min="12058" max="12058" width="1.85546875" style="148" customWidth="1"/>
    <col min="12059" max="12059" width="11.140625" style="148" bestFit="1" customWidth="1"/>
    <col min="12060" max="12061" width="9.42578125" style="148" bestFit="1" customWidth="1"/>
    <col min="12062" max="12288" width="8.85546875" style="148"/>
    <col min="12289" max="12289" width="21" style="148" bestFit="1" customWidth="1"/>
    <col min="12290" max="12290" width="4" style="148" bestFit="1" customWidth="1"/>
    <col min="12291" max="12291" width="4.85546875" style="148" customWidth="1"/>
    <col min="12292" max="12292" width="4.7109375" style="148" customWidth="1"/>
    <col min="12293" max="12293" width="8.140625" style="148" bestFit="1" customWidth="1"/>
    <col min="12294" max="12294" width="6.28515625" style="148" bestFit="1" customWidth="1"/>
    <col min="12295" max="12295" width="4.85546875" style="148" bestFit="1" customWidth="1"/>
    <col min="12296" max="12296" width="9.28515625" style="148" customWidth="1"/>
    <col min="12297" max="12298" width="7" style="148" bestFit="1" customWidth="1"/>
    <col min="12299" max="12299" width="8.140625" style="148" bestFit="1" customWidth="1"/>
    <col min="12300" max="12300" width="7.28515625" style="148" bestFit="1" customWidth="1"/>
    <col min="12301" max="12301" width="5.7109375" style="148" bestFit="1" customWidth="1"/>
    <col min="12302" max="12303" width="7.28515625" style="148" bestFit="1" customWidth="1"/>
    <col min="12304" max="12304" width="0" style="148" hidden="1" customWidth="1"/>
    <col min="12305" max="12305" width="17.42578125" style="148" bestFit="1" customWidth="1"/>
    <col min="12306" max="12306" width="7" style="148" bestFit="1" customWidth="1"/>
    <col min="12307" max="12307" width="6.140625" style="148" bestFit="1" customWidth="1"/>
    <col min="12308" max="12308" width="16.140625" style="148" bestFit="1" customWidth="1"/>
    <col min="12309" max="12309" width="6.42578125" style="148" bestFit="1" customWidth="1"/>
    <col min="12310" max="12310" width="14" style="148" bestFit="1" customWidth="1"/>
    <col min="12311" max="12312" width="11.7109375" style="148" bestFit="1" customWidth="1"/>
    <col min="12313" max="12313" width="11.42578125" style="148" bestFit="1" customWidth="1"/>
    <col min="12314" max="12314" width="1.85546875" style="148" customWidth="1"/>
    <col min="12315" max="12315" width="11.140625" style="148" bestFit="1" customWidth="1"/>
    <col min="12316" max="12317" width="9.42578125" style="148" bestFit="1" customWidth="1"/>
    <col min="12318" max="12544" width="8.85546875" style="148"/>
    <col min="12545" max="12545" width="21" style="148" bestFit="1" customWidth="1"/>
    <col min="12546" max="12546" width="4" style="148" bestFit="1" customWidth="1"/>
    <col min="12547" max="12547" width="4.85546875" style="148" customWidth="1"/>
    <col min="12548" max="12548" width="4.7109375" style="148" customWidth="1"/>
    <col min="12549" max="12549" width="8.140625" style="148" bestFit="1" customWidth="1"/>
    <col min="12550" max="12550" width="6.28515625" style="148" bestFit="1" customWidth="1"/>
    <col min="12551" max="12551" width="4.85546875" style="148" bestFit="1" customWidth="1"/>
    <col min="12552" max="12552" width="9.28515625" style="148" customWidth="1"/>
    <col min="12553" max="12554" width="7" style="148" bestFit="1" customWidth="1"/>
    <col min="12555" max="12555" width="8.140625" style="148" bestFit="1" customWidth="1"/>
    <col min="12556" max="12556" width="7.28515625" style="148" bestFit="1" customWidth="1"/>
    <col min="12557" max="12557" width="5.7109375" style="148" bestFit="1" customWidth="1"/>
    <col min="12558" max="12559" width="7.28515625" style="148" bestFit="1" customWidth="1"/>
    <col min="12560" max="12560" width="0" style="148" hidden="1" customWidth="1"/>
    <col min="12561" max="12561" width="17.42578125" style="148" bestFit="1" customWidth="1"/>
    <col min="12562" max="12562" width="7" style="148" bestFit="1" customWidth="1"/>
    <col min="12563" max="12563" width="6.140625" style="148" bestFit="1" customWidth="1"/>
    <col min="12564" max="12564" width="16.140625" style="148" bestFit="1" customWidth="1"/>
    <col min="12565" max="12565" width="6.42578125" style="148" bestFit="1" customWidth="1"/>
    <col min="12566" max="12566" width="14" style="148" bestFit="1" customWidth="1"/>
    <col min="12567" max="12568" width="11.7109375" style="148" bestFit="1" customWidth="1"/>
    <col min="12569" max="12569" width="11.42578125" style="148" bestFit="1" customWidth="1"/>
    <col min="12570" max="12570" width="1.85546875" style="148" customWidth="1"/>
    <col min="12571" max="12571" width="11.140625" style="148" bestFit="1" customWidth="1"/>
    <col min="12572" max="12573" width="9.42578125" style="148" bestFit="1" customWidth="1"/>
    <col min="12574" max="12800" width="8.85546875" style="148"/>
    <col min="12801" max="12801" width="21" style="148" bestFit="1" customWidth="1"/>
    <col min="12802" max="12802" width="4" style="148" bestFit="1" customWidth="1"/>
    <col min="12803" max="12803" width="4.85546875" style="148" customWidth="1"/>
    <col min="12804" max="12804" width="4.7109375" style="148" customWidth="1"/>
    <col min="12805" max="12805" width="8.140625" style="148" bestFit="1" customWidth="1"/>
    <col min="12806" max="12806" width="6.28515625" style="148" bestFit="1" customWidth="1"/>
    <col min="12807" max="12807" width="4.85546875" style="148" bestFit="1" customWidth="1"/>
    <col min="12808" max="12808" width="9.28515625" style="148" customWidth="1"/>
    <col min="12809" max="12810" width="7" style="148" bestFit="1" customWidth="1"/>
    <col min="12811" max="12811" width="8.140625" style="148" bestFit="1" customWidth="1"/>
    <col min="12812" max="12812" width="7.28515625" style="148" bestFit="1" customWidth="1"/>
    <col min="12813" max="12813" width="5.7109375" style="148" bestFit="1" customWidth="1"/>
    <col min="12814" max="12815" width="7.28515625" style="148" bestFit="1" customWidth="1"/>
    <col min="12816" max="12816" width="0" style="148" hidden="1" customWidth="1"/>
    <col min="12817" max="12817" width="17.42578125" style="148" bestFit="1" customWidth="1"/>
    <col min="12818" max="12818" width="7" style="148" bestFit="1" customWidth="1"/>
    <col min="12819" max="12819" width="6.140625" style="148" bestFit="1" customWidth="1"/>
    <col min="12820" max="12820" width="16.140625" style="148" bestFit="1" customWidth="1"/>
    <col min="12821" max="12821" width="6.42578125" style="148" bestFit="1" customWidth="1"/>
    <col min="12822" max="12822" width="14" style="148" bestFit="1" customWidth="1"/>
    <col min="12823" max="12824" width="11.7109375" style="148" bestFit="1" customWidth="1"/>
    <col min="12825" max="12825" width="11.42578125" style="148" bestFit="1" customWidth="1"/>
    <col min="12826" max="12826" width="1.85546875" style="148" customWidth="1"/>
    <col min="12827" max="12827" width="11.140625" style="148" bestFit="1" customWidth="1"/>
    <col min="12828" max="12829" width="9.42578125" style="148" bestFit="1" customWidth="1"/>
    <col min="12830" max="13056" width="8.85546875" style="148"/>
    <col min="13057" max="13057" width="21" style="148" bestFit="1" customWidth="1"/>
    <col min="13058" max="13058" width="4" style="148" bestFit="1" customWidth="1"/>
    <col min="13059" max="13059" width="4.85546875" style="148" customWidth="1"/>
    <col min="13060" max="13060" width="4.7109375" style="148" customWidth="1"/>
    <col min="13061" max="13061" width="8.140625" style="148" bestFit="1" customWidth="1"/>
    <col min="13062" max="13062" width="6.28515625" style="148" bestFit="1" customWidth="1"/>
    <col min="13063" max="13063" width="4.85546875" style="148" bestFit="1" customWidth="1"/>
    <col min="13064" max="13064" width="9.28515625" style="148" customWidth="1"/>
    <col min="13065" max="13066" width="7" style="148" bestFit="1" customWidth="1"/>
    <col min="13067" max="13067" width="8.140625" style="148" bestFit="1" customWidth="1"/>
    <col min="13068" max="13068" width="7.28515625" style="148" bestFit="1" customWidth="1"/>
    <col min="13069" max="13069" width="5.7109375" style="148" bestFit="1" customWidth="1"/>
    <col min="13070" max="13071" width="7.28515625" style="148" bestFit="1" customWidth="1"/>
    <col min="13072" max="13072" width="0" style="148" hidden="1" customWidth="1"/>
    <col min="13073" max="13073" width="17.42578125" style="148" bestFit="1" customWidth="1"/>
    <col min="13074" max="13074" width="7" style="148" bestFit="1" customWidth="1"/>
    <col min="13075" max="13075" width="6.140625" style="148" bestFit="1" customWidth="1"/>
    <col min="13076" max="13076" width="16.140625" style="148" bestFit="1" customWidth="1"/>
    <col min="13077" max="13077" width="6.42578125" style="148" bestFit="1" customWidth="1"/>
    <col min="13078" max="13078" width="14" style="148" bestFit="1" customWidth="1"/>
    <col min="13079" max="13080" width="11.7109375" style="148" bestFit="1" customWidth="1"/>
    <col min="13081" max="13081" width="11.42578125" style="148" bestFit="1" customWidth="1"/>
    <col min="13082" max="13082" width="1.85546875" style="148" customWidth="1"/>
    <col min="13083" max="13083" width="11.140625" style="148" bestFit="1" customWidth="1"/>
    <col min="13084" max="13085" width="9.42578125" style="148" bestFit="1" customWidth="1"/>
    <col min="13086" max="13312" width="8.85546875" style="148"/>
    <col min="13313" max="13313" width="21" style="148" bestFit="1" customWidth="1"/>
    <col min="13314" max="13314" width="4" style="148" bestFit="1" customWidth="1"/>
    <col min="13315" max="13315" width="4.85546875" style="148" customWidth="1"/>
    <col min="13316" max="13316" width="4.7109375" style="148" customWidth="1"/>
    <col min="13317" max="13317" width="8.140625" style="148" bestFit="1" customWidth="1"/>
    <col min="13318" max="13318" width="6.28515625" style="148" bestFit="1" customWidth="1"/>
    <col min="13319" max="13319" width="4.85546875" style="148" bestFit="1" customWidth="1"/>
    <col min="13320" max="13320" width="9.28515625" style="148" customWidth="1"/>
    <col min="13321" max="13322" width="7" style="148" bestFit="1" customWidth="1"/>
    <col min="13323" max="13323" width="8.140625" style="148" bestFit="1" customWidth="1"/>
    <col min="13324" max="13324" width="7.28515625" style="148" bestFit="1" customWidth="1"/>
    <col min="13325" max="13325" width="5.7109375" style="148" bestFit="1" customWidth="1"/>
    <col min="13326" max="13327" width="7.28515625" style="148" bestFit="1" customWidth="1"/>
    <col min="13328" max="13328" width="0" style="148" hidden="1" customWidth="1"/>
    <col min="13329" max="13329" width="17.42578125" style="148" bestFit="1" customWidth="1"/>
    <col min="13330" max="13330" width="7" style="148" bestFit="1" customWidth="1"/>
    <col min="13331" max="13331" width="6.140625" style="148" bestFit="1" customWidth="1"/>
    <col min="13332" max="13332" width="16.140625" style="148" bestFit="1" customWidth="1"/>
    <col min="13333" max="13333" width="6.42578125" style="148" bestFit="1" customWidth="1"/>
    <col min="13334" max="13334" width="14" style="148" bestFit="1" customWidth="1"/>
    <col min="13335" max="13336" width="11.7109375" style="148" bestFit="1" customWidth="1"/>
    <col min="13337" max="13337" width="11.42578125" style="148" bestFit="1" customWidth="1"/>
    <col min="13338" max="13338" width="1.85546875" style="148" customWidth="1"/>
    <col min="13339" max="13339" width="11.140625" style="148" bestFit="1" customWidth="1"/>
    <col min="13340" max="13341" width="9.42578125" style="148" bestFit="1" customWidth="1"/>
    <col min="13342" max="13568" width="8.85546875" style="148"/>
    <col min="13569" max="13569" width="21" style="148" bestFit="1" customWidth="1"/>
    <col min="13570" max="13570" width="4" style="148" bestFit="1" customWidth="1"/>
    <col min="13571" max="13571" width="4.85546875" style="148" customWidth="1"/>
    <col min="13572" max="13572" width="4.7109375" style="148" customWidth="1"/>
    <col min="13573" max="13573" width="8.140625" style="148" bestFit="1" customWidth="1"/>
    <col min="13574" max="13574" width="6.28515625" style="148" bestFit="1" customWidth="1"/>
    <col min="13575" max="13575" width="4.85546875" style="148" bestFit="1" customWidth="1"/>
    <col min="13576" max="13576" width="9.28515625" style="148" customWidth="1"/>
    <col min="13577" max="13578" width="7" style="148" bestFit="1" customWidth="1"/>
    <col min="13579" max="13579" width="8.140625" style="148" bestFit="1" customWidth="1"/>
    <col min="13580" max="13580" width="7.28515625" style="148" bestFit="1" customWidth="1"/>
    <col min="13581" max="13581" width="5.7109375" style="148" bestFit="1" customWidth="1"/>
    <col min="13582" max="13583" width="7.28515625" style="148" bestFit="1" customWidth="1"/>
    <col min="13584" max="13584" width="0" style="148" hidden="1" customWidth="1"/>
    <col min="13585" max="13585" width="17.42578125" style="148" bestFit="1" customWidth="1"/>
    <col min="13586" max="13586" width="7" style="148" bestFit="1" customWidth="1"/>
    <col min="13587" max="13587" width="6.140625" style="148" bestFit="1" customWidth="1"/>
    <col min="13588" max="13588" width="16.140625" style="148" bestFit="1" customWidth="1"/>
    <col min="13589" max="13589" width="6.42578125" style="148" bestFit="1" customWidth="1"/>
    <col min="13590" max="13590" width="14" style="148" bestFit="1" customWidth="1"/>
    <col min="13591" max="13592" width="11.7109375" style="148" bestFit="1" customWidth="1"/>
    <col min="13593" max="13593" width="11.42578125" style="148" bestFit="1" customWidth="1"/>
    <col min="13594" max="13594" width="1.85546875" style="148" customWidth="1"/>
    <col min="13595" max="13595" width="11.140625" style="148" bestFit="1" customWidth="1"/>
    <col min="13596" max="13597" width="9.42578125" style="148" bestFit="1" customWidth="1"/>
    <col min="13598" max="13824" width="8.85546875" style="148"/>
    <col min="13825" max="13825" width="21" style="148" bestFit="1" customWidth="1"/>
    <col min="13826" max="13826" width="4" style="148" bestFit="1" customWidth="1"/>
    <col min="13827" max="13827" width="4.85546875" style="148" customWidth="1"/>
    <col min="13828" max="13828" width="4.7109375" style="148" customWidth="1"/>
    <col min="13829" max="13829" width="8.140625" style="148" bestFit="1" customWidth="1"/>
    <col min="13830" max="13830" width="6.28515625" style="148" bestFit="1" customWidth="1"/>
    <col min="13831" max="13831" width="4.85546875" style="148" bestFit="1" customWidth="1"/>
    <col min="13832" max="13832" width="9.28515625" style="148" customWidth="1"/>
    <col min="13833" max="13834" width="7" style="148" bestFit="1" customWidth="1"/>
    <col min="13835" max="13835" width="8.140625" style="148" bestFit="1" customWidth="1"/>
    <col min="13836" max="13836" width="7.28515625" style="148" bestFit="1" customWidth="1"/>
    <col min="13837" max="13837" width="5.7109375" style="148" bestFit="1" customWidth="1"/>
    <col min="13838" max="13839" width="7.28515625" style="148" bestFit="1" customWidth="1"/>
    <col min="13840" max="13840" width="0" style="148" hidden="1" customWidth="1"/>
    <col min="13841" max="13841" width="17.42578125" style="148" bestFit="1" customWidth="1"/>
    <col min="13842" max="13842" width="7" style="148" bestFit="1" customWidth="1"/>
    <col min="13843" max="13843" width="6.140625" style="148" bestFit="1" customWidth="1"/>
    <col min="13844" max="13844" width="16.140625" style="148" bestFit="1" customWidth="1"/>
    <col min="13845" max="13845" width="6.42578125" style="148" bestFit="1" customWidth="1"/>
    <col min="13846" max="13846" width="14" style="148" bestFit="1" customWidth="1"/>
    <col min="13847" max="13848" width="11.7109375" style="148" bestFit="1" customWidth="1"/>
    <col min="13849" max="13849" width="11.42578125" style="148" bestFit="1" customWidth="1"/>
    <col min="13850" max="13850" width="1.85546875" style="148" customWidth="1"/>
    <col min="13851" max="13851" width="11.140625" style="148" bestFit="1" customWidth="1"/>
    <col min="13852" max="13853" width="9.42578125" style="148" bestFit="1" customWidth="1"/>
    <col min="13854" max="14080" width="8.85546875" style="148"/>
    <col min="14081" max="14081" width="21" style="148" bestFit="1" customWidth="1"/>
    <col min="14082" max="14082" width="4" style="148" bestFit="1" customWidth="1"/>
    <col min="14083" max="14083" width="4.85546875" style="148" customWidth="1"/>
    <col min="14084" max="14084" width="4.7109375" style="148" customWidth="1"/>
    <col min="14085" max="14085" width="8.140625" style="148" bestFit="1" customWidth="1"/>
    <col min="14086" max="14086" width="6.28515625" style="148" bestFit="1" customWidth="1"/>
    <col min="14087" max="14087" width="4.85546875" style="148" bestFit="1" customWidth="1"/>
    <col min="14088" max="14088" width="9.28515625" style="148" customWidth="1"/>
    <col min="14089" max="14090" width="7" style="148" bestFit="1" customWidth="1"/>
    <col min="14091" max="14091" width="8.140625" style="148" bestFit="1" customWidth="1"/>
    <col min="14092" max="14092" width="7.28515625" style="148" bestFit="1" customWidth="1"/>
    <col min="14093" max="14093" width="5.7109375" style="148" bestFit="1" customWidth="1"/>
    <col min="14094" max="14095" width="7.28515625" style="148" bestFit="1" customWidth="1"/>
    <col min="14096" max="14096" width="0" style="148" hidden="1" customWidth="1"/>
    <col min="14097" max="14097" width="17.42578125" style="148" bestFit="1" customWidth="1"/>
    <col min="14098" max="14098" width="7" style="148" bestFit="1" customWidth="1"/>
    <col min="14099" max="14099" width="6.140625" style="148" bestFit="1" customWidth="1"/>
    <col min="14100" max="14100" width="16.140625" style="148" bestFit="1" customWidth="1"/>
    <col min="14101" max="14101" width="6.42578125" style="148" bestFit="1" customWidth="1"/>
    <col min="14102" max="14102" width="14" style="148" bestFit="1" customWidth="1"/>
    <col min="14103" max="14104" width="11.7109375" style="148" bestFit="1" customWidth="1"/>
    <col min="14105" max="14105" width="11.42578125" style="148" bestFit="1" customWidth="1"/>
    <col min="14106" max="14106" width="1.85546875" style="148" customWidth="1"/>
    <col min="14107" max="14107" width="11.140625" style="148" bestFit="1" customWidth="1"/>
    <col min="14108" max="14109" width="9.42578125" style="148" bestFit="1" customWidth="1"/>
    <col min="14110" max="14336" width="8.85546875" style="148"/>
    <col min="14337" max="14337" width="21" style="148" bestFit="1" customWidth="1"/>
    <col min="14338" max="14338" width="4" style="148" bestFit="1" customWidth="1"/>
    <col min="14339" max="14339" width="4.85546875" style="148" customWidth="1"/>
    <col min="14340" max="14340" width="4.7109375" style="148" customWidth="1"/>
    <col min="14341" max="14341" width="8.140625" style="148" bestFit="1" customWidth="1"/>
    <col min="14342" max="14342" width="6.28515625" style="148" bestFit="1" customWidth="1"/>
    <col min="14343" max="14343" width="4.85546875" style="148" bestFit="1" customWidth="1"/>
    <col min="14344" max="14344" width="9.28515625" style="148" customWidth="1"/>
    <col min="14345" max="14346" width="7" style="148" bestFit="1" customWidth="1"/>
    <col min="14347" max="14347" width="8.140625" style="148" bestFit="1" customWidth="1"/>
    <col min="14348" max="14348" width="7.28515625" style="148" bestFit="1" customWidth="1"/>
    <col min="14349" max="14349" width="5.7109375" style="148" bestFit="1" customWidth="1"/>
    <col min="14350" max="14351" width="7.28515625" style="148" bestFit="1" customWidth="1"/>
    <col min="14352" max="14352" width="0" style="148" hidden="1" customWidth="1"/>
    <col min="14353" max="14353" width="17.42578125" style="148" bestFit="1" customWidth="1"/>
    <col min="14354" max="14354" width="7" style="148" bestFit="1" customWidth="1"/>
    <col min="14355" max="14355" width="6.140625" style="148" bestFit="1" customWidth="1"/>
    <col min="14356" max="14356" width="16.140625" style="148" bestFit="1" customWidth="1"/>
    <col min="14357" max="14357" width="6.42578125" style="148" bestFit="1" customWidth="1"/>
    <col min="14358" max="14358" width="14" style="148" bestFit="1" customWidth="1"/>
    <col min="14359" max="14360" width="11.7109375" style="148" bestFit="1" customWidth="1"/>
    <col min="14361" max="14361" width="11.42578125" style="148" bestFit="1" customWidth="1"/>
    <col min="14362" max="14362" width="1.85546875" style="148" customWidth="1"/>
    <col min="14363" max="14363" width="11.140625" style="148" bestFit="1" customWidth="1"/>
    <col min="14364" max="14365" width="9.42578125" style="148" bestFit="1" customWidth="1"/>
    <col min="14366" max="14592" width="8.85546875" style="148"/>
    <col min="14593" max="14593" width="21" style="148" bestFit="1" customWidth="1"/>
    <col min="14594" max="14594" width="4" style="148" bestFit="1" customWidth="1"/>
    <col min="14595" max="14595" width="4.85546875" style="148" customWidth="1"/>
    <col min="14596" max="14596" width="4.7109375" style="148" customWidth="1"/>
    <col min="14597" max="14597" width="8.140625" style="148" bestFit="1" customWidth="1"/>
    <col min="14598" max="14598" width="6.28515625" style="148" bestFit="1" customWidth="1"/>
    <col min="14599" max="14599" width="4.85546875" style="148" bestFit="1" customWidth="1"/>
    <col min="14600" max="14600" width="9.28515625" style="148" customWidth="1"/>
    <col min="14601" max="14602" width="7" style="148" bestFit="1" customWidth="1"/>
    <col min="14603" max="14603" width="8.140625" style="148" bestFit="1" customWidth="1"/>
    <col min="14604" max="14604" width="7.28515625" style="148" bestFit="1" customWidth="1"/>
    <col min="14605" max="14605" width="5.7109375" style="148" bestFit="1" customWidth="1"/>
    <col min="14606" max="14607" width="7.28515625" style="148" bestFit="1" customWidth="1"/>
    <col min="14608" max="14608" width="0" style="148" hidden="1" customWidth="1"/>
    <col min="14609" max="14609" width="17.42578125" style="148" bestFit="1" customWidth="1"/>
    <col min="14610" max="14610" width="7" style="148" bestFit="1" customWidth="1"/>
    <col min="14611" max="14611" width="6.140625" style="148" bestFit="1" customWidth="1"/>
    <col min="14612" max="14612" width="16.140625" style="148" bestFit="1" customWidth="1"/>
    <col min="14613" max="14613" width="6.42578125" style="148" bestFit="1" customWidth="1"/>
    <col min="14614" max="14614" width="14" style="148" bestFit="1" customWidth="1"/>
    <col min="14615" max="14616" width="11.7109375" style="148" bestFit="1" customWidth="1"/>
    <col min="14617" max="14617" width="11.42578125" style="148" bestFit="1" customWidth="1"/>
    <col min="14618" max="14618" width="1.85546875" style="148" customWidth="1"/>
    <col min="14619" max="14619" width="11.140625" style="148" bestFit="1" customWidth="1"/>
    <col min="14620" max="14621" width="9.42578125" style="148" bestFit="1" customWidth="1"/>
    <col min="14622" max="14848" width="8.85546875" style="148"/>
    <col min="14849" max="14849" width="21" style="148" bestFit="1" customWidth="1"/>
    <col min="14850" max="14850" width="4" style="148" bestFit="1" customWidth="1"/>
    <col min="14851" max="14851" width="4.85546875" style="148" customWidth="1"/>
    <col min="14852" max="14852" width="4.7109375" style="148" customWidth="1"/>
    <col min="14853" max="14853" width="8.140625" style="148" bestFit="1" customWidth="1"/>
    <col min="14854" max="14854" width="6.28515625" style="148" bestFit="1" customWidth="1"/>
    <col min="14855" max="14855" width="4.85546875" style="148" bestFit="1" customWidth="1"/>
    <col min="14856" max="14856" width="9.28515625" style="148" customWidth="1"/>
    <col min="14857" max="14858" width="7" style="148" bestFit="1" customWidth="1"/>
    <col min="14859" max="14859" width="8.140625" style="148" bestFit="1" customWidth="1"/>
    <col min="14860" max="14860" width="7.28515625" style="148" bestFit="1" customWidth="1"/>
    <col min="14861" max="14861" width="5.7109375" style="148" bestFit="1" customWidth="1"/>
    <col min="14862" max="14863" width="7.28515625" style="148" bestFit="1" customWidth="1"/>
    <col min="14864" max="14864" width="0" style="148" hidden="1" customWidth="1"/>
    <col min="14865" max="14865" width="17.42578125" style="148" bestFit="1" customWidth="1"/>
    <col min="14866" max="14866" width="7" style="148" bestFit="1" customWidth="1"/>
    <col min="14867" max="14867" width="6.140625" style="148" bestFit="1" customWidth="1"/>
    <col min="14868" max="14868" width="16.140625" style="148" bestFit="1" customWidth="1"/>
    <col min="14869" max="14869" width="6.42578125" style="148" bestFit="1" customWidth="1"/>
    <col min="14870" max="14870" width="14" style="148" bestFit="1" customWidth="1"/>
    <col min="14871" max="14872" width="11.7109375" style="148" bestFit="1" customWidth="1"/>
    <col min="14873" max="14873" width="11.42578125" style="148" bestFit="1" customWidth="1"/>
    <col min="14874" max="14874" width="1.85546875" style="148" customWidth="1"/>
    <col min="14875" max="14875" width="11.140625" style="148" bestFit="1" customWidth="1"/>
    <col min="14876" max="14877" width="9.42578125" style="148" bestFit="1" customWidth="1"/>
    <col min="14878" max="15104" width="8.85546875" style="148"/>
    <col min="15105" max="15105" width="21" style="148" bestFit="1" customWidth="1"/>
    <col min="15106" max="15106" width="4" style="148" bestFit="1" customWidth="1"/>
    <col min="15107" max="15107" width="4.85546875" style="148" customWidth="1"/>
    <col min="15108" max="15108" width="4.7109375" style="148" customWidth="1"/>
    <col min="15109" max="15109" width="8.140625" style="148" bestFit="1" customWidth="1"/>
    <col min="15110" max="15110" width="6.28515625" style="148" bestFit="1" customWidth="1"/>
    <col min="15111" max="15111" width="4.85546875" style="148" bestFit="1" customWidth="1"/>
    <col min="15112" max="15112" width="9.28515625" style="148" customWidth="1"/>
    <col min="15113" max="15114" width="7" style="148" bestFit="1" customWidth="1"/>
    <col min="15115" max="15115" width="8.140625" style="148" bestFit="1" customWidth="1"/>
    <col min="15116" max="15116" width="7.28515625" style="148" bestFit="1" customWidth="1"/>
    <col min="15117" max="15117" width="5.7109375" style="148" bestFit="1" customWidth="1"/>
    <col min="15118" max="15119" width="7.28515625" style="148" bestFit="1" customWidth="1"/>
    <col min="15120" max="15120" width="0" style="148" hidden="1" customWidth="1"/>
    <col min="15121" max="15121" width="17.42578125" style="148" bestFit="1" customWidth="1"/>
    <col min="15122" max="15122" width="7" style="148" bestFit="1" customWidth="1"/>
    <col min="15123" max="15123" width="6.140625" style="148" bestFit="1" customWidth="1"/>
    <col min="15124" max="15124" width="16.140625" style="148" bestFit="1" customWidth="1"/>
    <col min="15125" max="15125" width="6.42578125" style="148" bestFit="1" customWidth="1"/>
    <col min="15126" max="15126" width="14" style="148" bestFit="1" customWidth="1"/>
    <col min="15127" max="15128" width="11.7109375" style="148" bestFit="1" customWidth="1"/>
    <col min="15129" max="15129" width="11.42578125" style="148" bestFit="1" customWidth="1"/>
    <col min="15130" max="15130" width="1.85546875" style="148" customWidth="1"/>
    <col min="15131" max="15131" width="11.140625" style="148" bestFit="1" customWidth="1"/>
    <col min="15132" max="15133" width="9.42578125" style="148" bestFit="1" customWidth="1"/>
    <col min="15134" max="15360" width="8.85546875" style="148"/>
    <col min="15361" max="15361" width="21" style="148" bestFit="1" customWidth="1"/>
    <col min="15362" max="15362" width="4" style="148" bestFit="1" customWidth="1"/>
    <col min="15363" max="15363" width="4.85546875" style="148" customWidth="1"/>
    <col min="15364" max="15364" width="4.7109375" style="148" customWidth="1"/>
    <col min="15365" max="15365" width="8.140625" style="148" bestFit="1" customWidth="1"/>
    <col min="15366" max="15366" width="6.28515625" style="148" bestFit="1" customWidth="1"/>
    <col min="15367" max="15367" width="4.85546875" style="148" bestFit="1" customWidth="1"/>
    <col min="15368" max="15368" width="9.28515625" style="148" customWidth="1"/>
    <col min="15369" max="15370" width="7" style="148" bestFit="1" customWidth="1"/>
    <col min="15371" max="15371" width="8.140625" style="148" bestFit="1" customWidth="1"/>
    <col min="15372" max="15372" width="7.28515625" style="148" bestFit="1" customWidth="1"/>
    <col min="15373" max="15373" width="5.7109375" style="148" bestFit="1" customWidth="1"/>
    <col min="15374" max="15375" width="7.28515625" style="148" bestFit="1" customWidth="1"/>
    <col min="15376" max="15376" width="0" style="148" hidden="1" customWidth="1"/>
    <col min="15377" max="15377" width="17.42578125" style="148" bestFit="1" customWidth="1"/>
    <col min="15378" max="15378" width="7" style="148" bestFit="1" customWidth="1"/>
    <col min="15379" max="15379" width="6.140625" style="148" bestFit="1" customWidth="1"/>
    <col min="15380" max="15380" width="16.140625" style="148" bestFit="1" customWidth="1"/>
    <col min="15381" max="15381" width="6.42578125" style="148" bestFit="1" customWidth="1"/>
    <col min="15382" max="15382" width="14" style="148" bestFit="1" customWidth="1"/>
    <col min="15383" max="15384" width="11.7109375" style="148" bestFit="1" customWidth="1"/>
    <col min="15385" max="15385" width="11.42578125" style="148" bestFit="1" customWidth="1"/>
    <col min="15386" max="15386" width="1.85546875" style="148" customWidth="1"/>
    <col min="15387" max="15387" width="11.140625" style="148" bestFit="1" customWidth="1"/>
    <col min="15388" max="15389" width="9.42578125" style="148" bestFit="1" customWidth="1"/>
    <col min="15390" max="15616" width="8.85546875" style="148"/>
    <col min="15617" max="15617" width="21" style="148" bestFit="1" customWidth="1"/>
    <col min="15618" max="15618" width="4" style="148" bestFit="1" customWidth="1"/>
    <col min="15619" max="15619" width="4.85546875" style="148" customWidth="1"/>
    <col min="15620" max="15620" width="4.7109375" style="148" customWidth="1"/>
    <col min="15621" max="15621" width="8.140625" style="148" bestFit="1" customWidth="1"/>
    <col min="15622" max="15622" width="6.28515625" style="148" bestFit="1" customWidth="1"/>
    <col min="15623" max="15623" width="4.85546875" style="148" bestFit="1" customWidth="1"/>
    <col min="15624" max="15624" width="9.28515625" style="148" customWidth="1"/>
    <col min="15625" max="15626" width="7" style="148" bestFit="1" customWidth="1"/>
    <col min="15627" max="15627" width="8.140625" style="148" bestFit="1" customWidth="1"/>
    <col min="15628" max="15628" width="7.28515625" style="148" bestFit="1" customWidth="1"/>
    <col min="15629" max="15629" width="5.7109375" style="148" bestFit="1" customWidth="1"/>
    <col min="15630" max="15631" width="7.28515625" style="148" bestFit="1" customWidth="1"/>
    <col min="15632" max="15632" width="0" style="148" hidden="1" customWidth="1"/>
    <col min="15633" max="15633" width="17.42578125" style="148" bestFit="1" customWidth="1"/>
    <col min="15634" max="15634" width="7" style="148" bestFit="1" customWidth="1"/>
    <col min="15635" max="15635" width="6.140625" style="148" bestFit="1" customWidth="1"/>
    <col min="15636" max="15636" width="16.140625" style="148" bestFit="1" customWidth="1"/>
    <col min="15637" max="15637" width="6.42578125" style="148" bestFit="1" customWidth="1"/>
    <col min="15638" max="15638" width="14" style="148" bestFit="1" customWidth="1"/>
    <col min="15639" max="15640" width="11.7109375" style="148" bestFit="1" customWidth="1"/>
    <col min="15641" max="15641" width="11.42578125" style="148" bestFit="1" customWidth="1"/>
    <col min="15642" max="15642" width="1.85546875" style="148" customWidth="1"/>
    <col min="15643" max="15643" width="11.140625" style="148" bestFit="1" customWidth="1"/>
    <col min="15644" max="15645" width="9.42578125" style="148" bestFit="1" customWidth="1"/>
    <col min="15646" max="15872" width="8.85546875" style="148"/>
    <col min="15873" max="15873" width="21" style="148" bestFit="1" customWidth="1"/>
    <col min="15874" max="15874" width="4" style="148" bestFit="1" customWidth="1"/>
    <col min="15875" max="15875" width="4.85546875" style="148" customWidth="1"/>
    <col min="15876" max="15876" width="4.7109375" style="148" customWidth="1"/>
    <col min="15877" max="15877" width="8.140625" style="148" bestFit="1" customWidth="1"/>
    <col min="15878" max="15878" width="6.28515625" style="148" bestFit="1" customWidth="1"/>
    <col min="15879" max="15879" width="4.85546875" style="148" bestFit="1" customWidth="1"/>
    <col min="15880" max="15880" width="9.28515625" style="148" customWidth="1"/>
    <col min="15881" max="15882" width="7" style="148" bestFit="1" customWidth="1"/>
    <col min="15883" max="15883" width="8.140625" style="148" bestFit="1" customWidth="1"/>
    <col min="15884" max="15884" width="7.28515625" style="148" bestFit="1" customWidth="1"/>
    <col min="15885" max="15885" width="5.7109375" style="148" bestFit="1" customWidth="1"/>
    <col min="15886" max="15887" width="7.28515625" style="148" bestFit="1" customWidth="1"/>
    <col min="15888" max="15888" width="0" style="148" hidden="1" customWidth="1"/>
    <col min="15889" max="15889" width="17.42578125" style="148" bestFit="1" customWidth="1"/>
    <col min="15890" max="15890" width="7" style="148" bestFit="1" customWidth="1"/>
    <col min="15891" max="15891" width="6.140625" style="148" bestFit="1" customWidth="1"/>
    <col min="15892" max="15892" width="16.140625" style="148" bestFit="1" customWidth="1"/>
    <col min="15893" max="15893" width="6.42578125" style="148" bestFit="1" customWidth="1"/>
    <col min="15894" max="15894" width="14" style="148" bestFit="1" customWidth="1"/>
    <col min="15895" max="15896" width="11.7109375" style="148" bestFit="1" customWidth="1"/>
    <col min="15897" max="15897" width="11.42578125" style="148" bestFit="1" customWidth="1"/>
    <col min="15898" max="15898" width="1.85546875" style="148" customWidth="1"/>
    <col min="15899" max="15899" width="11.140625" style="148" bestFit="1" customWidth="1"/>
    <col min="15900" max="15901" width="9.42578125" style="148" bestFit="1" customWidth="1"/>
    <col min="15902" max="16128" width="8.85546875" style="148"/>
    <col min="16129" max="16129" width="21" style="148" bestFit="1" customWidth="1"/>
    <col min="16130" max="16130" width="4" style="148" bestFit="1" customWidth="1"/>
    <col min="16131" max="16131" width="4.85546875" style="148" customWidth="1"/>
    <col min="16132" max="16132" width="4.7109375" style="148" customWidth="1"/>
    <col min="16133" max="16133" width="8.140625" style="148" bestFit="1" customWidth="1"/>
    <col min="16134" max="16134" width="6.28515625" style="148" bestFit="1" customWidth="1"/>
    <col min="16135" max="16135" width="4.85546875" style="148" bestFit="1" customWidth="1"/>
    <col min="16136" max="16136" width="9.28515625" style="148" customWidth="1"/>
    <col min="16137" max="16138" width="7" style="148" bestFit="1" customWidth="1"/>
    <col min="16139" max="16139" width="8.140625" style="148" bestFit="1" customWidth="1"/>
    <col min="16140" max="16140" width="7.28515625" style="148" bestFit="1" customWidth="1"/>
    <col min="16141" max="16141" width="5.7109375" style="148" bestFit="1" customWidth="1"/>
    <col min="16142" max="16143" width="7.28515625" style="148" bestFit="1" customWidth="1"/>
    <col min="16144" max="16144" width="0" style="148" hidden="1" customWidth="1"/>
    <col min="16145" max="16145" width="17.42578125" style="148" bestFit="1" customWidth="1"/>
    <col min="16146" max="16146" width="7" style="148" bestFit="1" customWidth="1"/>
    <col min="16147" max="16147" width="6.140625" style="148" bestFit="1" customWidth="1"/>
    <col min="16148" max="16148" width="16.140625" style="148" bestFit="1" customWidth="1"/>
    <col min="16149" max="16149" width="6.42578125" style="148" bestFit="1" customWidth="1"/>
    <col min="16150" max="16150" width="14" style="148" bestFit="1" customWidth="1"/>
    <col min="16151" max="16152" width="11.7109375" style="148" bestFit="1" customWidth="1"/>
    <col min="16153" max="16153" width="11.42578125" style="148" bestFit="1" customWidth="1"/>
    <col min="16154" max="16154" width="1.85546875" style="148" customWidth="1"/>
    <col min="16155" max="16155" width="11.140625" style="148" bestFit="1" customWidth="1"/>
    <col min="16156" max="16157" width="9.42578125" style="148" bestFit="1" customWidth="1"/>
    <col min="16158" max="16384" width="8.85546875" style="148"/>
  </cols>
  <sheetData>
    <row r="2" spans="1:27">
      <c r="A2" s="146" t="s">
        <v>258</v>
      </c>
      <c r="Q2" s="149"/>
      <c r="R2" s="149"/>
    </row>
    <row r="3" spans="1:27">
      <c r="O3" s="146" t="s">
        <v>163</v>
      </c>
      <c r="Q3" s="149"/>
      <c r="R3" s="149"/>
      <c r="S3" s="149"/>
    </row>
    <row r="4" spans="1:27">
      <c r="A4" s="146" t="s">
        <v>164</v>
      </c>
      <c r="J4" s="150"/>
      <c r="K4" s="150"/>
      <c r="N4" s="150" t="s">
        <v>59</v>
      </c>
      <c r="O4" s="151">
        <f>L5/(N8+N9+N10)</f>
        <v>0.95774366905942465</v>
      </c>
      <c r="Q4" s="152"/>
      <c r="R4" s="153"/>
      <c r="S4" s="154"/>
    </row>
    <row r="5" spans="1:27">
      <c r="A5" s="146" t="s">
        <v>165</v>
      </c>
      <c r="F5" s="155">
        <f>SUM(F20:F30)</f>
        <v>22470.333333333332</v>
      </c>
      <c r="J5" s="150"/>
      <c r="K5" s="150" t="s">
        <v>166</v>
      </c>
      <c r="L5" s="156">
        <f>[1]Disposal!R58+[1]Disposal!R63</f>
        <v>20674.381599334723</v>
      </c>
      <c r="M5" s="150"/>
      <c r="N5" s="150" t="s">
        <v>167</v>
      </c>
      <c r="O5" s="151">
        <f>+O4</f>
        <v>0.95774366905942465</v>
      </c>
      <c r="Q5" s="152"/>
      <c r="R5" s="153"/>
      <c r="S5" s="154"/>
    </row>
    <row r="6" spans="1:27">
      <c r="F6" s="155">
        <f>SUM(F5:F5)</f>
        <v>22470.333333333332</v>
      </c>
      <c r="J6" s="157"/>
      <c r="K6" s="150" t="s">
        <v>168</v>
      </c>
      <c r="L6" s="156">
        <f>[1]Disposal!R69</f>
        <v>3061</v>
      </c>
      <c r="M6" s="150"/>
      <c r="N6" s="150"/>
      <c r="O6" s="151"/>
    </row>
    <row r="7" spans="1:27">
      <c r="A7" s="158" t="s">
        <v>169</v>
      </c>
      <c r="B7" s="158"/>
      <c r="C7" s="158"/>
      <c r="D7" s="158"/>
      <c r="E7" s="158"/>
      <c r="F7" s="159">
        <f>SUM(F8:F12)</f>
        <v>23425.625866050807</v>
      </c>
      <c r="G7" s="159"/>
      <c r="H7" s="159"/>
      <c r="I7" s="159"/>
      <c r="J7" s="160">
        <f>SUM(J8:J12)</f>
        <v>548795.71750000003</v>
      </c>
      <c r="K7" s="159">
        <f>SUM(K8:K12)</f>
        <v>6585548.6100000013</v>
      </c>
      <c r="L7" s="159">
        <f>SUM(L5:L6)</f>
        <v>23735.381599334723</v>
      </c>
      <c r="M7" s="161"/>
      <c r="N7" s="159">
        <f>SUM(N8:N12)</f>
        <v>21586.55</v>
      </c>
      <c r="O7" s="159">
        <f>SUM(O8:O12)</f>
        <v>22280.307028740186</v>
      </c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62"/>
    </row>
    <row r="8" spans="1:27">
      <c r="A8" s="146" t="s">
        <v>170</v>
      </c>
      <c r="F8" s="150">
        <f>SUM(F20:F30)</f>
        <v>22470.333333333332</v>
      </c>
      <c r="G8" s="163"/>
      <c r="H8" s="150"/>
      <c r="I8" s="163"/>
      <c r="J8" s="164">
        <f>SUM(J20:J37)</f>
        <v>414006.35500000004</v>
      </c>
      <c r="K8" s="164">
        <f>SUM(K20:K37)</f>
        <v>4968076.2600000007</v>
      </c>
      <c r="L8" s="150"/>
      <c r="N8" s="164">
        <f>SUM(N20:N30)</f>
        <v>17001.11</v>
      </c>
      <c r="O8" s="164">
        <f>SUM(O20:O30)</f>
        <v>16282.705469482873</v>
      </c>
      <c r="AA8" s="165"/>
    </row>
    <row r="9" spans="1:27">
      <c r="A9" s="146" t="s">
        <v>171</v>
      </c>
      <c r="F9" s="150">
        <f>SUM(F42:F46)+SUM(F137:F141)</f>
        <v>687.49037721324089</v>
      </c>
      <c r="G9" s="150"/>
      <c r="H9" s="150"/>
      <c r="I9" s="163"/>
      <c r="J9" s="150">
        <f>SUM(J42:J46)+SUM(J137:J141)</f>
        <v>16549.272499999999</v>
      </c>
      <c r="K9" s="150">
        <f>SUM(K42:K46)+SUM(K137:K141)</f>
        <v>198591.27000000002</v>
      </c>
      <c r="N9" s="150">
        <f>SUM(N42:N46)+SUM(N137:N141)</f>
        <v>549.17000000000007</v>
      </c>
      <c r="O9" s="150">
        <f>SUM(O42:O46)+SUM(O137:O141)</f>
        <v>525.96409073736424</v>
      </c>
      <c r="Q9" s="166" t="s">
        <v>172</v>
      </c>
      <c r="R9" s="167">
        <v>134.59</v>
      </c>
      <c r="T9" s="166" t="s">
        <v>173</v>
      </c>
      <c r="U9" s="168">
        <v>1.4999999999999999E-2</v>
      </c>
      <c r="AA9" s="165"/>
    </row>
    <row r="10" spans="1:27">
      <c r="A10" s="148" t="s">
        <v>174</v>
      </c>
      <c r="B10" s="148"/>
      <c r="C10" s="148"/>
      <c r="D10" s="148"/>
      <c r="E10" s="148"/>
      <c r="F10" s="169">
        <f>SUM(F53:F92)+SUM(F145:F176)</f>
        <v>267.80215550423407</v>
      </c>
      <c r="G10" s="169"/>
      <c r="H10" s="169"/>
      <c r="I10" s="163"/>
      <c r="J10" s="169">
        <f>SUM(J53:J129)+SUM(J145:J201)</f>
        <v>118240.09</v>
      </c>
      <c r="K10" s="169">
        <f>SUM(K53:K129)+SUM(K145:K201)</f>
        <v>1418881.08</v>
      </c>
      <c r="L10" s="169"/>
      <c r="M10" s="170"/>
      <c r="N10" s="169">
        <f>SUM(N53:N92)+SUM(N145:N176)</f>
        <v>4036.2700000000004</v>
      </c>
      <c r="O10" s="169">
        <f>SUM(O52:O115)+SUM(O145:O194)</f>
        <v>5471.6374685199462</v>
      </c>
      <c r="P10" s="148"/>
      <c r="Q10" s="166" t="s">
        <v>340</v>
      </c>
      <c r="R10" s="167">
        <v>140.82</v>
      </c>
      <c r="S10" s="148"/>
      <c r="T10" s="171" t="s">
        <v>175</v>
      </c>
      <c r="U10" s="168">
        <v>5.1000000000000004E-3</v>
      </c>
      <c r="V10" s="148"/>
      <c r="W10" s="292"/>
      <c r="X10" s="148"/>
      <c r="Y10" s="148"/>
      <c r="Z10" s="148"/>
      <c r="AA10" s="165"/>
    </row>
    <row r="11" spans="1:27">
      <c r="F11" s="150"/>
      <c r="G11" s="150"/>
      <c r="H11" s="150"/>
      <c r="I11" s="163"/>
      <c r="J11" s="164"/>
      <c r="K11" s="172"/>
      <c r="L11" s="150"/>
      <c r="N11" s="164"/>
      <c r="O11" s="164"/>
      <c r="Q11" s="166" t="s">
        <v>176</v>
      </c>
      <c r="R11" s="173">
        <f>R10-R9</f>
        <v>6.2299999999999898</v>
      </c>
      <c r="T11" s="146" t="s">
        <v>341</v>
      </c>
      <c r="U11" s="168">
        <v>2E-3</v>
      </c>
      <c r="AA11" s="165"/>
    </row>
    <row r="12" spans="1:27" ht="12" thickBot="1">
      <c r="A12" s="174"/>
      <c r="B12" s="174"/>
      <c r="C12" s="174"/>
      <c r="D12" s="174"/>
      <c r="E12" s="174"/>
      <c r="F12" s="175"/>
      <c r="G12" s="175"/>
      <c r="H12" s="175"/>
      <c r="I12" s="175"/>
      <c r="J12" s="176"/>
      <c r="K12" s="176"/>
      <c r="L12" s="175"/>
      <c r="M12" s="177"/>
      <c r="N12" s="175"/>
      <c r="O12" s="175"/>
      <c r="P12" s="174"/>
      <c r="Q12" s="166" t="s">
        <v>178</v>
      </c>
      <c r="R12" s="178">
        <f>+R11/2000</f>
        <v>3.1149999999999949E-3</v>
      </c>
      <c r="S12" s="174"/>
      <c r="T12" s="166" t="s">
        <v>177</v>
      </c>
      <c r="U12" s="299">
        <f>SUM(U9:U11)</f>
        <v>2.2100000000000002E-2</v>
      </c>
      <c r="V12" s="174"/>
      <c r="W12" s="174"/>
      <c r="X12" s="174"/>
      <c r="Y12" s="174"/>
      <c r="Z12" s="174"/>
      <c r="AA12" s="179"/>
    </row>
    <row r="13" spans="1:27">
      <c r="A13" s="148"/>
      <c r="B13" s="148"/>
      <c r="C13" s="148"/>
      <c r="D13" s="148"/>
      <c r="E13" s="148"/>
      <c r="F13" s="149" t="s">
        <v>179</v>
      </c>
      <c r="G13" s="149" t="s">
        <v>180</v>
      </c>
      <c r="H13" s="180" t="s">
        <v>343</v>
      </c>
      <c r="I13" s="149"/>
      <c r="J13" s="149" t="s">
        <v>181</v>
      </c>
      <c r="K13" s="149" t="s">
        <v>181</v>
      </c>
      <c r="L13" s="149" t="s">
        <v>110</v>
      </c>
      <c r="M13" s="181" t="s">
        <v>182</v>
      </c>
      <c r="N13" s="149" t="s">
        <v>183</v>
      </c>
      <c r="O13" s="149" t="s">
        <v>184</v>
      </c>
      <c r="P13" s="148"/>
      <c r="Q13" s="182"/>
      <c r="R13" s="182"/>
      <c r="S13" s="182"/>
      <c r="T13" s="182"/>
      <c r="U13" s="148"/>
      <c r="V13" s="183"/>
      <c r="W13" s="183"/>
      <c r="X13" s="183"/>
      <c r="Y13" s="183"/>
      <c r="Z13" s="148"/>
      <c r="AA13" s="183"/>
    </row>
    <row r="14" spans="1:27">
      <c r="A14" s="148"/>
      <c r="B14" s="148"/>
      <c r="C14" s="148" t="s">
        <v>185</v>
      </c>
      <c r="D14" s="148"/>
      <c r="E14" s="148"/>
      <c r="F14" s="149" t="s">
        <v>186</v>
      </c>
      <c r="G14" s="149" t="s">
        <v>187</v>
      </c>
      <c r="H14" s="180" t="s">
        <v>344</v>
      </c>
      <c r="I14" s="149" t="s">
        <v>102</v>
      </c>
      <c r="J14" s="149" t="s">
        <v>188</v>
      </c>
      <c r="K14" s="149" t="s">
        <v>109</v>
      </c>
      <c r="L14" s="149" t="s">
        <v>189</v>
      </c>
      <c r="M14" s="181" t="s">
        <v>190</v>
      </c>
      <c r="N14" s="149" t="s">
        <v>191</v>
      </c>
      <c r="O14" s="149" t="s">
        <v>191</v>
      </c>
      <c r="P14" s="148"/>
      <c r="Q14" s="184" t="s">
        <v>192</v>
      </c>
      <c r="R14" s="184" t="s">
        <v>193</v>
      </c>
      <c r="S14" s="184" t="s">
        <v>194</v>
      </c>
      <c r="T14" s="185" t="s">
        <v>195</v>
      </c>
      <c r="U14" s="148"/>
      <c r="V14" s="186" t="s">
        <v>196</v>
      </c>
      <c r="W14" s="186" t="s">
        <v>103</v>
      </c>
      <c r="X14" s="186" t="s">
        <v>103</v>
      </c>
      <c r="Y14" s="186" t="s">
        <v>103</v>
      </c>
      <c r="Z14" s="148"/>
      <c r="AA14" s="186" t="s">
        <v>103</v>
      </c>
    </row>
    <row r="15" spans="1:27">
      <c r="A15" s="148"/>
      <c r="B15" s="148"/>
      <c r="C15" s="148"/>
      <c r="D15" s="148"/>
      <c r="E15" s="148"/>
      <c r="F15" s="187"/>
      <c r="G15" s="149" t="s">
        <v>197</v>
      </c>
      <c r="H15" s="180"/>
      <c r="I15" s="149" t="s">
        <v>104</v>
      </c>
      <c r="J15" s="149" t="s">
        <v>111</v>
      </c>
      <c r="K15" s="149" t="s">
        <v>111</v>
      </c>
      <c r="L15" s="149">
        <v>21</v>
      </c>
      <c r="M15" s="149" t="s">
        <v>189</v>
      </c>
      <c r="N15" s="149" t="s">
        <v>198</v>
      </c>
      <c r="O15" s="149" t="s">
        <v>198</v>
      </c>
      <c r="P15" s="148"/>
      <c r="Q15" s="184" t="s">
        <v>199</v>
      </c>
      <c r="R15" s="184" t="s">
        <v>200</v>
      </c>
      <c r="S15" s="184" t="s">
        <v>201</v>
      </c>
      <c r="T15" s="185" t="s">
        <v>202</v>
      </c>
      <c r="U15" s="148"/>
      <c r="V15" s="186" t="s">
        <v>203</v>
      </c>
      <c r="W15" s="186" t="s">
        <v>204</v>
      </c>
      <c r="X15" s="186" t="s">
        <v>204</v>
      </c>
      <c r="Y15" s="186" t="s">
        <v>205</v>
      </c>
      <c r="Z15" s="148"/>
      <c r="AA15" s="186" t="s">
        <v>206</v>
      </c>
    </row>
    <row r="16" spans="1:27">
      <c r="A16" s="148"/>
      <c r="B16" s="148"/>
      <c r="C16" s="148"/>
      <c r="D16" s="148"/>
      <c r="E16" s="148"/>
      <c r="F16" s="187"/>
      <c r="G16" s="149" t="s">
        <v>207</v>
      </c>
      <c r="H16" s="180"/>
      <c r="I16" s="149" t="s">
        <v>208</v>
      </c>
      <c r="J16" s="149"/>
      <c r="K16" s="149"/>
      <c r="L16" s="149">
        <v>145</v>
      </c>
      <c r="M16" s="181"/>
      <c r="N16" s="149"/>
      <c r="O16" s="149"/>
      <c r="P16" s="148"/>
      <c r="Q16" s="188"/>
      <c r="R16" s="188"/>
      <c r="S16" s="188"/>
      <c r="T16" s="189" t="s">
        <v>209</v>
      </c>
      <c r="U16" s="148"/>
      <c r="V16" s="190"/>
      <c r="W16" s="190"/>
      <c r="X16" s="191" t="s">
        <v>10</v>
      </c>
      <c r="Y16" s="191" t="s">
        <v>10</v>
      </c>
      <c r="Z16" s="148"/>
      <c r="AA16" s="191" t="s">
        <v>10</v>
      </c>
    </row>
    <row r="17" spans="1:28">
      <c r="A17" s="148"/>
      <c r="B17" s="148"/>
      <c r="C17" s="148"/>
      <c r="D17" s="148"/>
      <c r="E17" s="148"/>
      <c r="F17" s="192"/>
      <c r="G17" s="192"/>
      <c r="H17" s="192"/>
      <c r="I17" s="192"/>
      <c r="J17" s="192"/>
      <c r="K17" s="192"/>
      <c r="L17" s="149">
        <v>269</v>
      </c>
      <c r="M17" s="193"/>
      <c r="N17" s="192"/>
      <c r="O17" s="192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65"/>
    </row>
    <row r="18" spans="1:28">
      <c r="A18" s="148" t="s">
        <v>259</v>
      </c>
      <c r="B18" s="148"/>
      <c r="C18" s="148"/>
      <c r="D18" s="148"/>
      <c r="E18" s="148"/>
      <c r="F18" s="192"/>
      <c r="G18" s="192"/>
      <c r="H18" s="192"/>
      <c r="I18" s="192"/>
      <c r="J18" s="192"/>
      <c r="K18" s="192"/>
      <c r="L18" s="192"/>
      <c r="M18" s="193"/>
      <c r="N18" s="192"/>
      <c r="O18" s="192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65"/>
    </row>
    <row r="19" spans="1:28" ht="12" thickBot="1">
      <c r="A19" s="194" t="s">
        <v>210</v>
      </c>
      <c r="B19" s="148"/>
      <c r="C19" s="148"/>
      <c r="D19" s="148"/>
      <c r="E19" s="148"/>
      <c r="AA19" s="165"/>
    </row>
    <row r="20" spans="1:28" ht="12" thickTop="1">
      <c r="A20" s="144" t="s">
        <v>113</v>
      </c>
      <c r="F20" s="145">
        <v>1110</v>
      </c>
      <c r="G20" s="146">
        <v>52</v>
      </c>
      <c r="H20" s="152">
        <f>F20*G20</f>
        <v>57720</v>
      </c>
      <c r="I20" s="143">
        <v>9.7899999999999991</v>
      </c>
      <c r="J20" s="150">
        <f t="shared" ref="J20:J31" si="0">F20*I20</f>
        <v>10866.9</v>
      </c>
      <c r="K20" s="150">
        <f t="shared" ref="K20:K31" si="1">J20*12</f>
        <v>130402.79999999999</v>
      </c>
      <c r="L20" s="195">
        <f>ROUND((L$15/32*19),2)</f>
        <v>12.47</v>
      </c>
      <c r="M20" s="147">
        <f>L20*$O$4</f>
        <v>11.943063553171026</v>
      </c>
      <c r="N20" s="150">
        <f t="shared" ref="N20:N31" si="2">ROUND(((F20*G20*L20)/2000),2)</f>
        <v>359.88</v>
      </c>
      <c r="O20" s="196">
        <f>$O$4*N20</f>
        <v>344.67279162110572</v>
      </c>
      <c r="Q20" s="173">
        <f>M20*$R$12</f>
        <v>3.7202642968127683E-2</v>
      </c>
      <c r="R20" s="197">
        <f>Q20*4.33</f>
        <v>0.16108744405199288</v>
      </c>
      <c r="S20" s="197">
        <f t="shared" ref="S20:S36" si="3">R20*$U$12</f>
        <v>3.560032513549043E-3</v>
      </c>
      <c r="T20" s="198">
        <f t="shared" ref="T20:T36" si="4">+R20+S20</f>
        <v>0.16464747656554193</v>
      </c>
      <c r="V20" s="197">
        <f t="shared" ref="V20:V36" si="5">I20+T20</f>
        <v>9.9546474765655404</v>
      </c>
      <c r="W20" s="199">
        <f>F20*V20</f>
        <v>11049.658698987751</v>
      </c>
      <c r="X20" s="199">
        <f t="shared" ref="X20:X31" si="6">W20-J20</f>
        <v>182.7586989877509</v>
      </c>
      <c r="Y20" s="200">
        <f>X20*12</f>
        <v>2193.1043878530108</v>
      </c>
      <c r="AA20" s="201">
        <f>O20*$R$11</f>
        <v>2147.3114917994849</v>
      </c>
      <c r="AB20" s="202">
        <f>IF(I20=0,"",V20/I20-1)</f>
        <v>1.6817924061853118E-2</v>
      </c>
    </row>
    <row r="21" spans="1:28">
      <c r="A21" s="144" t="s">
        <v>114</v>
      </c>
      <c r="F21" s="145">
        <v>7212</v>
      </c>
      <c r="G21" s="146">
        <v>52</v>
      </c>
      <c r="H21" s="152">
        <f t="shared" ref="H21:H30" si="7">F21*G21</f>
        <v>375024</v>
      </c>
      <c r="I21" s="143">
        <v>16.05</v>
      </c>
      <c r="J21" s="150">
        <f t="shared" si="0"/>
        <v>115752.6</v>
      </c>
      <c r="K21" s="150">
        <f t="shared" si="1"/>
        <v>1389031.2000000002</v>
      </c>
      <c r="L21" s="195">
        <f>+L15</f>
        <v>21</v>
      </c>
      <c r="M21" s="147">
        <f t="shared" ref="M21:M31" si="8">L21*$O$4</f>
        <v>20.112617050247916</v>
      </c>
      <c r="N21" s="150">
        <f t="shared" si="2"/>
        <v>3937.75</v>
      </c>
      <c r="O21" s="196">
        <f t="shared" ref="O21:O31" si="9">$O$4*N21</f>
        <v>3771.3551328387493</v>
      </c>
      <c r="Q21" s="173">
        <f t="shared" ref="Q21:Q31" si="10">M21*$R$12</f>
        <v>6.2650802111522158E-2</v>
      </c>
      <c r="R21" s="197">
        <f t="shared" ref="R21:R26" si="11">Q21*4.33</f>
        <v>0.27127797314289093</v>
      </c>
      <c r="S21" s="197">
        <f t="shared" si="3"/>
        <v>5.9952432064578898E-3</v>
      </c>
      <c r="T21" s="198">
        <f t="shared" si="4"/>
        <v>0.27727321634934882</v>
      </c>
      <c r="V21" s="197">
        <f t="shared" si="5"/>
        <v>16.327273216349351</v>
      </c>
      <c r="W21" s="199">
        <f t="shared" ref="W21:W31" si="12">F21*V21</f>
        <v>117752.29443631152</v>
      </c>
      <c r="X21" s="199">
        <f t="shared" si="6"/>
        <v>1999.6944363115181</v>
      </c>
      <c r="Y21" s="200">
        <f t="shared" ref="Y21:Y31" si="13">X21*12</f>
        <v>23996.333235738217</v>
      </c>
      <c r="AA21" s="201">
        <f t="shared" ref="AA21:AA31" si="14">O21*$R$11</f>
        <v>23495.542477585368</v>
      </c>
      <c r="AB21" s="202">
        <f t="shared" ref="AB21:AB31" si="15">IF(I21=0,"",V21/I21-1)</f>
        <v>1.7275589803697811E-2</v>
      </c>
    </row>
    <row r="22" spans="1:28">
      <c r="A22" s="144" t="s">
        <v>115</v>
      </c>
      <c r="F22" s="145">
        <v>529</v>
      </c>
      <c r="G22" s="146">
        <v>52</v>
      </c>
      <c r="H22" s="152">
        <f t="shared" si="7"/>
        <v>27508</v>
      </c>
      <c r="I22" s="143">
        <v>25.9</v>
      </c>
      <c r="J22" s="150">
        <f t="shared" si="0"/>
        <v>13701.099999999999</v>
      </c>
      <c r="K22" s="150">
        <f t="shared" si="1"/>
        <v>164413.19999999998</v>
      </c>
      <c r="L22" s="195">
        <f>+L15*2</f>
        <v>42</v>
      </c>
      <c r="M22" s="147">
        <f t="shared" si="8"/>
        <v>40.225234100495832</v>
      </c>
      <c r="N22" s="150">
        <f t="shared" si="2"/>
        <v>577.66999999999996</v>
      </c>
      <c r="O22" s="196">
        <f t="shared" si="9"/>
        <v>553.25978530555778</v>
      </c>
      <c r="Q22" s="173">
        <f t="shared" si="10"/>
        <v>0.12530160422304432</v>
      </c>
      <c r="R22" s="197">
        <f t="shared" si="11"/>
        <v>0.54255594628578185</v>
      </c>
      <c r="S22" s="197">
        <f t="shared" si="3"/>
        <v>1.199048641291578E-2</v>
      </c>
      <c r="T22" s="198">
        <f t="shared" si="4"/>
        <v>0.55454643269869763</v>
      </c>
      <c r="V22" s="197">
        <f t="shared" si="5"/>
        <v>26.454546432698695</v>
      </c>
      <c r="W22" s="199">
        <f t="shared" si="12"/>
        <v>13994.45506289761</v>
      </c>
      <c r="X22" s="199">
        <f t="shared" si="6"/>
        <v>293.35506289761179</v>
      </c>
      <c r="Y22" s="200">
        <f t="shared" si="13"/>
        <v>3520.2607547713415</v>
      </c>
      <c r="AA22" s="201">
        <f t="shared" si="14"/>
        <v>3446.8084624536195</v>
      </c>
      <c r="AB22" s="202">
        <f t="shared" si="15"/>
        <v>2.1411059177555813E-2</v>
      </c>
    </row>
    <row r="23" spans="1:28">
      <c r="A23" s="144" t="s">
        <v>116</v>
      </c>
      <c r="F23" s="145">
        <v>19.416666666666668</v>
      </c>
      <c r="G23" s="146">
        <v>52</v>
      </c>
      <c r="H23" s="152">
        <f t="shared" si="7"/>
        <v>1009.6666666666667</v>
      </c>
      <c r="I23" s="143">
        <v>37.19</v>
      </c>
      <c r="J23" s="150">
        <f t="shared" si="0"/>
        <v>722.10583333333329</v>
      </c>
      <c r="K23" s="150">
        <f t="shared" si="1"/>
        <v>8665.27</v>
      </c>
      <c r="L23" s="195">
        <f>+L15*3</f>
        <v>63</v>
      </c>
      <c r="M23" s="147">
        <f t="shared" si="8"/>
        <v>60.337851150743752</v>
      </c>
      <c r="N23" s="150">
        <f t="shared" si="2"/>
        <v>31.8</v>
      </c>
      <c r="O23" s="196">
        <f t="shared" si="9"/>
        <v>30.456248676089704</v>
      </c>
      <c r="Q23" s="173">
        <f t="shared" si="10"/>
        <v>0.18795240633456647</v>
      </c>
      <c r="R23" s="197">
        <f t="shared" si="11"/>
        <v>0.81383391942867289</v>
      </c>
      <c r="S23" s="197">
        <f t="shared" si="3"/>
        <v>1.7985729619373673E-2</v>
      </c>
      <c r="T23" s="198">
        <f t="shared" si="4"/>
        <v>0.83181964904804662</v>
      </c>
      <c r="V23" s="197">
        <f t="shared" si="5"/>
        <v>38.021819649048041</v>
      </c>
      <c r="W23" s="199">
        <f t="shared" si="12"/>
        <v>738.25699818568285</v>
      </c>
      <c r="X23" s="199">
        <f t="shared" si="6"/>
        <v>16.151164852349552</v>
      </c>
      <c r="Y23" s="200">
        <f t="shared" si="13"/>
        <v>193.81397822819463</v>
      </c>
      <c r="AA23" s="201">
        <f t="shared" si="14"/>
        <v>189.74242925203853</v>
      </c>
      <c r="AB23" s="202">
        <f t="shared" si="15"/>
        <v>2.2366755822749163E-2</v>
      </c>
    </row>
    <row r="24" spans="1:28">
      <c r="A24" s="144" t="s">
        <v>117</v>
      </c>
      <c r="F24" s="145">
        <v>1</v>
      </c>
      <c r="G24" s="146">
        <v>52</v>
      </c>
      <c r="H24" s="152">
        <f t="shared" si="7"/>
        <v>52</v>
      </c>
      <c r="I24" s="143">
        <v>49.56</v>
      </c>
      <c r="J24" s="150">
        <f t="shared" si="0"/>
        <v>49.56</v>
      </c>
      <c r="K24" s="150">
        <f t="shared" si="1"/>
        <v>594.72</v>
      </c>
      <c r="L24" s="195">
        <f>+L15*4</f>
        <v>84</v>
      </c>
      <c r="M24" s="147">
        <f t="shared" si="8"/>
        <v>80.450468200991665</v>
      </c>
      <c r="N24" s="150">
        <f t="shared" si="2"/>
        <v>2.1800000000000002</v>
      </c>
      <c r="O24" s="196">
        <f t="shared" si="9"/>
        <v>2.087881198549546</v>
      </c>
      <c r="Q24" s="173">
        <f t="shared" si="10"/>
        <v>0.25060320844608863</v>
      </c>
      <c r="R24" s="197">
        <f t="shared" si="11"/>
        <v>1.0851118925715637</v>
      </c>
      <c r="S24" s="197">
        <f t="shared" si="3"/>
        <v>2.3980972825831559E-2</v>
      </c>
      <c r="T24" s="198">
        <f t="shared" si="4"/>
        <v>1.1090928653973953</v>
      </c>
      <c r="V24" s="197">
        <f t="shared" si="5"/>
        <v>50.669092865397396</v>
      </c>
      <c r="W24" s="199">
        <f t="shared" si="12"/>
        <v>50.669092865397396</v>
      </c>
      <c r="X24" s="199">
        <f t="shared" si="6"/>
        <v>1.1090928653973933</v>
      </c>
      <c r="Y24" s="200">
        <f t="shared" si="13"/>
        <v>13.309114384768719</v>
      </c>
      <c r="AA24" s="201">
        <f t="shared" si="14"/>
        <v>13.00749986696365</v>
      </c>
      <c r="AB24" s="202">
        <f t="shared" si="15"/>
        <v>2.2378790665807058E-2</v>
      </c>
    </row>
    <row r="25" spans="1:28">
      <c r="A25" s="144" t="s">
        <v>159</v>
      </c>
      <c r="F25" s="145">
        <v>0</v>
      </c>
      <c r="G25" s="146">
        <v>52</v>
      </c>
      <c r="H25" s="152">
        <f t="shared" si="7"/>
        <v>0</v>
      </c>
      <c r="I25" s="143">
        <v>58.45</v>
      </c>
      <c r="J25" s="150">
        <f t="shared" si="0"/>
        <v>0</v>
      </c>
      <c r="K25" s="150">
        <f t="shared" si="1"/>
        <v>0</v>
      </c>
      <c r="L25" s="195">
        <f>+L15*5</f>
        <v>105</v>
      </c>
      <c r="M25" s="147">
        <f t="shared" si="8"/>
        <v>100.56308525123958</v>
      </c>
      <c r="N25" s="150">
        <f t="shared" si="2"/>
        <v>0</v>
      </c>
      <c r="O25" s="196">
        <f t="shared" si="9"/>
        <v>0</v>
      </c>
      <c r="Q25" s="173">
        <f t="shared" si="10"/>
        <v>0.31325401055761082</v>
      </c>
      <c r="R25" s="197">
        <f t="shared" si="11"/>
        <v>1.3563898657144549</v>
      </c>
      <c r="S25" s="197">
        <f t="shared" si="3"/>
        <v>2.9976216032289456E-2</v>
      </c>
      <c r="T25" s="198">
        <f t="shared" si="4"/>
        <v>1.3863660817467442</v>
      </c>
      <c r="V25" s="197">
        <f t="shared" si="5"/>
        <v>59.836366081746746</v>
      </c>
      <c r="W25" s="199">
        <f t="shared" si="12"/>
        <v>0</v>
      </c>
      <c r="X25" s="199">
        <f t="shared" si="6"/>
        <v>0</v>
      </c>
      <c r="Y25" s="200">
        <f t="shared" si="13"/>
        <v>0</v>
      </c>
      <c r="AA25" s="201">
        <f t="shared" si="14"/>
        <v>0</v>
      </c>
      <c r="AB25" s="202">
        <f t="shared" si="15"/>
        <v>2.3718838011064891E-2</v>
      </c>
    </row>
    <row r="26" spans="1:28">
      <c r="A26" s="144" t="s">
        <v>160</v>
      </c>
      <c r="F26" s="145">
        <v>0</v>
      </c>
      <c r="G26" s="146">
        <v>52</v>
      </c>
      <c r="H26" s="152">
        <f t="shared" si="7"/>
        <v>0</v>
      </c>
      <c r="I26" s="143">
        <v>0</v>
      </c>
      <c r="J26" s="150">
        <f t="shared" si="0"/>
        <v>0</v>
      </c>
      <c r="K26" s="150">
        <f t="shared" si="1"/>
        <v>0</v>
      </c>
      <c r="L26" s="195">
        <f>+L15*6</f>
        <v>126</v>
      </c>
      <c r="M26" s="147">
        <f t="shared" si="8"/>
        <v>120.6757023014875</v>
      </c>
      <c r="N26" s="150">
        <f t="shared" si="2"/>
        <v>0</v>
      </c>
      <c r="O26" s="196">
        <f t="shared" si="9"/>
        <v>0</v>
      </c>
      <c r="Q26" s="173">
        <f t="shared" si="10"/>
        <v>0.37590481266913295</v>
      </c>
      <c r="R26" s="197">
        <f t="shared" si="11"/>
        <v>1.6276678388573458</v>
      </c>
      <c r="S26" s="197">
        <f t="shared" si="3"/>
        <v>3.5971459238747346E-2</v>
      </c>
      <c r="T26" s="198">
        <f t="shared" si="4"/>
        <v>1.6636392980960932</v>
      </c>
      <c r="V26" s="197">
        <f t="shared" si="5"/>
        <v>1.6636392980960932</v>
      </c>
      <c r="W26" s="199">
        <f t="shared" si="12"/>
        <v>0</v>
      </c>
      <c r="X26" s="199">
        <f t="shared" si="6"/>
        <v>0</v>
      </c>
      <c r="Y26" s="200">
        <f t="shared" si="13"/>
        <v>0</v>
      </c>
      <c r="AA26" s="201">
        <f t="shared" si="14"/>
        <v>0</v>
      </c>
      <c r="AB26" s="202" t="str">
        <f t="shared" si="15"/>
        <v/>
      </c>
    </row>
    <row r="27" spans="1:28">
      <c r="A27" s="144" t="s">
        <v>108</v>
      </c>
      <c r="F27" s="145">
        <v>423</v>
      </c>
      <c r="G27" s="146">
        <v>12</v>
      </c>
      <c r="H27" s="152">
        <f t="shared" si="7"/>
        <v>5076</v>
      </c>
      <c r="I27" s="143">
        <v>6.78</v>
      </c>
      <c r="J27" s="150">
        <f t="shared" si="0"/>
        <v>2867.94</v>
      </c>
      <c r="K27" s="150">
        <f t="shared" si="1"/>
        <v>34415.279999999999</v>
      </c>
      <c r="L27" s="195">
        <f>+L15</f>
        <v>21</v>
      </c>
      <c r="M27" s="147">
        <f t="shared" si="8"/>
        <v>20.112617050247916</v>
      </c>
      <c r="N27" s="150">
        <f t="shared" si="2"/>
        <v>53.3</v>
      </c>
      <c r="O27" s="196">
        <f t="shared" si="9"/>
        <v>51.047737560867333</v>
      </c>
      <c r="Q27" s="173">
        <f t="shared" si="10"/>
        <v>6.2650802111522158E-2</v>
      </c>
      <c r="R27" s="203">
        <f>Q27</f>
        <v>6.2650802111522158E-2</v>
      </c>
      <c r="S27" s="197">
        <f t="shared" si="3"/>
        <v>1.3845827266646398E-3</v>
      </c>
      <c r="T27" s="198">
        <f t="shared" si="4"/>
        <v>6.4035384838186798E-2</v>
      </c>
      <c r="V27" s="197">
        <f t="shared" si="5"/>
        <v>6.844035384838187</v>
      </c>
      <c r="W27" s="199">
        <f t="shared" si="12"/>
        <v>2895.0269677865531</v>
      </c>
      <c r="X27" s="199">
        <f t="shared" si="6"/>
        <v>27.086967786553032</v>
      </c>
      <c r="Y27" s="200">
        <f t="shared" si="13"/>
        <v>325.04361343863638</v>
      </c>
      <c r="AA27" s="201">
        <f t="shared" si="14"/>
        <v>318.02740500420293</v>
      </c>
      <c r="AB27" s="202">
        <f t="shared" si="15"/>
        <v>9.444747026281286E-3</v>
      </c>
    </row>
    <row r="28" spans="1:28">
      <c r="A28" s="144" t="s">
        <v>118</v>
      </c>
      <c r="F28" s="145">
        <v>5859.25</v>
      </c>
      <c r="G28" s="146">
        <v>52</v>
      </c>
      <c r="H28" s="152">
        <f t="shared" si="7"/>
        <v>304681</v>
      </c>
      <c r="I28" s="143">
        <v>14.77</v>
      </c>
      <c r="J28" s="150">
        <f t="shared" si="0"/>
        <v>86541.122499999998</v>
      </c>
      <c r="K28" s="150">
        <f t="shared" si="1"/>
        <v>1038493.47</v>
      </c>
      <c r="L28" s="195">
        <f>+L15</f>
        <v>21</v>
      </c>
      <c r="M28" s="147">
        <f t="shared" si="8"/>
        <v>20.112617050247916</v>
      </c>
      <c r="N28" s="150">
        <f t="shared" si="2"/>
        <v>3199.15</v>
      </c>
      <c r="O28" s="196">
        <f t="shared" si="9"/>
        <v>3063.9656588714583</v>
      </c>
      <c r="Q28" s="173">
        <f t="shared" si="10"/>
        <v>6.2650802111522158E-2</v>
      </c>
      <c r="R28" s="197">
        <f>Q28*4.33</f>
        <v>0.27127797314289093</v>
      </c>
      <c r="S28" s="197">
        <f t="shared" si="3"/>
        <v>5.9952432064578898E-3</v>
      </c>
      <c r="T28" s="198">
        <f t="shared" si="4"/>
        <v>0.27727321634934882</v>
      </c>
      <c r="V28" s="197">
        <f t="shared" si="5"/>
        <v>15.047273216349348</v>
      </c>
      <c r="W28" s="199">
        <f t="shared" si="12"/>
        <v>88165.735592894911</v>
      </c>
      <c r="X28" s="199">
        <f t="shared" si="6"/>
        <v>1624.6130928949133</v>
      </c>
      <c r="Y28" s="200">
        <f t="shared" si="13"/>
        <v>19495.357114738959</v>
      </c>
      <c r="AA28" s="201">
        <f t="shared" si="14"/>
        <v>19088.506054769154</v>
      </c>
      <c r="AB28" s="202">
        <f t="shared" si="15"/>
        <v>1.8772729610653238E-2</v>
      </c>
    </row>
    <row r="29" spans="1:28">
      <c r="A29" s="144" t="s">
        <v>161</v>
      </c>
      <c r="F29" s="145">
        <v>5760.666666666667</v>
      </c>
      <c r="G29" s="146">
        <v>52</v>
      </c>
      <c r="H29" s="152">
        <f t="shared" si="7"/>
        <v>299554.66666666669</v>
      </c>
      <c r="I29" s="143">
        <v>23.26</v>
      </c>
      <c r="J29" s="150">
        <f t="shared" si="0"/>
        <v>133993.10666666669</v>
      </c>
      <c r="K29" s="150">
        <f t="shared" si="1"/>
        <v>1607917.2800000003</v>
      </c>
      <c r="L29" s="195">
        <f>+L15*2</f>
        <v>42</v>
      </c>
      <c r="M29" s="147">
        <f t="shared" si="8"/>
        <v>40.225234100495832</v>
      </c>
      <c r="N29" s="150">
        <f t="shared" si="2"/>
        <v>6290.65</v>
      </c>
      <c r="O29" s="196">
        <f t="shared" si="9"/>
        <v>6024.830211768669</v>
      </c>
      <c r="Q29" s="173">
        <f t="shared" si="10"/>
        <v>0.12530160422304432</v>
      </c>
      <c r="R29" s="197">
        <f>Q29*4.33</f>
        <v>0.54255594628578185</v>
      </c>
      <c r="S29" s="197">
        <f t="shared" si="3"/>
        <v>1.199048641291578E-2</v>
      </c>
      <c r="T29" s="198">
        <f t="shared" si="4"/>
        <v>0.55454643269869763</v>
      </c>
      <c r="V29" s="197">
        <f t="shared" si="5"/>
        <v>23.814546432698698</v>
      </c>
      <c r="W29" s="199">
        <f t="shared" si="12"/>
        <v>137187.66381663296</v>
      </c>
      <c r="X29" s="199">
        <f t="shared" si="6"/>
        <v>3194.5571499662765</v>
      </c>
      <c r="Y29" s="200">
        <f t="shared" si="13"/>
        <v>38334.685799595318</v>
      </c>
      <c r="AA29" s="201">
        <f t="shared" si="14"/>
        <v>37534.692219318749</v>
      </c>
      <c r="AB29" s="202">
        <f t="shared" si="15"/>
        <v>2.3841205189109926E-2</v>
      </c>
    </row>
    <row r="30" spans="1:28">
      <c r="A30" s="144" t="s">
        <v>162</v>
      </c>
      <c r="F30" s="145">
        <v>1556</v>
      </c>
      <c r="G30" s="146">
        <v>52</v>
      </c>
      <c r="H30" s="152">
        <f t="shared" si="7"/>
        <v>80912</v>
      </c>
      <c r="I30" s="143">
        <v>31.82</v>
      </c>
      <c r="J30" s="150">
        <f t="shared" si="0"/>
        <v>49511.92</v>
      </c>
      <c r="K30" s="150">
        <f t="shared" si="1"/>
        <v>594143.04</v>
      </c>
      <c r="L30" s="195">
        <f>+L15*3</f>
        <v>63</v>
      </c>
      <c r="M30" s="147">
        <f t="shared" si="8"/>
        <v>60.337851150743752</v>
      </c>
      <c r="N30" s="150">
        <f t="shared" si="2"/>
        <v>2548.73</v>
      </c>
      <c r="O30" s="196">
        <f t="shared" si="9"/>
        <v>2441.0300216418273</v>
      </c>
      <c r="Q30" s="173">
        <f t="shared" si="10"/>
        <v>0.18795240633456647</v>
      </c>
      <c r="R30" s="197">
        <f>Q30*4.33</f>
        <v>0.81383391942867289</v>
      </c>
      <c r="S30" s="197">
        <f t="shared" si="3"/>
        <v>1.7985729619373673E-2</v>
      </c>
      <c r="T30" s="198">
        <f t="shared" si="4"/>
        <v>0.83181964904804662</v>
      </c>
      <c r="V30" s="197">
        <f t="shared" si="5"/>
        <v>32.651819649048043</v>
      </c>
      <c r="W30" s="199">
        <f t="shared" si="12"/>
        <v>50806.231373918752</v>
      </c>
      <c r="X30" s="199">
        <f t="shared" si="6"/>
        <v>1294.3113739187538</v>
      </c>
      <c r="Y30" s="200">
        <f t="shared" si="13"/>
        <v>15531.736487025046</v>
      </c>
      <c r="AA30" s="201">
        <f t="shared" si="14"/>
        <v>15207.61703482856</v>
      </c>
      <c r="AB30" s="202">
        <f t="shared" si="15"/>
        <v>2.6141409460969323E-2</v>
      </c>
    </row>
    <row r="31" spans="1:28">
      <c r="A31" s="144" t="s">
        <v>32</v>
      </c>
      <c r="F31" s="145"/>
      <c r="G31" s="146">
        <v>12</v>
      </c>
      <c r="I31" s="143">
        <v>2.74</v>
      </c>
      <c r="J31" s="150">
        <f t="shared" si="0"/>
        <v>0</v>
      </c>
      <c r="K31" s="150">
        <f t="shared" si="1"/>
        <v>0</v>
      </c>
      <c r="L31" s="195">
        <f>+L15</f>
        <v>21</v>
      </c>
      <c r="M31" s="147">
        <f t="shared" si="8"/>
        <v>20.112617050247916</v>
      </c>
      <c r="N31" s="150">
        <f t="shared" si="2"/>
        <v>0</v>
      </c>
      <c r="O31" s="196">
        <f t="shared" si="9"/>
        <v>0</v>
      </c>
      <c r="Q31" s="173">
        <f t="shared" si="10"/>
        <v>6.2650802111522158E-2</v>
      </c>
      <c r="R31" s="203">
        <f>Q31</f>
        <v>6.2650802111522158E-2</v>
      </c>
      <c r="S31" s="197">
        <f t="shared" si="3"/>
        <v>1.3845827266646398E-3</v>
      </c>
      <c r="T31" s="198">
        <f t="shared" si="4"/>
        <v>6.4035384838186798E-2</v>
      </c>
      <c r="V31" s="197">
        <f t="shared" si="5"/>
        <v>2.8040353848381869</v>
      </c>
      <c r="W31" s="199">
        <f t="shared" si="12"/>
        <v>0</v>
      </c>
      <c r="X31" s="199">
        <f t="shared" si="6"/>
        <v>0</v>
      </c>
      <c r="Y31" s="200">
        <f t="shared" si="13"/>
        <v>0</v>
      </c>
      <c r="AA31" s="201">
        <f t="shared" si="14"/>
        <v>0</v>
      </c>
      <c r="AB31" s="202">
        <f t="shared" si="15"/>
        <v>2.3370578408097309E-2</v>
      </c>
    </row>
    <row r="32" spans="1:28">
      <c r="A32" s="144" t="s">
        <v>211</v>
      </c>
      <c r="F32" s="145"/>
      <c r="G32" s="146">
        <v>12</v>
      </c>
      <c r="I32" s="143"/>
      <c r="J32" s="150">
        <f t="shared" ref="J32:J36" si="16">F32*I32</f>
        <v>0</v>
      </c>
      <c r="K32" s="150">
        <f t="shared" ref="K32:K36" si="17">J32*12</f>
        <v>0</v>
      </c>
      <c r="L32" s="195">
        <f t="shared" ref="L32:L36" si="18">+L16</f>
        <v>145</v>
      </c>
      <c r="M32" s="147">
        <f t="shared" ref="M32:M36" si="19">L32*$O$4</f>
        <v>138.87283201361657</v>
      </c>
      <c r="N32" s="150">
        <f t="shared" ref="N32:N36" si="20">ROUND(((F32*G32*L32)/2000),2)</f>
        <v>0</v>
      </c>
      <c r="O32" s="196">
        <f t="shared" ref="O32:O36" si="21">$O$4*N32</f>
        <v>0</v>
      </c>
      <c r="Q32" s="173">
        <f t="shared" ref="Q32:Q36" si="22">M32*$R$12</f>
        <v>0.43258887172241495</v>
      </c>
      <c r="R32" s="203">
        <f t="shared" ref="R32:R36" si="23">Q32</f>
        <v>0.43258887172241495</v>
      </c>
      <c r="S32" s="197">
        <f t="shared" si="3"/>
        <v>9.5602140650653707E-3</v>
      </c>
      <c r="T32" s="198">
        <f t="shared" si="4"/>
        <v>0.4421490857874803</v>
      </c>
      <c r="V32" s="197">
        <f t="shared" si="5"/>
        <v>0.4421490857874803</v>
      </c>
      <c r="W32" s="199">
        <f t="shared" ref="W32:W36" si="24">F32*V32</f>
        <v>0</v>
      </c>
      <c r="X32" s="199">
        <f t="shared" ref="X32:X36" si="25">W32-J32</f>
        <v>0</v>
      </c>
      <c r="Y32" s="200">
        <f t="shared" ref="Y32:Y36" si="26">X32*12</f>
        <v>0</v>
      </c>
      <c r="AA32" s="201">
        <f t="shared" ref="AA32:AA36" si="27">O32*$R$11</f>
        <v>0</v>
      </c>
      <c r="AB32" s="202" t="str">
        <f t="shared" ref="AB32:AB36" si="28">IF(I32=0,"",V32/I32-1)</f>
        <v/>
      </c>
    </row>
    <row r="33" spans="1:29">
      <c r="A33" s="144" t="s">
        <v>212</v>
      </c>
      <c r="F33" s="145"/>
      <c r="G33" s="146">
        <v>12</v>
      </c>
      <c r="I33" s="143"/>
      <c r="J33" s="150">
        <f t="shared" si="16"/>
        <v>0</v>
      </c>
      <c r="K33" s="150">
        <f t="shared" si="17"/>
        <v>0</v>
      </c>
      <c r="L33" s="195">
        <f t="shared" si="18"/>
        <v>269</v>
      </c>
      <c r="M33" s="147">
        <f t="shared" si="19"/>
        <v>257.63304697698521</v>
      </c>
      <c r="N33" s="150">
        <f t="shared" si="20"/>
        <v>0</v>
      </c>
      <c r="O33" s="196">
        <f t="shared" si="21"/>
        <v>0</v>
      </c>
      <c r="Q33" s="173">
        <f t="shared" si="22"/>
        <v>0.8025269413333076</v>
      </c>
      <c r="R33" s="203">
        <f t="shared" si="23"/>
        <v>0.8025269413333076</v>
      </c>
      <c r="S33" s="197">
        <f t="shared" si="3"/>
        <v>1.7735845403466101E-2</v>
      </c>
      <c r="T33" s="198">
        <f t="shared" si="4"/>
        <v>0.82026278673677366</v>
      </c>
      <c r="V33" s="197">
        <f t="shared" si="5"/>
        <v>0.82026278673677366</v>
      </c>
      <c r="W33" s="199">
        <f t="shared" si="24"/>
        <v>0</v>
      </c>
      <c r="X33" s="199">
        <f t="shared" si="25"/>
        <v>0</v>
      </c>
      <c r="Y33" s="200">
        <f t="shared" si="26"/>
        <v>0</v>
      </c>
      <c r="AA33" s="201">
        <f t="shared" si="27"/>
        <v>0</v>
      </c>
      <c r="AB33" s="202" t="str">
        <f t="shared" si="28"/>
        <v/>
      </c>
    </row>
    <row r="34" spans="1:29">
      <c r="A34" s="144" t="s">
        <v>213</v>
      </c>
      <c r="F34" s="145"/>
      <c r="G34" s="146">
        <v>12</v>
      </c>
      <c r="I34" s="143"/>
      <c r="J34" s="150">
        <f t="shared" si="16"/>
        <v>0</v>
      </c>
      <c r="K34" s="150">
        <f t="shared" si="17"/>
        <v>0</v>
      </c>
      <c r="L34" s="195">
        <f t="shared" si="18"/>
        <v>0</v>
      </c>
      <c r="M34" s="147">
        <f t="shared" si="19"/>
        <v>0</v>
      </c>
      <c r="N34" s="150">
        <f t="shared" si="20"/>
        <v>0</v>
      </c>
      <c r="O34" s="196">
        <f t="shared" si="21"/>
        <v>0</v>
      </c>
      <c r="Q34" s="173">
        <f t="shared" si="22"/>
        <v>0</v>
      </c>
      <c r="R34" s="203">
        <f t="shared" si="23"/>
        <v>0</v>
      </c>
      <c r="S34" s="197">
        <f t="shared" si="3"/>
        <v>0</v>
      </c>
      <c r="T34" s="198">
        <f t="shared" si="4"/>
        <v>0</v>
      </c>
      <c r="V34" s="197">
        <f t="shared" si="5"/>
        <v>0</v>
      </c>
      <c r="W34" s="199">
        <f t="shared" si="24"/>
        <v>0</v>
      </c>
      <c r="X34" s="199">
        <f t="shared" si="25"/>
        <v>0</v>
      </c>
      <c r="Y34" s="200">
        <f t="shared" si="26"/>
        <v>0</v>
      </c>
      <c r="AA34" s="201">
        <f t="shared" si="27"/>
        <v>0</v>
      </c>
      <c r="AB34" s="202" t="str">
        <f t="shared" si="28"/>
        <v/>
      </c>
    </row>
    <row r="35" spans="1:29">
      <c r="A35" s="144" t="s">
        <v>260</v>
      </c>
      <c r="F35" s="145"/>
      <c r="G35" s="146">
        <v>12</v>
      </c>
      <c r="I35" s="143"/>
      <c r="J35" s="150">
        <f t="shared" si="16"/>
        <v>0</v>
      </c>
      <c r="K35" s="150">
        <f t="shared" si="17"/>
        <v>0</v>
      </c>
      <c r="L35" s="195">
        <f t="shared" si="18"/>
        <v>0</v>
      </c>
      <c r="M35" s="147">
        <f t="shared" si="19"/>
        <v>0</v>
      </c>
      <c r="N35" s="150">
        <f t="shared" si="20"/>
        <v>0</v>
      </c>
      <c r="O35" s="196">
        <f t="shared" si="21"/>
        <v>0</v>
      </c>
      <c r="Q35" s="173">
        <f t="shared" si="22"/>
        <v>0</v>
      </c>
      <c r="R35" s="203">
        <f t="shared" si="23"/>
        <v>0</v>
      </c>
      <c r="S35" s="197">
        <f t="shared" si="3"/>
        <v>0</v>
      </c>
      <c r="T35" s="198">
        <f t="shared" si="4"/>
        <v>0</v>
      </c>
      <c r="V35" s="197">
        <f t="shared" si="5"/>
        <v>0</v>
      </c>
      <c r="W35" s="199">
        <f t="shared" si="24"/>
        <v>0</v>
      </c>
      <c r="X35" s="199">
        <f t="shared" si="25"/>
        <v>0</v>
      </c>
      <c r="Y35" s="200">
        <f t="shared" si="26"/>
        <v>0</v>
      </c>
      <c r="AA35" s="201">
        <f t="shared" si="27"/>
        <v>0</v>
      </c>
      <c r="AB35" s="202" t="str">
        <f t="shared" si="28"/>
        <v/>
      </c>
    </row>
    <row r="36" spans="1:29">
      <c r="A36" s="144" t="s">
        <v>261</v>
      </c>
      <c r="F36" s="145"/>
      <c r="G36" s="146">
        <v>12</v>
      </c>
      <c r="I36" s="143"/>
      <c r="J36" s="150">
        <f t="shared" si="16"/>
        <v>0</v>
      </c>
      <c r="K36" s="150">
        <f t="shared" si="17"/>
        <v>0</v>
      </c>
      <c r="L36" s="195">
        <f t="shared" si="18"/>
        <v>12.47</v>
      </c>
      <c r="M36" s="147">
        <f t="shared" si="19"/>
        <v>11.943063553171026</v>
      </c>
      <c r="N36" s="150">
        <f t="shared" si="20"/>
        <v>0</v>
      </c>
      <c r="O36" s="196">
        <f t="shared" si="21"/>
        <v>0</v>
      </c>
      <c r="Q36" s="173">
        <f t="shared" si="22"/>
        <v>3.7202642968127683E-2</v>
      </c>
      <c r="R36" s="203">
        <f t="shared" si="23"/>
        <v>3.7202642968127683E-2</v>
      </c>
      <c r="S36" s="197">
        <f t="shared" si="3"/>
        <v>8.2217840959562187E-4</v>
      </c>
      <c r="T36" s="198">
        <f t="shared" si="4"/>
        <v>3.8024821377723304E-2</v>
      </c>
      <c r="V36" s="197">
        <f t="shared" si="5"/>
        <v>3.8024821377723304E-2</v>
      </c>
      <c r="W36" s="199">
        <f t="shared" si="24"/>
        <v>0</v>
      </c>
      <c r="X36" s="199">
        <f t="shared" si="25"/>
        <v>0</v>
      </c>
      <c r="Y36" s="200">
        <f t="shared" si="26"/>
        <v>0</v>
      </c>
      <c r="AA36" s="201">
        <f t="shared" si="27"/>
        <v>0</v>
      </c>
      <c r="AB36" s="202" t="str">
        <f t="shared" si="28"/>
        <v/>
      </c>
    </row>
    <row r="37" spans="1:29">
      <c r="A37" s="144"/>
      <c r="F37" s="145"/>
      <c r="I37" s="204"/>
      <c r="J37" s="150"/>
      <c r="K37" s="150"/>
      <c r="L37" s="195"/>
      <c r="N37" s="150"/>
      <c r="O37" s="196"/>
      <c r="AA37" s="165"/>
    </row>
    <row r="38" spans="1:29">
      <c r="A38" s="146" t="s">
        <v>214</v>
      </c>
      <c r="C38" s="153"/>
      <c r="D38" s="153"/>
      <c r="E38" s="153"/>
      <c r="F38" s="207">
        <f>SUM(F20:F37)-F31</f>
        <v>22470.333333333332</v>
      </c>
      <c r="G38" s="207"/>
      <c r="H38" s="207">
        <f>SUM(H20:H37)</f>
        <v>1151537.3333333335</v>
      </c>
      <c r="I38" s="207"/>
      <c r="J38" s="207">
        <f>SUM(J20:J37)</f>
        <v>414006.35500000004</v>
      </c>
      <c r="K38" s="207">
        <f>SUM(K20:K37)</f>
        <v>4968076.2600000007</v>
      </c>
      <c r="L38" s="154">
        <f>SUM(L20:L37)</f>
        <v>1047.94</v>
      </c>
      <c r="N38" s="207">
        <f>SUM(N20:N37)</f>
        <v>17001.11</v>
      </c>
      <c r="O38" s="207">
        <f>SUM(O20:O37)</f>
        <v>16282.705469482873</v>
      </c>
      <c r="W38" s="199">
        <f>SUM(W20:W37)</f>
        <v>422639.99204048113</v>
      </c>
      <c r="X38" s="199">
        <f>SUM(X20:X37)</f>
        <v>8633.6370404811241</v>
      </c>
      <c r="Y38" s="199">
        <f>SUM(Y20:Y37)</f>
        <v>103603.64448577349</v>
      </c>
      <c r="AA38" s="208">
        <f>SUM(AA20:AA37)</f>
        <v>101441.25507487814</v>
      </c>
    </row>
    <row r="39" spans="1:29" ht="15" customHeight="1">
      <c r="F39" s="205"/>
      <c r="H39" s="153"/>
      <c r="I39" s="206"/>
      <c r="J39" s="150"/>
      <c r="K39" s="150"/>
      <c r="N39" s="150"/>
      <c r="O39" s="196"/>
      <c r="AA39" s="209"/>
    </row>
    <row r="40" spans="1:29" s="214" customFormat="1" ht="12" thickBot="1">
      <c r="A40" s="210" t="s">
        <v>262</v>
      </c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1"/>
      <c r="N40" s="212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3"/>
      <c r="AB40" s="300"/>
    </row>
    <row r="41" spans="1:29">
      <c r="A41" s="215"/>
      <c r="B41" s="216" t="s">
        <v>215</v>
      </c>
      <c r="C41" s="216" t="s">
        <v>216</v>
      </c>
      <c r="D41" s="149" t="s">
        <v>217</v>
      </c>
      <c r="E41" s="149" t="s">
        <v>342</v>
      </c>
      <c r="H41" s="146" t="s">
        <v>342</v>
      </c>
      <c r="I41" s="173"/>
      <c r="J41" s="150"/>
      <c r="K41" s="150"/>
      <c r="N41" s="150"/>
      <c r="O41" s="196"/>
      <c r="AA41" s="165"/>
    </row>
    <row r="42" spans="1:29">
      <c r="A42" s="217" t="s">
        <v>125</v>
      </c>
      <c r="B42" s="219">
        <f>C42/4.33</f>
        <v>266.18552732871439</v>
      </c>
      <c r="C42" s="246">
        <f>H42/12</f>
        <v>1152.5833333333333</v>
      </c>
      <c r="D42" s="146">
        <v>0.158</v>
      </c>
      <c r="F42" s="219">
        <f t="shared" ref="F42:F129" si="29">B42</f>
        <v>266.18552732871439</v>
      </c>
      <c r="G42" s="146">
        <v>52</v>
      </c>
      <c r="H42" s="152">
        <f>9411+4420</f>
        <v>13831</v>
      </c>
      <c r="I42" s="220">
        <v>3.93</v>
      </c>
      <c r="J42" s="150">
        <f>+C42*I42</f>
        <v>4529.6525000000001</v>
      </c>
      <c r="K42" s="150">
        <f>J42*12</f>
        <v>54355.83</v>
      </c>
      <c r="L42" s="195">
        <f t="shared" ref="L42" si="30">+D42*L$16</f>
        <v>22.91</v>
      </c>
      <c r="M42" s="147">
        <f>L42*$O$5</f>
        <v>21.94190745815142</v>
      </c>
      <c r="N42" s="221">
        <f t="shared" ref="N42" si="31">ROUND((C42*L42*12)/2000,2)</f>
        <v>158.43</v>
      </c>
      <c r="O42" s="196">
        <f>$O$5*N42</f>
        <v>151.73532948908465</v>
      </c>
      <c r="P42" s="222"/>
      <c r="Q42" s="173">
        <f t="shared" ref="Q42" si="32">M42*$R$12</f>
        <v>6.8349041732141555E-2</v>
      </c>
      <c r="R42" s="197"/>
      <c r="S42" s="197">
        <f t="shared" ref="S42:S73" si="33">Q42*$U$12</f>
        <v>1.5105138222803285E-3</v>
      </c>
      <c r="T42" s="198">
        <f t="shared" ref="T42:T73" si="34">+Q42+S42</f>
        <v>6.9859555554421887E-2</v>
      </c>
      <c r="V42" s="197">
        <f t="shared" ref="V42:V73" si="35">I42+T42</f>
        <v>3.9998595555544219</v>
      </c>
      <c r="W42" s="199">
        <f>C42*V42</f>
        <v>4610.1714594061004</v>
      </c>
      <c r="X42" s="199">
        <f>W42-J42</f>
        <v>80.518959406100294</v>
      </c>
      <c r="Y42" s="200">
        <f>X42*12</f>
        <v>966.22751287320352</v>
      </c>
      <c r="AA42" s="201">
        <f>O42*$R$11</f>
        <v>945.31110271699583</v>
      </c>
      <c r="AB42" s="202">
        <f t="shared" ref="AB42" si="36">IF(I42=0,"",V42/I42-1)</f>
        <v>1.7775968334458492E-2</v>
      </c>
      <c r="AC42" s="148">
        <f>8.45*1.03</f>
        <v>8.7035</v>
      </c>
    </row>
    <row r="43" spans="1:29">
      <c r="A43" s="217" t="s">
        <v>293</v>
      </c>
      <c r="B43" s="219">
        <f t="shared" ref="B43:B104" si="37">C43/4.33</f>
        <v>0</v>
      </c>
      <c r="C43" s="246">
        <f>H65/12</f>
        <v>0</v>
      </c>
      <c r="D43" s="146">
        <v>0.158</v>
      </c>
      <c r="F43" s="219">
        <f t="shared" si="29"/>
        <v>0</v>
      </c>
      <c r="G43" s="146">
        <v>52</v>
      </c>
      <c r="H43" s="153">
        <f>C43*D43</f>
        <v>0</v>
      </c>
      <c r="I43" s="220">
        <v>8.61</v>
      </c>
      <c r="J43" s="150">
        <f t="shared" ref="J43:J106" si="38">+C43*I43</f>
        <v>0</v>
      </c>
      <c r="K43" s="150">
        <f t="shared" ref="K43:K106" si="39">J43*12</f>
        <v>0</v>
      </c>
      <c r="L43" s="195">
        <f t="shared" ref="L43:L106" si="40">+D43*L$16</f>
        <v>22.91</v>
      </c>
      <c r="M43" s="147">
        <f t="shared" ref="M43:M106" si="41">L43*$O$5</f>
        <v>21.94190745815142</v>
      </c>
      <c r="N43" s="221">
        <f t="shared" ref="N43:N106" si="42">ROUND((C43*L43*12)/2000,2)</f>
        <v>0</v>
      </c>
      <c r="O43" s="196">
        <f t="shared" ref="O43:O106" si="43">$O$5*N43</f>
        <v>0</v>
      </c>
      <c r="P43" s="222"/>
      <c r="Q43" s="173">
        <f t="shared" ref="Q43:Q106" si="44">M43*$R$12</f>
        <v>6.8349041732141555E-2</v>
      </c>
      <c r="R43" s="197"/>
      <c r="S43" s="197">
        <f t="shared" si="33"/>
        <v>1.5105138222803285E-3</v>
      </c>
      <c r="T43" s="198">
        <f t="shared" si="34"/>
        <v>6.9859555554421887E-2</v>
      </c>
      <c r="V43" s="197">
        <f t="shared" si="35"/>
        <v>8.6798595555544207</v>
      </c>
      <c r="W43" s="199">
        <f t="shared" ref="W43:W106" si="45">C43*V43</f>
        <v>0</v>
      </c>
      <c r="X43" s="199">
        <f t="shared" ref="X43:X106" si="46">W43-J43</f>
        <v>0</v>
      </c>
      <c r="Y43" s="200">
        <f t="shared" ref="Y43:Y106" si="47">X43*12</f>
        <v>0</v>
      </c>
      <c r="AA43" s="201">
        <f t="shared" ref="AA43:AA106" si="48">O43*$R$11</f>
        <v>0</v>
      </c>
      <c r="AB43" s="202">
        <f t="shared" ref="AB43:AB106" si="49">IF(I43=0,"",V43/I43-1)</f>
        <v>8.1137695185158343E-3</v>
      </c>
    </row>
    <row r="44" spans="1:29">
      <c r="A44" s="217" t="s">
        <v>126</v>
      </c>
      <c r="B44" s="219"/>
      <c r="C44" s="246"/>
      <c r="D44" s="146">
        <v>0.316</v>
      </c>
      <c r="F44" s="219">
        <f t="shared" si="29"/>
        <v>0</v>
      </c>
      <c r="G44" s="146">
        <v>52</v>
      </c>
      <c r="H44" s="153"/>
      <c r="I44" s="220">
        <v>6.41</v>
      </c>
      <c r="J44" s="150">
        <f t="shared" si="38"/>
        <v>0</v>
      </c>
      <c r="K44" s="150">
        <f t="shared" si="39"/>
        <v>0</v>
      </c>
      <c r="L44" s="195">
        <f t="shared" si="40"/>
        <v>45.82</v>
      </c>
      <c r="M44" s="147">
        <f t="shared" si="41"/>
        <v>43.883814916302839</v>
      </c>
      <c r="N44" s="221">
        <f t="shared" si="42"/>
        <v>0</v>
      </c>
      <c r="O44" s="196">
        <f t="shared" si="43"/>
        <v>0</v>
      </c>
      <c r="P44" s="222"/>
      <c r="Q44" s="173">
        <f t="shared" si="44"/>
        <v>0.13669808346428311</v>
      </c>
      <c r="R44" s="197"/>
      <c r="S44" s="197">
        <f t="shared" si="33"/>
        <v>3.0210276445606569E-3</v>
      </c>
      <c r="T44" s="198">
        <f t="shared" si="34"/>
        <v>0.13971911110884377</v>
      </c>
      <c r="V44" s="197">
        <f t="shared" si="35"/>
        <v>6.5497191111088435</v>
      </c>
      <c r="W44" s="199">
        <f t="shared" si="45"/>
        <v>0</v>
      </c>
      <c r="X44" s="199">
        <f t="shared" si="46"/>
        <v>0</v>
      </c>
      <c r="Y44" s="200">
        <f t="shared" si="47"/>
        <v>0</v>
      </c>
      <c r="AA44" s="201">
        <f t="shared" si="48"/>
        <v>0</v>
      </c>
      <c r="AB44" s="202">
        <f t="shared" si="49"/>
        <v>2.1797053215108164E-2</v>
      </c>
      <c r="AC44" s="148">
        <f>9.54*1.037</f>
        <v>9.8929799999999979</v>
      </c>
    </row>
    <row r="45" spans="1:29">
      <c r="A45" s="217" t="s">
        <v>294</v>
      </c>
      <c r="B45" s="219"/>
      <c r="C45" s="246"/>
      <c r="D45" s="146">
        <v>0.316</v>
      </c>
      <c r="F45" s="219">
        <f t="shared" si="29"/>
        <v>0</v>
      </c>
      <c r="G45" s="146">
        <v>52</v>
      </c>
      <c r="H45" s="153"/>
      <c r="I45" s="220">
        <v>9.8000000000000007</v>
      </c>
      <c r="J45" s="150">
        <f t="shared" si="38"/>
        <v>0</v>
      </c>
      <c r="K45" s="150">
        <f t="shared" si="39"/>
        <v>0</v>
      </c>
      <c r="L45" s="195">
        <f t="shared" si="40"/>
        <v>45.82</v>
      </c>
      <c r="M45" s="147">
        <f t="shared" si="41"/>
        <v>43.883814916302839</v>
      </c>
      <c r="N45" s="221">
        <f t="shared" si="42"/>
        <v>0</v>
      </c>
      <c r="O45" s="196">
        <f t="shared" si="43"/>
        <v>0</v>
      </c>
      <c r="P45" s="222"/>
      <c r="Q45" s="173">
        <f t="shared" si="44"/>
        <v>0.13669808346428311</v>
      </c>
      <c r="R45" s="197"/>
      <c r="S45" s="197">
        <f t="shared" si="33"/>
        <v>3.0210276445606569E-3</v>
      </c>
      <c r="T45" s="198">
        <f t="shared" si="34"/>
        <v>0.13971911110884377</v>
      </c>
      <c r="V45" s="197">
        <f t="shared" si="35"/>
        <v>9.939719111108845</v>
      </c>
      <c r="W45" s="199">
        <f t="shared" si="45"/>
        <v>0</v>
      </c>
      <c r="X45" s="199">
        <f t="shared" si="46"/>
        <v>0</v>
      </c>
      <c r="Y45" s="200">
        <f t="shared" si="47"/>
        <v>0</v>
      </c>
      <c r="AA45" s="201">
        <f t="shared" si="48"/>
        <v>0</v>
      </c>
      <c r="AB45" s="202">
        <f t="shared" si="49"/>
        <v>1.4257052153963778E-2</v>
      </c>
    </row>
    <row r="46" spans="1:29">
      <c r="A46" s="217" t="s">
        <v>127</v>
      </c>
      <c r="B46" s="219"/>
      <c r="C46" s="246">
        <f t="shared" ref="C46:C51" si="50">H68/12</f>
        <v>0</v>
      </c>
      <c r="D46" s="146">
        <v>0.47399999999999998</v>
      </c>
      <c r="F46" s="219">
        <f t="shared" si="29"/>
        <v>0</v>
      </c>
      <c r="G46" s="146">
        <v>52</v>
      </c>
      <c r="H46" s="153">
        <f>C46*D46</f>
        <v>0</v>
      </c>
      <c r="I46" s="220">
        <v>9.59</v>
      </c>
      <c r="J46" s="150">
        <f t="shared" si="38"/>
        <v>0</v>
      </c>
      <c r="K46" s="150">
        <f t="shared" si="39"/>
        <v>0</v>
      </c>
      <c r="L46" s="195">
        <f t="shared" si="40"/>
        <v>68.72999999999999</v>
      </c>
      <c r="M46" s="147">
        <f t="shared" si="41"/>
        <v>65.825722374454244</v>
      </c>
      <c r="N46" s="221">
        <f t="shared" si="42"/>
        <v>0</v>
      </c>
      <c r="O46" s="196">
        <f t="shared" si="43"/>
        <v>0</v>
      </c>
      <c r="P46" s="222"/>
      <c r="Q46" s="173">
        <f t="shared" si="44"/>
        <v>0.20504712519642465</v>
      </c>
      <c r="R46" s="197"/>
      <c r="S46" s="197">
        <f t="shared" si="33"/>
        <v>4.5315414668409852E-3</v>
      </c>
      <c r="T46" s="198">
        <f t="shared" si="34"/>
        <v>0.20957866666326563</v>
      </c>
      <c r="V46" s="197">
        <f t="shared" si="35"/>
        <v>9.7995786666632654</v>
      </c>
      <c r="W46" s="199">
        <f t="shared" si="45"/>
        <v>0</v>
      </c>
      <c r="X46" s="199">
        <f t="shared" si="46"/>
        <v>0</v>
      </c>
      <c r="Y46" s="200">
        <f t="shared" si="47"/>
        <v>0</v>
      </c>
      <c r="AA46" s="201">
        <f t="shared" si="48"/>
        <v>0</v>
      </c>
      <c r="AB46" s="202">
        <f t="shared" si="49"/>
        <v>2.1853875564469716E-2</v>
      </c>
      <c r="AC46" s="148">
        <f>11.67*1.037</f>
        <v>12.101789999999999</v>
      </c>
    </row>
    <row r="47" spans="1:29">
      <c r="A47" s="217" t="s">
        <v>295</v>
      </c>
      <c r="B47" s="219"/>
      <c r="C47" s="246">
        <f t="shared" si="50"/>
        <v>0</v>
      </c>
      <c r="D47" s="146">
        <v>0.47399999999999998</v>
      </c>
      <c r="F47" s="219">
        <f t="shared" si="29"/>
        <v>0</v>
      </c>
      <c r="G47" s="146">
        <v>52</v>
      </c>
      <c r="H47" s="153">
        <f>C47*D47</f>
        <v>0</v>
      </c>
      <c r="I47" s="220">
        <v>12.04</v>
      </c>
      <c r="J47" s="150">
        <f t="shared" si="38"/>
        <v>0</v>
      </c>
      <c r="K47" s="150">
        <f t="shared" si="39"/>
        <v>0</v>
      </c>
      <c r="L47" s="195">
        <f t="shared" si="40"/>
        <v>68.72999999999999</v>
      </c>
      <c r="M47" s="147">
        <f t="shared" si="41"/>
        <v>65.825722374454244</v>
      </c>
      <c r="N47" s="221">
        <f t="shared" si="42"/>
        <v>0</v>
      </c>
      <c r="O47" s="196">
        <f t="shared" si="43"/>
        <v>0</v>
      </c>
      <c r="P47" s="222"/>
      <c r="Q47" s="173">
        <f t="shared" si="44"/>
        <v>0.20504712519642465</v>
      </c>
      <c r="R47" s="197"/>
      <c r="S47" s="197">
        <f t="shared" si="33"/>
        <v>4.5315414668409852E-3</v>
      </c>
      <c r="T47" s="198">
        <f t="shared" si="34"/>
        <v>0.20957866666326563</v>
      </c>
      <c r="V47" s="197">
        <f t="shared" si="35"/>
        <v>12.249578666663265</v>
      </c>
      <c r="W47" s="199">
        <f t="shared" si="45"/>
        <v>0</v>
      </c>
      <c r="X47" s="199">
        <f t="shared" si="46"/>
        <v>0</v>
      </c>
      <c r="Y47" s="200">
        <f t="shared" si="47"/>
        <v>0</v>
      </c>
      <c r="AA47" s="201">
        <f t="shared" si="48"/>
        <v>0</v>
      </c>
      <c r="AB47" s="202">
        <f t="shared" si="49"/>
        <v>1.740686600193242E-2</v>
      </c>
    </row>
    <row r="48" spans="1:29">
      <c r="A48" s="217" t="s">
        <v>321</v>
      </c>
      <c r="B48" s="219"/>
      <c r="C48" s="246">
        <f t="shared" si="50"/>
        <v>0</v>
      </c>
      <c r="D48" s="146">
        <v>3.5</v>
      </c>
      <c r="F48" s="219">
        <f t="shared" si="29"/>
        <v>0</v>
      </c>
      <c r="G48" s="146">
        <v>52</v>
      </c>
      <c r="H48" s="153">
        <f>C48*D48</f>
        <v>0</v>
      </c>
      <c r="I48" s="220">
        <v>116.39</v>
      </c>
      <c r="J48" s="150">
        <f t="shared" si="38"/>
        <v>0</v>
      </c>
      <c r="K48" s="150">
        <f t="shared" si="39"/>
        <v>0</v>
      </c>
      <c r="L48" s="195">
        <f t="shared" si="40"/>
        <v>507.5</v>
      </c>
      <c r="M48" s="147">
        <f t="shared" si="41"/>
        <v>486.05491204765804</v>
      </c>
      <c r="N48" s="221">
        <f t="shared" si="42"/>
        <v>0</v>
      </c>
      <c r="O48" s="196">
        <f t="shared" si="43"/>
        <v>0</v>
      </c>
      <c r="P48" s="222"/>
      <c r="Q48" s="173">
        <f t="shared" si="44"/>
        <v>1.5140610510284522</v>
      </c>
      <c r="R48" s="197"/>
      <c r="S48" s="197">
        <f t="shared" si="33"/>
        <v>3.3460749227728799E-2</v>
      </c>
      <c r="T48" s="198">
        <f t="shared" si="34"/>
        <v>1.547521800256181</v>
      </c>
      <c r="V48" s="197">
        <f t="shared" si="35"/>
        <v>117.93752180025618</v>
      </c>
      <c r="W48" s="199">
        <f t="shared" si="45"/>
        <v>0</v>
      </c>
      <c r="X48" s="199">
        <f t="shared" si="46"/>
        <v>0</v>
      </c>
      <c r="Y48" s="200">
        <f t="shared" si="47"/>
        <v>0</v>
      </c>
      <c r="AA48" s="201">
        <f t="shared" si="48"/>
        <v>0</v>
      </c>
      <c r="AB48" s="202">
        <f t="shared" si="49"/>
        <v>1.3296003095250253E-2</v>
      </c>
    </row>
    <row r="49" spans="1:28">
      <c r="A49" s="217" t="s">
        <v>322</v>
      </c>
      <c r="B49" s="219"/>
      <c r="C49" s="246">
        <f t="shared" si="50"/>
        <v>4</v>
      </c>
      <c r="D49" s="146">
        <v>3.5</v>
      </c>
      <c r="F49" s="219">
        <f t="shared" si="29"/>
        <v>0</v>
      </c>
      <c r="G49" s="146">
        <v>52</v>
      </c>
      <c r="H49" s="153"/>
      <c r="I49" s="220">
        <v>116.39</v>
      </c>
      <c r="J49" s="150">
        <f t="shared" si="38"/>
        <v>465.56</v>
      </c>
      <c r="K49" s="150">
        <f t="shared" si="39"/>
        <v>5586.72</v>
      </c>
      <c r="L49" s="195">
        <f t="shared" si="40"/>
        <v>507.5</v>
      </c>
      <c r="M49" s="147">
        <f t="shared" si="41"/>
        <v>486.05491204765804</v>
      </c>
      <c r="N49" s="221">
        <f t="shared" si="42"/>
        <v>12.18</v>
      </c>
      <c r="O49" s="196">
        <f t="shared" si="43"/>
        <v>11.665317889143791</v>
      </c>
      <c r="P49" s="222"/>
      <c r="Q49" s="173">
        <f t="shared" si="44"/>
        <v>1.5140610510284522</v>
      </c>
      <c r="R49" s="197"/>
      <c r="S49" s="197">
        <f t="shared" si="33"/>
        <v>3.3460749227728799E-2</v>
      </c>
      <c r="T49" s="198">
        <f t="shared" si="34"/>
        <v>1.547521800256181</v>
      </c>
      <c r="V49" s="197">
        <f t="shared" si="35"/>
        <v>117.93752180025618</v>
      </c>
      <c r="W49" s="199">
        <f t="shared" si="45"/>
        <v>471.75008720102471</v>
      </c>
      <c r="X49" s="199">
        <f t="shared" si="46"/>
        <v>6.1900872010247099</v>
      </c>
      <c r="Y49" s="200">
        <f t="shared" si="47"/>
        <v>74.281046412296519</v>
      </c>
      <c r="AA49" s="201">
        <f t="shared" si="48"/>
        <v>72.674930449365704</v>
      </c>
      <c r="AB49" s="202">
        <f t="shared" si="49"/>
        <v>1.3296003095250253E-2</v>
      </c>
    </row>
    <row r="50" spans="1:28">
      <c r="A50" s="217" t="s">
        <v>319</v>
      </c>
      <c r="B50" s="219"/>
      <c r="C50" s="246">
        <f t="shared" si="50"/>
        <v>0</v>
      </c>
      <c r="D50" s="146">
        <v>5</v>
      </c>
      <c r="F50" s="219">
        <f t="shared" si="29"/>
        <v>0</v>
      </c>
      <c r="G50" s="146">
        <v>52</v>
      </c>
      <c r="H50" s="153"/>
      <c r="I50" s="220">
        <v>127.32</v>
      </c>
      <c r="J50" s="150">
        <f t="shared" si="38"/>
        <v>0</v>
      </c>
      <c r="K50" s="150">
        <f t="shared" si="39"/>
        <v>0</v>
      </c>
      <c r="L50" s="195">
        <f t="shared" si="40"/>
        <v>725</v>
      </c>
      <c r="M50" s="147">
        <f t="shared" si="41"/>
        <v>694.36416006808292</v>
      </c>
      <c r="N50" s="221">
        <f t="shared" si="42"/>
        <v>0</v>
      </c>
      <c r="O50" s="196">
        <f t="shared" si="43"/>
        <v>0</v>
      </c>
      <c r="P50" s="222"/>
      <c r="Q50" s="173">
        <f t="shared" si="44"/>
        <v>2.1629443586120747</v>
      </c>
      <c r="R50" s="197"/>
      <c r="S50" s="197">
        <f t="shared" si="33"/>
        <v>4.7801070325326857E-2</v>
      </c>
      <c r="T50" s="198">
        <f t="shared" si="34"/>
        <v>2.2107454289374013</v>
      </c>
      <c r="V50" s="197">
        <f t="shared" si="35"/>
        <v>129.53074542893739</v>
      </c>
      <c r="W50" s="199">
        <f t="shared" si="45"/>
        <v>0</v>
      </c>
      <c r="X50" s="199">
        <f t="shared" si="46"/>
        <v>0</v>
      </c>
      <c r="Y50" s="200">
        <f t="shared" si="47"/>
        <v>0</v>
      </c>
      <c r="AA50" s="201">
        <f t="shared" si="48"/>
        <v>0</v>
      </c>
      <c r="AB50" s="202">
        <f t="shared" si="49"/>
        <v>1.7363693284145443E-2</v>
      </c>
    </row>
    <row r="51" spans="1:28">
      <c r="A51" s="217" t="s">
        <v>334</v>
      </c>
      <c r="B51" s="219"/>
      <c r="C51" s="246">
        <f t="shared" si="50"/>
        <v>0</v>
      </c>
      <c r="D51" s="146">
        <v>5</v>
      </c>
      <c r="F51" s="219">
        <f t="shared" si="29"/>
        <v>0</v>
      </c>
      <c r="G51" s="146">
        <v>52</v>
      </c>
      <c r="H51" s="153"/>
      <c r="I51" s="220">
        <v>127.32</v>
      </c>
      <c r="J51" s="150">
        <f t="shared" si="38"/>
        <v>0</v>
      </c>
      <c r="K51" s="150">
        <f t="shared" si="39"/>
        <v>0</v>
      </c>
      <c r="L51" s="195">
        <f t="shared" si="40"/>
        <v>725</v>
      </c>
      <c r="M51" s="147">
        <f t="shared" si="41"/>
        <v>694.36416006808292</v>
      </c>
      <c r="N51" s="221">
        <f t="shared" si="42"/>
        <v>0</v>
      </c>
      <c r="O51" s="196">
        <f t="shared" si="43"/>
        <v>0</v>
      </c>
      <c r="P51" s="222"/>
      <c r="Q51" s="173">
        <f t="shared" si="44"/>
        <v>2.1629443586120747</v>
      </c>
      <c r="R51" s="197"/>
      <c r="S51" s="197">
        <f t="shared" si="33"/>
        <v>4.7801070325326857E-2</v>
      </c>
      <c r="T51" s="198">
        <f t="shared" si="34"/>
        <v>2.2107454289374013</v>
      </c>
      <c r="V51" s="197">
        <f t="shared" si="35"/>
        <v>129.53074542893739</v>
      </c>
      <c r="W51" s="199">
        <f t="shared" si="45"/>
        <v>0</v>
      </c>
      <c r="X51" s="199">
        <f t="shared" si="46"/>
        <v>0</v>
      </c>
      <c r="Y51" s="200">
        <f t="shared" si="47"/>
        <v>0</v>
      </c>
      <c r="AA51" s="201">
        <f t="shared" si="48"/>
        <v>0</v>
      </c>
      <c r="AB51" s="202">
        <f t="shared" si="49"/>
        <v>1.7363693284145443E-2</v>
      </c>
    </row>
    <row r="52" spans="1:28">
      <c r="A52" s="217" t="s">
        <v>218</v>
      </c>
      <c r="B52" s="219"/>
      <c r="C52" s="246">
        <f t="shared" ref="C52" si="51">H74/12</f>
        <v>0</v>
      </c>
      <c r="D52" s="146">
        <v>1</v>
      </c>
      <c r="F52" s="219">
        <f t="shared" si="29"/>
        <v>0</v>
      </c>
      <c r="G52" s="146">
        <v>52</v>
      </c>
      <c r="H52" s="153"/>
      <c r="I52" s="220">
        <v>21.94</v>
      </c>
      <c r="J52" s="150">
        <f t="shared" si="38"/>
        <v>0</v>
      </c>
      <c r="K52" s="150">
        <f t="shared" si="39"/>
        <v>0</v>
      </c>
      <c r="L52" s="195">
        <f t="shared" si="40"/>
        <v>145</v>
      </c>
      <c r="M52" s="147">
        <f t="shared" si="41"/>
        <v>138.87283201361657</v>
      </c>
      <c r="N52" s="221">
        <f t="shared" si="42"/>
        <v>0</v>
      </c>
      <c r="O52" s="196">
        <f t="shared" si="43"/>
        <v>0</v>
      </c>
      <c r="P52" s="222"/>
      <c r="Q52" s="173">
        <f t="shared" si="44"/>
        <v>0.43258887172241495</v>
      </c>
      <c r="R52" s="197"/>
      <c r="S52" s="197">
        <f t="shared" si="33"/>
        <v>9.5602140650653707E-3</v>
      </c>
      <c r="T52" s="198">
        <f t="shared" si="34"/>
        <v>0.4421490857874803</v>
      </c>
      <c r="V52" s="197">
        <f t="shared" si="35"/>
        <v>22.382149085787482</v>
      </c>
      <c r="W52" s="199">
        <f t="shared" si="45"/>
        <v>0</v>
      </c>
      <c r="X52" s="199">
        <f t="shared" si="46"/>
        <v>0</v>
      </c>
      <c r="Y52" s="200">
        <f t="shared" si="47"/>
        <v>0</v>
      </c>
      <c r="AA52" s="201">
        <f t="shared" si="48"/>
        <v>0</v>
      </c>
      <c r="AB52" s="202">
        <f t="shared" si="49"/>
        <v>2.0152647483476782E-2</v>
      </c>
    </row>
    <row r="53" spans="1:28">
      <c r="A53" s="217" t="s">
        <v>128</v>
      </c>
      <c r="B53" s="219">
        <v>19.264819091608931</v>
      </c>
      <c r="C53" s="246">
        <f>H53/12</f>
        <v>289.25</v>
      </c>
      <c r="D53" s="148">
        <v>1</v>
      </c>
      <c r="F53" s="219">
        <f t="shared" si="29"/>
        <v>19.264819091608931</v>
      </c>
      <c r="G53" s="146">
        <v>52</v>
      </c>
      <c r="H53" s="152">
        <v>3471</v>
      </c>
      <c r="I53" s="220">
        <v>20.440000000000001</v>
      </c>
      <c r="J53" s="150">
        <f t="shared" si="38"/>
        <v>5912.27</v>
      </c>
      <c r="K53" s="150">
        <f t="shared" si="39"/>
        <v>70947.240000000005</v>
      </c>
      <c r="L53" s="195">
        <f t="shared" si="40"/>
        <v>145</v>
      </c>
      <c r="M53" s="147">
        <f t="shared" si="41"/>
        <v>138.87283201361657</v>
      </c>
      <c r="N53" s="221">
        <f t="shared" si="42"/>
        <v>251.65</v>
      </c>
      <c r="O53" s="196">
        <f t="shared" si="43"/>
        <v>241.01619431880422</v>
      </c>
      <c r="P53" s="222"/>
      <c r="Q53" s="173">
        <f t="shared" si="44"/>
        <v>0.43258887172241495</v>
      </c>
      <c r="R53" s="197"/>
      <c r="S53" s="197">
        <f t="shared" si="33"/>
        <v>9.5602140650653707E-3</v>
      </c>
      <c r="T53" s="198">
        <f t="shared" si="34"/>
        <v>0.4421490857874803</v>
      </c>
      <c r="V53" s="197">
        <f t="shared" si="35"/>
        <v>20.882149085787482</v>
      </c>
      <c r="W53" s="199">
        <f t="shared" si="45"/>
        <v>6040.1616230640293</v>
      </c>
      <c r="X53" s="199">
        <f t="shared" si="46"/>
        <v>127.89162306402886</v>
      </c>
      <c r="Y53" s="200">
        <f t="shared" si="47"/>
        <v>1534.6994767683464</v>
      </c>
      <c r="AA53" s="201">
        <f t="shared" si="48"/>
        <v>1501.5308906061478</v>
      </c>
      <c r="AB53" s="202">
        <f t="shared" si="49"/>
        <v>2.1631559970033409E-2</v>
      </c>
    </row>
    <row r="54" spans="1:28">
      <c r="A54" s="217" t="s">
        <v>297</v>
      </c>
      <c r="B54" s="219">
        <v>19.264819091608931</v>
      </c>
      <c r="C54" s="246">
        <f>H54/12</f>
        <v>5</v>
      </c>
      <c r="D54" s="148">
        <v>1</v>
      </c>
      <c r="F54" s="219">
        <f t="shared" si="29"/>
        <v>19.264819091608931</v>
      </c>
      <c r="G54" s="146">
        <v>52</v>
      </c>
      <c r="H54" s="152">
        <v>60</v>
      </c>
      <c r="I54" s="220">
        <v>21.94</v>
      </c>
      <c r="J54" s="150">
        <f t="shared" si="38"/>
        <v>109.7</v>
      </c>
      <c r="K54" s="150">
        <f t="shared" si="39"/>
        <v>1316.4</v>
      </c>
      <c r="L54" s="195">
        <f t="shared" si="40"/>
        <v>145</v>
      </c>
      <c r="M54" s="147">
        <f t="shared" si="41"/>
        <v>138.87283201361657</v>
      </c>
      <c r="N54" s="221">
        <f t="shared" si="42"/>
        <v>4.3499999999999996</v>
      </c>
      <c r="O54" s="196">
        <f t="shared" si="43"/>
        <v>4.1661849604084971</v>
      </c>
      <c r="P54" s="222"/>
      <c r="Q54" s="173">
        <f t="shared" si="44"/>
        <v>0.43258887172241495</v>
      </c>
      <c r="R54" s="197"/>
      <c r="S54" s="197">
        <f t="shared" si="33"/>
        <v>9.5602140650653707E-3</v>
      </c>
      <c r="T54" s="198">
        <f t="shared" si="34"/>
        <v>0.4421490857874803</v>
      </c>
      <c r="V54" s="197">
        <f t="shared" si="35"/>
        <v>22.382149085787482</v>
      </c>
      <c r="W54" s="199">
        <f t="shared" si="45"/>
        <v>111.91074542893742</v>
      </c>
      <c r="X54" s="199">
        <f t="shared" si="46"/>
        <v>2.2107454289374147</v>
      </c>
      <c r="Y54" s="200">
        <f t="shared" si="47"/>
        <v>26.528945147248976</v>
      </c>
      <c r="AA54" s="201">
        <f t="shared" si="48"/>
        <v>25.955332303344893</v>
      </c>
      <c r="AB54" s="202">
        <f t="shared" si="49"/>
        <v>2.0152647483476782E-2</v>
      </c>
    </row>
    <row r="55" spans="1:28">
      <c r="A55" s="217" t="s">
        <v>304</v>
      </c>
      <c r="B55" s="219"/>
      <c r="C55" s="246">
        <f>H77/12</f>
        <v>0</v>
      </c>
      <c r="D55" s="148">
        <v>1</v>
      </c>
      <c r="F55" s="219">
        <f t="shared" si="29"/>
        <v>0</v>
      </c>
      <c r="G55" s="146">
        <v>52</v>
      </c>
      <c r="H55" s="153"/>
      <c r="I55" s="220">
        <v>21.94</v>
      </c>
      <c r="J55" s="150">
        <f t="shared" si="38"/>
        <v>0</v>
      </c>
      <c r="K55" s="150">
        <f t="shared" si="39"/>
        <v>0</v>
      </c>
      <c r="L55" s="195">
        <f t="shared" si="40"/>
        <v>145</v>
      </c>
      <c r="M55" s="147">
        <f t="shared" si="41"/>
        <v>138.87283201361657</v>
      </c>
      <c r="N55" s="221">
        <f t="shared" si="42"/>
        <v>0</v>
      </c>
      <c r="O55" s="196">
        <f t="shared" si="43"/>
        <v>0</v>
      </c>
      <c r="P55" s="222"/>
      <c r="Q55" s="173">
        <f t="shared" si="44"/>
        <v>0.43258887172241495</v>
      </c>
      <c r="R55" s="197"/>
      <c r="S55" s="197">
        <f t="shared" si="33"/>
        <v>9.5602140650653707E-3</v>
      </c>
      <c r="T55" s="198">
        <f t="shared" si="34"/>
        <v>0.4421490857874803</v>
      </c>
      <c r="V55" s="197">
        <f t="shared" si="35"/>
        <v>22.382149085787482</v>
      </c>
      <c r="W55" s="199">
        <f t="shared" si="45"/>
        <v>0</v>
      </c>
      <c r="X55" s="199">
        <f t="shared" si="46"/>
        <v>0</v>
      </c>
      <c r="Y55" s="200">
        <f t="shared" si="47"/>
        <v>0</v>
      </c>
      <c r="AA55" s="201">
        <f t="shared" si="48"/>
        <v>0</v>
      </c>
      <c r="AB55" s="202">
        <f t="shared" si="49"/>
        <v>2.0152647483476782E-2</v>
      </c>
    </row>
    <row r="56" spans="1:28">
      <c r="A56" s="217" t="s">
        <v>219</v>
      </c>
      <c r="B56" s="219"/>
      <c r="C56" s="246">
        <f>H78/12</f>
        <v>188.5</v>
      </c>
      <c r="D56" s="146">
        <v>1.5</v>
      </c>
      <c r="F56" s="219">
        <f t="shared" si="29"/>
        <v>0</v>
      </c>
      <c r="G56" s="146">
        <v>52</v>
      </c>
      <c r="H56" s="153"/>
      <c r="I56" s="220">
        <v>28.91</v>
      </c>
      <c r="J56" s="150">
        <f t="shared" si="38"/>
        <v>5449.5349999999999</v>
      </c>
      <c r="K56" s="150">
        <f t="shared" si="39"/>
        <v>65394.42</v>
      </c>
      <c r="L56" s="195">
        <f t="shared" si="40"/>
        <v>217.5</v>
      </c>
      <c r="M56" s="147">
        <f t="shared" si="41"/>
        <v>208.30924802042486</v>
      </c>
      <c r="N56" s="221">
        <f t="shared" si="42"/>
        <v>245.99</v>
      </c>
      <c r="O56" s="196">
        <f t="shared" si="43"/>
        <v>235.59536515192787</v>
      </c>
      <c r="P56" s="222"/>
      <c r="Q56" s="173">
        <f t="shared" si="44"/>
        <v>0.64888330758362234</v>
      </c>
      <c r="R56" s="197"/>
      <c r="S56" s="197">
        <f t="shared" si="33"/>
        <v>1.4340321097598054E-2</v>
      </c>
      <c r="T56" s="198">
        <f t="shared" si="34"/>
        <v>0.66322362868122042</v>
      </c>
      <c r="V56" s="197">
        <f t="shared" si="35"/>
        <v>29.57322362868122</v>
      </c>
      <c r="W56" s="199">
        <f t="shared" si="45"/>
        <v>5574.5526540064102</v>
      </c>
      <c r="X56" s="199">
        <f t="shared" si="46"/>
        <v>125.01765400641034</v>
      </c>
      <c r="Y56" s="200">
        <f t="shared" si="47"/>
        <v>1500.2118480769241</v>
      </c>
      <c r="AA56" s="201">
        <f t="shared" si="48"/>
        <v>1467.7591248965082</v>
      </c>
      <c r="AB56" s="202">
        <f t="shared" si="49"/>
        <v>2.2940976433110327E-2</v>
      </c>
    </row>
    <row r="57" spans="1:28">
      <c r="A57" s="217" t="s">
        <v>220</v>
      </c>
      <c r="B57" s="219">
        <f t="shared" si="37"/>
        <v>19.264819091608931</v>
      </c>
      <c r="C57" s="246">
        <f>H57/12</f>
        <v>83.416666666666671</v>
      </c>
      <c r="D57" s="146">
        <v>1.5</v>
      </c>
      <c r="F57" s="219">
        <f t="shared" si="29"/>
        <v>19.264819091608931</v>
      </c>
      <c r="G57" s="146">
        <v>52</v>
      </c>
      <c r="H57" s="152">
        <v>1001</v>
      </c>
      <c r="I57" s="220">
        <v>27.48</v>
      </c>
      <c r="J57" s="150">
        <f t="shared" si="38"/>
        <v>2292.29</v>
      </c>
      <c r="K57" s="150">
        <f t="shared" si="39"/>
        <v>27507.48</v>
      </c>
      <c r="L57" s="195">
        <f t="shared" si="40"/>
        <v>217.5</v>
      </c>
      <c r="M57" s="147">
        <f t="shared" si="41"/>
        <v>208.30924802042486</v>
      </c>
      <c r="N57" s="221">
        <f t="shared" si="42"/>
        <v>108.86</v>
      </c>
      <c r="O57" s="196">
        <f t="shared" si="43"/>
        <v>104.25997581380896</v>
      </c>
      <c r="P57" s="222"/>
      <c r="Q57" s="173">
        <f t="shared" si="44"/>
        <v>0.64888330758362234</v>
      </c>
      <c r="R57" s="197"/>
      <c r="S57" s="197">
        <f t="shared" si="33"/>
        <v>1.4340321097598054E-2</v>
      </c>
      <c r="T57" s="198">
        <f t="shared" si="34"/>
        <v>0.66322362868122042</v>
      </c>
      <c r="V57" s="197">
        <f t="shared" si="35"/>
        <v>28.14322362868122</v>
      </c>
      <c r="W57" s="199">
        <f t="shared" si="45"/>
        <v>2347.6139043591584</v>
      </c>
      <c r="X57" s="199">
        <f t="shared" si="46"/>
        <v>55.323904359158405</v>
      </c>
      <c r="Y57" s="200">
        <f t="shared" si="47"/>
        <v>663.88685230990086</v>
      </c>
      <c r="AA57" s="201">
        <f t="shared" si="48"/>
        <v>649.53964932002873</v>
      </c>
      <c r="AB57" s="202">
        <f t="shared" si="49"/>
        <v>2.413477542508069E-2</v>
      </c>
    </row>
    <row r="58" spans="1:28">
      <c r="A58" s="217" t="s">
        <v>221</v>
      </c>
      <c r="B58" s="219"/>
      <c r="C58" s="246">
        <f>H80/12</f>
        <v>0</v>
      </c>
      <c r="D58" s="146">
        <v>1.5</v>
      </c>
      <c r="F58" s="219">
        <f t="shared" si="29"/>
        <v>0</v>
      </c>
      <c r="G58" s="146">
        <v>52</v>
      </c>
      <c r="H58" s="153">
        <f>C58*D61</f>
        <v>0</v>
      </c>
      <c r="I58" s="220">
        <v>27.48</v>
      </c>
      <c r="J58" s="150">
        <f t="shared" si="38"/>
        <v>0</v>
      </c>
      <c r="K58" s="150">
        <f t="shared" si="39"/>
        <v>0</v>
      </c>
      <c r="L58" s="195">
        <f t="shared" si="40"/>
        <v>217.5</v>
      </c>
      <c r="M58" s="147">
        <f t="shared" si="41"/>
        <v>208.30924802042486</v>
      </c>
      <c r="N58" s="221">
        <f t="shared" si="42"/>
        <v>0</v>
      </c>
      <c r="O58" s="196">
        <f t="shared" si="43"/>
        <v>0</v>
      </c>
      <c r="P58" s="222"/>
      <c r="Q58" s="173">
        <f t="shared" si="44"/>
        <v>0.64888330758362234</v>
      </c>
      <c r="R58" s="197"/>
      <c r="S58" s="197">
        <f t="shared" si="33"/>
        <v>1.4340321097598054E-2</v>
      </c>
      <c r="T58" s="198">
        <f t="shared" si="34"/>
        <v>0.66322362868122042</v>
      </c>
      <c r="V58" s="197">
        <f t="shared" si="35"/>
        <v>28.14322362868122</v>
      </c>
      <c r="W58" s="199">
        <f t="shared" si="45"/>
        <v>0</v>
      </c>
      <c r="X58" s="199">
        <f t="shared" si="46"/>
        <v>0</v>
      </c>
      <c r="Y58" s="200">
        <f t="shared" si="47"/>
        <v>0</v>
      </c>
      <c r="AA58" s="201">
        <f t="shared" si="48"/>
        <v>0</v>
      </c>
      <c r="AB58" s="202">
        <f t="shared" si="49"/>
        <v>2.413477542508069E-2</v>
      </c>
    </row>
    <row r="59" spans="1:28">
      <c r="A59" s="217" t="s">
        <v>222</v>
      </c>
      <c r="B59" s="219"/>
      <c r="C59" s="246">
        <f>H81/12</f>
        <v>4</v>
      </c>
      <c r="D59" s="146">
        <v>1.5</v>
      </c>
      <c r="F59" s="219">
        <f t="shared" si="29"/>
        <v>0</v>
      </c>
      <c r="G59" s="146">
        <v>52</v>
      </c>
      <c r="H59" s="153"/>
      <c r="I59" s="220">
        <v>27.48</v>
      </c>
      <c r="J59" s="150">
        <f t="shared" si="38"/>
        <v>109.92</v>
      </c>
      <c r="K59" s="150">
        <f t="shared" si="39"/>
        <v>1319.04</v>
      </c>
      <c r="L59" s="195">
        <f t="shared" si="40"/>
        <v>217.5</v>
      </c>
      <c r="M59" s="147">
        <f t="shared" si="41"/>
        <v>208.30924802042486</v>
      </c>
      <c r="N59" s="221">
        <f t="shared" si="42"/>
        <v>5.22</v>
      </c>
      <c r="O59" s="196">
        <f t="shared" si="43"/>
        <v>4.9994219524901968</v>
      </c>
      <c r="P59" s="222"/>
      <c r="Q59" s="173">
        <f t="shared" si="44"/>
        <v>0.64888330758362234</v>
      </c>
      <c r="R59" s="197"/>
      <c r="S59" s="197">
        <f t="shared" si="33"/>
        <v>1.4340321097598054E-2</v>
      </c>
      <c r="T59" s="198">
        <f t="shared" si="34"/>
        <v>0.66322362868122042</v>
      </c>
      <c r="V59" s="197">
        <f t="shared" si="35"/>
        <v>28.14322362868122</v>
      </c>
      <c r="W59" s="199">
        <f t="shared" si="45"/>
        <v>112.57289451472488</v>
      </c>
      <c r="X59" s="199">
        <f t="shared" si="46"/>
        <v>2.6528945147248777</v>
      </c>
      <c r="Y59" s="200">
        <f t="shared" si="47"/>
        <v>31.834734176698532</v>
      </c>
      <c r="AA59" s="201">
        <f t="shared" si="48"/>
        <v>31.146398764013874</v>
      </c>
      <c r="AB59" s="202">
        <f t="shared" si="49"/>
        <v>2.413477542508069E-2</v>
      </c>
    </row>
    <row r="60" spans="1:28">
      <c r="A60" s="217" t="s">
        <v>298</v>
      </c>
      <c r="B60" s="219"/>
      <c r="C60" s="246">
        <f>H82/12</f>
        <v>0</v>
      </c>
      <c r="D60" s="146">
        <v>1.5</v>
      </c>
      <c r="F60" s="219">
        <f t="shared" si="29"/>
        <v>0</v>
      </c>
      <c r="G60" s="146">
        <v>52</v>
      </c>
      <c r="H60" s="153"/>
      <c r="I60" s="220">
        <v>28.91</v>
      </c>
      <c r="J60" s="150">
        <f t="shared" si="38"/>
        <v>0</v>
      </c>
      <c r="K60" s="150">
        <f t="shared" si="39"/>
        <v>0</v>
      </c>
      <c r="L60" s="195">
        <f t="shared" si="40"/>
        <v>217.5</v>
      </c>
      <c r="M60" s="147">
        <f t="shared" si="41"/>
        <v>208.30924802042486</v>
      </c>
      <c r="N60" s="221">
        <f t="shared" si="42"/>
        <v>0</v>
      </c>
      <c r="O60" s="196">
        <f t="shared" si="43"/>
        <v>0</v>
      </c>
      <c r="P60" s="222"/>
      <c r="Q60" s="173">
        <f t="shared" si="44"/>
        <v>0.64888330758362234</v>
      </c>
      <c r="R60" s="197"/>
      <c r="S60" s="197">
        <f t="shared" si="33"/>
        <v>1.4340321097598054E-2</v>
      </c>
      <c r="T60" s="198">
        <f t="shared" si="34"/>
        <v>0.66322362868122042</v>
      </c>
      <c r="V60" s="197">
        <f t="shared" si="35"/>
        <v>29.57322362868122</v>
      </c>
      <c r="W60" s="199">
        <f t="shared" si="45"/>
        <v>0</v>
      </c>
      <c r="X60" s="199">
        <f t="shared" si="46"/>
        <v>0</v>
      </c>
      <c r="Y60" s="200">
        <f t="shared" si="47"/>
        <v>0</v>
      </c>
      <c r="AA60" s="201">
        <f t="shared" si="48"/>
        <v>0</v>
      </c>
      <c r="AB60" s="202">
        <f t="shared" si="49"/>
        <v>2.2940976433110327E-2</v>
      </c>
    </row>
    <row r="61" spans="1:28">
      <c r="A61" s="217" t="s">
        <v>305</v>
      </c>
      <c r="B61" s="219"/>
      <c r="C61" s="246">
        <f>H83/12</f>
        <v>0</v>
      </c>
      <c r="D61" s="146">
        <v>1.5</v>
      </c>
      <c r="F61" s="219">
        <f t="shared" si="29"/>
        <v>0</v>
      </c>
      <c r="G61" s="146">
        <v>52</v>
      </c>
      <c r="H61" s="153"/>
      <c r="I61" s="220">
        <v>28.91</v>
      </c>
      <c r="J61" s="150">
        <f t="shared" si="38"/>
        <v>0</v>
      </c>
      <c r="K61" s="150">
        <f t="shared" si="39"/>
        <v>0</v>
      </c>
      <c r="L61" s="195">
        <f t="shared" si="40"/>
        <v>217.5</v>
      </c>
      <c r="M61" s="147">
        <f t="shared" si="41"/>
        <v>208.30924802042486</v>
      </c>
      <c r="N61" s="221">
        <f t="shared" si="42"/>
        <v>0</v>
      </c>
      <c r="O61" s="196">
        <f t="shared" si="43"/>
        <v>0</v>
      </c>
      <c r="P61" s="222"/>
      <c r="Q61" s="173">
        <f t="shared" si="44"/>
        <v>0.64888330758362234</v>
      </c>
      <c r="R61" s="197"/>
      <c r="S61" s="197">
        <f t="shared" si="33"/>
        <v>1.4340321097598054E-2</v>
      </c>
      <c r="T61" s="198">
        <f t="shared" si="34"/>
        <v>0.66322362868122042</v>
      </c>
      <c r="V61" s="197">
        <f t="shared" si="35"/>
        <v>29.57322362868122</v>
      </c>
      <c r="W61" s="199">
        <f t="shared" si="45"/>
        <v>0</v>
      </c>
      <c r="X61" s="199">
        <f t="shared" si="46"/>
        <v>0</v>
      </c>
      <c r="Y61" s="200">
        <f t="shared" si="47"/>
        <v>0</v>
      </c>
      <c r="AA61" s="201">
        <f t="shared" si="48"/>
        <v>0</v>
      </c>
      <c r="AB61" s="202">
        <f t="shared" si="49"/>
        <v>2.2940976433110327E-2</v>
      </c>
    </row>
    <row r="62" spans="1:28">
      <c r="A62" s="217" t="s">
        <v>263</v>
      </c>
      <c r="B62" s="219"/>
      <c r="C62" s="246">
        <f>H84/12</f>
        <v>0</v>
      </c>
      <c r="D62" s="146">
        <f>2*3.5</f>
        <v>7</v>
      </c>
      <c r="F62" s="219">
        <f t="shared" si="29"/>
        <v>0</v>
      </c>
      <c r="G62" s="146">
        <v>52</v>
      </c>
      <c r="H62" s="153"/>
      <c r="I62" s="220">
        <v>161.31</v>
      </c>
      <c r="J62" s="150">
        <f t="shared" si="38"/>
        <v>0</v>
      </c>
      <c r="K62" s="150">
        <f t="shared" si="39"/>
        <v>0</v>
      </c>
      <c r="L62" s="195">
        <f t="shared" si="40"/>
        <v>1015</v>
      </c>
      <c r="M62" s="147">
        <f t="shared" si="41"/>
        <v>972.10982409531607</v>
      </c>
      <c r="N62" s="221">
        <f t="shared" si="42"/>
        <v>0</v>
      </c>
      <c r="O62" s="196">
        <f t="shared" si="43"/>
        <v>0</v>
      </c>
      <c r="P62" s="222"/>
      <c r="Q62" s="173">
        <f t="shared" si="44"/>
        <v>3.0281221020569045</v>
      </c>
      <c r="R62" s="197"/>
      <c r="S62" s="197">
        <f t="shared" si="33"/>
        <v>6.6921498455457598E-2</v>
      </c>
      <c r="T62" s="198">
        <f t="shared" si="34"/>
        <v>3.095043600512362</v>
      </c>
      <c r="V62" s="197">
        <f t="shared" si="35"/>
        <v>164.40504360051236</v>
      </c>
      <c r="W62" s="199">
        <f t="shared" si="45"/>
        <v>0</v>
      </c>
      <c r="X62" s="199">
        <f t="shared" si="46"/>
        <v>0</v>
      </c>
      <c r="Y62" s="200">
        <f t="shared" si="47"/>
        <v>0</v>
      </c>
      <c r="AA62" s="201">
        <f t="shared" si="48"/>
        <v>0</v>
      </c>
      <c r="AB62" s="202">
        <f t="shared" si="49"/>
        <v>1.9186929517775342E-2</v>
      </c>
    </row>
    <row r="63" spans="1:28">
      <c r="A63" s="217" t="s">
        <v>323</v>
      </c>
      <c r="B63" s="219"/>
      <c r="C63" s="246">
        <f>H63/12</f>
        <v>0</v>
      </c>
      <c r="D63" s="146">
        <f>2*3.5</f>
        <v>7</v>
      </c>
      <c r="F63" s="219">
        <f t="shared" si="29"/>
        <v>0</v>
      </c>
      <c r="G63" s="146">
        <v>52</v>
      </c>
      <c r="H63" s="153"/>
      <c r="I63" s="220">
        <v>161.31</v>
      </c>
      <c r="J63" s="150">
        <f t="shared" si="38"/>
        <v>0</v>
      </c>
      <c r="K63" s="150">
        <f t="shared" si="39"/>
        <v>0</v>
      </c>
      <c r="L63" s="195">
        <f t="shared" si="40"/>
        <v>1015</v>
      </c>
      <c r="M63" s="147">
        <f t="shared" si="41"/>
        <v>972.10982409531607</v>
      </c>
      <c r="N63" s="221">
        <f t="shared" si="42"/>
        <v>0</v>
      </c>
      <c r="O63" s="196">
        <f t="shared" si="43"/>
        <v>0</v>
      </c>
      <c r="P63" s="222"/>
      <c r="Q63" s="173">
        <f t="shared" si="44"/>
        <v>3.0281221020569045</v>
      </c>
      <c r="R63" s="197"/>
      <c r="S63" s="197">
        <f t="shared" si="33"/>
        <v>6.6921498455457598E-2</v>
      </c>
      <c r="T63" s="198">
        <f t="shared" si="34"/>
        <v>3.095043600512362</v>
      </c>
      <c r="V63" s="197">
        <f t="shared" si="35"/>
        <v>164.40504360051236</v>
      </c>
      <c r="W63" s="199">
        <f t="shared" si="45"/>
        <v>0</v>
      </c>
      <c r="X63" s="199">
        <f t="shared" si="46"/>
        <v>0</v>
      </c>
      <c r="Y63" s="200">
        <f t="shared" si="47"/>
        <v>0</v>
      </c>
      <c r="AA63" s="201">
        <f t="shared" si="48"/>
        <v>0</v>
      </c>
      <c r="AB63" s="202">
        <f t="shared" si="49"/>
        <v>1.9186929517775342E-2</v>
      </c>
    </row>
    <row r="64" spans="1:28">
      <c r="A64" s="217" t="s">
        <v>223</v>
      </c>
      <c r="B64" s="219"/>
      <c r="C64" s="246">
        <f>H86/12</f>
        <v>0</v>
      </c>
      <c r="D64" s="146">
        <v>10</v>
      </c>
      <c r="F64" s="219">
        <f t="shared" si="29"/>
        <v>0</v>
      </c>
      <c r="G64" s="146">
        <v>52</v>
      </c>
      <c r="H64" s="153"/>
      <c r="I64" s="220">
        <v>191.25</v>
      </c>
      <c r="J64" s="150">
        <f t="shared" si="38"/>
        <v>0</v>
      </c>
      <c r="K64" s="150">
        <f t="shared" si="39"/>
        <v>0</v>
      </c>
      <c r="L64" s="195">
        <f t="shared" si="40"/>
        <v>1450</v>
      </c>
      <c r="M64" s="147">
        <f t="shared" si="41"/>
        <v>1388.7283201361658</v>
      </c>
      <c r="N64" s="221">
        <f t="shared" si="42"/>
        <v>0</v>
      </c>
      <c r="O64" s="196">
        <f t="shared" si="43"/>
        <v>0</v>
      </c>
      <c r="P64" s="222"/>
      <c r="Q64" s="173">
        <f t="shared" si="44"/>
        <v>4.3258887172241494</v>
      </c>
      <c r="R64" s="197"/>
      <c r="S64" s="197">
        <f t="shared" si="33"/>
        <v>9.5602140650653714E-2</v>
      </c>
      <c r="T64" s="198">
        <f t="shared" si="34"/>
        <v>4.4214908578748027</v>
      </c>
      <c r="V64" s="197">
        <f t="shared" si="35"/>
        <v>195.6714908578748</v>
      </c>
      <c r="W64" s="199">
        <f t="shared" si="45"/>
        <v>0</v>
      </c>
      <c r="X64" s="199">
        <f t="shared" si="46"/>
        <v>0</v>
      </c>
      <c r="Y64" s="200">
        <f t="shared" si="47"/>
        <v>0</v>
      </c>
      <c r="AA64" s="201">
        <f t="shared" si="48"/>
        <v>0</v>
      </c>
      <c r="AB64" s="202">
        <f t="shared" si="49"/>
        <v>2.3118906446404131E-2</v>
      </c>
    </row>
    <row r="65" spans="1:28">
      <c r="A65" s="217" t="s">
        <v>335</v>
      </c>
      <c r="B65" s="219"/>
      <c r="C65" s="246">
        <f>H87/12</f>
        <v>0</v>
      </c>
      <c r="D65" s="146">
        <v>10</v>
      </c>
      <c r="F65" s="219">
        <f t="shared" si="29"/>
        <v>0</v>
      </c>
      <c r="G65" s="146">
        <v>52</v>
      </c>
      <c r="H65" s="153"/>
      <c r="I65" s="220">
        <v>191.25</v>
      </c>
      <c r="J65" s="150">
        <f t="shared" si="38"/>
        <v>0</v>
      </c>
      <c r="K65" s="150">
        <f t="shared" si="39"/>
        <v>0</v>
      </c>
      <c r="L65" s="195">
        <f t="shared" si="40"/>
        <v>1450</v>
      </c>
      <c r="M65" s="147">
        <f t="shared" si="41"/>
        <v>1388.7283201361658</v>
      </c>
      <c r="N65" s="221">
        <f t="shared" si="42"/>
        <v>0</v>
      </c>
      <c r="O65" s="196">
        <f t="shared" si="43"/>
        <v>0</v>
      </c>
      <c r="P65" s="222"/>
      <c r="Q65" s="173">
        <f t="shared" si="44"/>
        <v>4.3258887172241494</v>
      </c>
      <c r="R65" s="197"/>
      <c r="S65" s="197">
        <f t="shared" si="33"/>
        <v>9.5602140650653714E-2</v>
      </c>
      <c r="T65" s="198">
        <f t="shared" si="34"/>
        <v>4.4214908578748027</v>
      </c>
      <c r="V65" s="197">
        <f t="shared" si="35"/>
        <v>195.6714908578748</v>
      </c>
      <c r="W65" s="199">
        <f t="shared" si="45"/>
        <v>0</v>
      </c>
      <c r="X65" s="199">
        <f t="shared" si="46"/>
        <v>0</v>
      </c>
      <c r="Y65" s="200">
        <f t="shared" si="47"/>
        <v>0</v>
      </c>
      <c r="AA65" s="201">
        <f t="shared" si="48"/>
        <v>0</v>
      </c>
      <c r="AB65" s="202">
        <f t="shared" si="49"/>
        <v>2.3118906446404131E-2</v>
      </c>
    </row>
    <row r="66" spans="1:28">
      <c r="A66" s="217" t="s">
        <v>129</v>
      </c>
      <c r="B66" s="219"/>
      <c r="C66" s="246">
        <f>H88/12</f>
        <v>265.41666666666669</v>
      </c>
      <c r="D66" s="146">
        <v>2</v>
      </c>
      <c r="F66" s="219">
        <f t="shared" si="29"/>
        <v>0</v>
      </c>
      <c r="G66" s="146">
        <v>52</v>
      </c>
      <c r="H66" s="153"/>
      <c r="I66" s="220">
        <v>41.58</v>
      </c>
      <c r="J66" s="150">
        <f t="shared" si="38"/>
        <v>11036.025</v>
      </c>
      <c r="K66" s="150">
        <f t="shared" si="39"/>
        <v>132432.29999999999</v>
      </c>
      <c r="L66" s="195">
        <f t="shared" si="40"/>
        <v>290</v>
      </c>
      <c r="M66" s="147">
        <f t="shared" si="41"/>
        <v>277.74566402723315</v>
      </c>
      <c r="N66" s="221">
        <f t="shared" si="42"/>
        <v>461.83</v>
      </c>
      <c r="O66" s="196">
        <f t="shared" si="43"/>
        <v>442.31475868171407</v>
      </c>
      <c r="P66" s="222"/>
      <c r="Q66" s="173">
        <f t="shared" si="44"/>
        <v>0.86517774344482989</v>
      </c>
      <c r="R66" s="197"/>
      <c r="S66" s="197">
        <f t="shared" si="33"/>
        <v>1.9120428130130741E-2</v>
      </c>
      <c r="T66" s="198">
        <f t="shared" si="34"/>
        <v>0.8842981715749606</v>
      </c>
      <c r="V66" s="197">
        <f t="shared" si="35"/>
        <v>42.46429817157496</v>
      </c>
      <c r="W66" s="199">
        <f t="shared" si="45"/>
        <v>11270.732473038855</v>
      </c>
      <c r="X66" s="199">
        <f t="shared" si="46"/>
        <v>234.70747303885582</v>
      </c>
      <c r="Y66" s="200">
        <f t="shared" si="47"/>
        <v>2816.4896764662699</v>
      </c>
      <c r="AA66" s="201">
        <f t="shared" si="48"/>
        <v>2755.6209465870743</v>
      </c>
      <c r="AB66" s="202">
        <f t="shared" si="49"/>
        <v>2.126739229377006E-2</v>
      </c>
    </row>
    <row r="67" spans="1:28">
      <c r="A67" s="217" t="s">
        <v>130</v>
      </c>
      <c r="B67" s="219">
        <f t="shared" si="37"/>
        <v>83.564280215550411</v>
      </c>
      <c r="C67" s="246">
        <f>H67/12</f>
        <v>361.83333333333331</v>
      </c>
      <c r="D67" s="146">
        <v>2</v>
      </c>
      <c r="F67" s="219">
        <f t="shared" si="29"/>
        <v>83.564280215550411</v>
      </c>
      <c r="G67" s="146">
        <v>52</v>
      </c>
      <c r="H67" s="152">
        <v>4342</v>
      </c>
      <c r="I67" s="220">
        <v>38.130000000000003</v>
      </c>
      <c r="J67" s="150">
        <f t="shared" si="38"/>
        <v>13796.705</v>
      </c>
      <c r="K67" s="150">
        <f t="shared" si="39"/>
        <v>165560.46</v>
      </c>
      <c r="L67" s="195">
        <f t="shared" si="40"/>
        <v>290</v>
      </c>
      <c r="M67" s="147">
        <f t="shared" si="41"/>
        <v>277.74566402723315</v>
      </c>
      <c r="N67" s="221">
        <f t="shared" si="42"/>
        <v>629.59</v>
      </c>
      <c r="O67" s="196">
        <f t="shared" si="43"/>
        <v>602.98583660312318</v>
      </c>
      <c r="P67" s="222"/>
      <c r="Q67" s="173">
        <f t="shared" si="44"/>
        <v>0.86517774344482989</v>
      </c>
      <c r="R67" s="197"/>
      <c r="S67" s="197">
        <f t="shared" si="33"/>
        <v>1.9120428130130741E-2</v>
      </c>
      <c r="T67" s="198">
        <f t="shared" si="34"/>
        <v>0.8842981715749606</v>
      </c>
      <c r="V67" s="197">
        <f t="shared" si="35"/>
        <v>39.014298171574964</v>
      </c>
      <c r="W67" s="199">
        <f t="shared" si="45"/>
        <v>14116.673555081541</v>
      </c>
      <c r="X67" s="199">
        <f t="shared" si="46"/>
        <v>319.96855508154113</v>
      </c>
      <c r="Y67" s="200">
        <f t="shared" si="47"/>
        <v>3839.6226609784935</v>
      </c>
      <c r="AA67" s="201">
        <f t="shared" si="48"/>
        <v>3756.6017620374514</v>
      </c>
      <c r="AB67" s="202">
        <f t="shared" si="49"/>
        <v>2.3191664609886198E-2</v>
      </c>
    </row>
    <row r="68" spans="1:28">
      <c r="A68" s="217" t="s">
        <v>131</v>
      </c>
      <c r="B68" s="219"/>
      <c r="C68" s="246">
        <f>H90/12</f>
        <v>0</v>
      </c>
      <c r="D68" s="146">
        <v>2</v>
      </c>
      <c r="F68" s="219">
        <f t="shared" si="29"/>
        <v>0</v>
      </c>
      <c r="G68" s="146">
        <v>52</v>
      </c>
      <c r="H68" s="153">
        <f>C68*D71</f>
        <v>0</v>
      </c>
      <c r="I68" s="220">
        <v>38.130000000000003</v>
      </c>
      <c r="J68" s="150">
        <f t="shared" si="38"/>
        <v>0</v>
      </c>
      <c r="K68" s="150">
        <f t="shared" si="39"/>
        <v>0</v>
      </c>
      <c r="L68" s="195">
        <f t="shared" si="40"/>
        <v>290</v>
      </c>
      <c r="M68" s="147">
        <f t="shared" si="41"/>
        <v>277.74566402723315</v>
      </c>
      <c r="N68" s="221">
        <f t="shared" si="42"/>
        <v>0</v>
      </c>
      <c r="O68" s="196">
        <f t="shared" si="43"/>
        <v>0</v>
      </c>
      <c r="P68" s="222"/>
      <c r="Q68" s="173">
        <f t="shared" si="44"/>
        <v>0.86517774344482989</v>
      </c>
      <c r="R68" s="197"/>
      <c r="S68" s="197">
        <f t="shared" si="33"/>
        <v>1.9120428130130741E-2</v>
      </c>
      <c r="T68" s="198">
        <f t="shared" si="34"/>
        <v>0.8842981715749606</v>
      </c>
      <c r="V68" s="197">
        <f t="shared" si="35"/>
        <v>39.014298171574964</v>
      </c>
      <c r="W68" s="199">
        <f t="shared" si="45"/>
        <v>0</v>
      </c>
      <c r="X68" s="199">
        <f t="shared" si="46"/>
        <v>0</v>
      </c>
      <c r="Y68" s="200">
        <f t="shared" si="47"/>
        <v>0</v>
      </c>
      <c r="AA68" s="201">
        <f t="shared" si="48"/>
        <v>0</v>
      </c>
      <c r="AB68" s="202">
        <f t="shared" si="49"/>
        <v>2.3191664609886198E-2</v>
      </c>
    </row>
    <row r="69" spans="1:28">
      <c r="A69" s="217" t="s">
        <v>224</v>
      </c>
      <c r="B69" s="219"/>
      <c r="C69" s="246">
        <f>H91/12</f>
        <v>0</v>
      </c>
      <c r="D69" s="146">
        <v>2</v>
      </c>
      <c r="F69" s="219">
        <f t="shared" si="29"/>
        <v>0</v>
      </c>
      <c r="G69" s="146">
        <v>52</v>
      </c>
      <c r="H69" s="153">
        <f>C69*D72</f>
        <v>0</v>
      </c>
      <c r="I69" s="220">
        <v>38.130000000000003</v>
      </c>
      <c r="J69" s="150">
        <f t="shared" si="38"/>
        <v>0</v>
      </c>
      <c r="K69" s="150">
        <f t="shared" si="39"/>
        <v>0</v>
      </c>
      <c r="L69" s="195">
        <f t="shared" si="40"/>
        <v>290</v>
      </c>
      <c r="M69" s="147">
        <f t="shared" si="41"/>
        <v>277.74566402723315</v>
      </c>
      <c r="N69" s="221">
        <f t="shared" si="42"/>
        <v>0</v>
      </c>
      <c r="O69" s="196">
        <f t="shared" si="43"/>
        <v>0</v>
      </c>
      <c r="P69" s="222"/>
      <c r="Q69" s="173">
        <f t="shared" si="44"/>
        <v>0.86517774344482989</v>
      </c>
      <c r="R69" s="197"/>
      <c r="S69" s="197">
        <f t="shared" si="33"/>
        <v>1.9120428130130741E-2</v>
      </c>
      <c r="T69" s="198">
        <f t="shared" si="34"/>
        <v>0.8842981715749606</v>
      </c>
      <c r="V69" s="197">
        <f t="shared" si="35"/>
        <v>39.014298171574964</v>
      </c>
      <c r="W69" s="199">
        <f t="shared" si="45"/>
        <v>0</v>
      </c>
      <c r="X69" s="199">
        <f t="shared" si="46"/>
        <v>0</v>
      </c>
      <c r="Y69" s="200">
        <f t="shared" si="47"/>
        <v>0</v>
      </c>
      <c r="AA69" s="201">
        <f t="shared" si="48"/>
        <v>0</v>
      </c>
      <c r="AB69" s="202">
        <f t="shared" si="49"/>
        <v>2.3191664609886198E-2</v>
      </c>
    </row>
    <row r="70" spans="1:28">
      <c r="A70" s="217" t="s">
        <v>225</v>
      </c>
      <c r="B70" s="219"/>
      <c r="C70" s="246">
        <f>H92/12</f>
        <v>0</v>
      </c>
      <c r="D70" s="146">
        <v>2</v>
      </c>
      <c r="F70" s="219">
        <f t="shared" si="29"/>
        <v>0</v>
      </c>
      <c r="G70" s="146">
        <v>52</v>
      </c>
      <c r="H70" s="153">
        <f>C70*D73</f>
        <v>0</v>
      </c>
      <c r="I70" s="220">
        <v>38.130000000000003</v>
      </c>
      <c r="J70" s="150">
        <f t="shared" si="38"/>
        <v>0</v>
      </c>
      <c r="K70" s="150">
        <f t="shared" si="39"/>
        <v>0</v>
      </c>
      <c r="L70" s="195">
        <f t="shared" si="40"/>
        <v>290</v>
      </c>
      <c r="M70" s="147">
        <f t="shared" si="41"/>
        <v>277.74566402723315</v>
      </c>
      <c r="N70" s="221">
        <f t="shared" si="42"/>
        <v>0</v>
      </c>
      <c r="O70" s="196">
        <f t="shared" si="43"/>
        <v>0</v>
      </c>
      <c r="P70" s="222"/>
      <c r="Q70" s="173">
        <f t="shared" si="44"/>
        <v>0.86517774344482989</v>
      </c>
      <c r="R70" s="197"/>
      <c r="S70" s="197">
        <f t="shared" si="33"/>
        <v>1.9120428130130741E-2</v>
      </c>
      <c r="T70" s="198">
        <f t="shared" si="34"/>
        <v>0.8842981715749606</v>
      </c>
      <c r="V70" s="197">
        <f t="shared" si="35"/>
        <v>39.014298171574964</v>
      </c>
      <c r="W70" s="199">
        <f t="shared" si="45"/>
        <v>0</v>
      </c>
      <c r="X70" s="199">
        <f t="shared" si="46"/>
        <v>0</v>
      </c>
      <c r="Y70" s="200">
        <f t="shared" si="47"/>
        <v>0</v>
      </c>
      <c r="AA70" s="201">
        <f t="shared" si="48"/>
        <v>0</v>
      </c>
      <c r="AB70" s="202">
        <f t="shared" si="49"/>
        <v>2.3191664609886198E-2</v>
      </c>
    </row>
    <row r="71" spans="1:28">
      <c r="A71" s="217" t="s">
        <v>299</v>
      </c>
      <c r="B71" s="219">
        <f t="shared" si="37"/>
        <v>0.92378752886836024</v>
      </c>
      <c r="C71" s="246">
        <f>H71/12</f>
        <v>4</v>
      </c>
      <c r="D71" s="146">
        <f>3*3.5</f>
        <v>10.5</v>
      </c>
      <c r="F71" s="219">
        <f t="shared" si="29"/>
        <v>0.92378752886836024</v>
      </c>
      <c r="G71" s="146">
        <v>52</v>
      </c>
      <c r="H71" s="152">
        <v>48</v>
      </c>
      <c r="I71" s="220">
        <v>41.58</v>
      </c>
      <c r="J71" s="150">
        <f t="shared" si="38"/>
        <v>166.32</v>
      </c>
      <c r="K71" s="150">
        <f t="shared" si="39"/>
        <v>1995.84</v>
      </c>
      <c r="L71" s="195">
        <f t="shared" si="40"/>
        <v>1522.5</v>
      </c>
      <c r="M71" s="147">
        <f t="shared" si="41"/>
        <v>1458.1647361429741</v>
      </c>
      <c r="N71" s="221">
        <f t="shared" si="42"/>
        <v>36.54</v>
      </c>
      <c r="O71" s="196">
        <f t="shared" si="43"/>
        <v>34.995953667431372</v>
      </c>
      <c r="P71" s="222"/>
      <c r="Q71" s="173">
        <f t="shared" si="44"/>
        <v>4.5421831530853574</v>
      </c>
      <c r="R71" s="197"/>
      <c r="S71" s="197">
        <f t="shared" si="33"/>
        <v>0.1003822476831864</v>
      </c>
      <c r="T71" s="198">
        <f t="shared" si="34"/>
        <v>4.642565400768544</v>
      </c>
      <c r="V71" s="197">
        <f t="shared" si="35"/>
        <v>46.222565400768545</v>
      </c>
      <c r="W71" s="199">
        <f t="shared" si="45"/>
        <v>184.89026160307418</v>
      </c>
      <c r="X71" s="199">
        <f t="shared" si="46"/>
        <v>18.570261603074186</v>
      </c>
      <c r="Y71" s="200">
        <f t="shared" si="47"/>
        <v>222.84313923689024</v>
      </c>
      <c r="AA71" s="201">
        <f t="shared" si="48"/>
        <v>218.0247913480971</v>
      </c>
      <c r="AB71" s="202">
        <f t="shared" si="49"/>
        <v>0.1116538095422932</v>
      </c>
    </row>
    <row r="72" spans="1:28">
      <c r="A72" s="217" t="s">
        <v>307</v>
      </c>
      <c r="B72" s="219"/>
      <c r="C72" s="246">
        <f>H94/12</f>
        <v>0</v>
      </c>
      <c r="D72" s="146">
        <f>3*5</f>
        <v>15</v>
      </c>
      <c r="F72" s="219">
        <f t="shared" si="29"/>
        <v>0</v>
      </c>
      <c r="G72" s="146">
        <v>52</v>
      </c>
      <c r="H72" s="153"/>
      <c r="I72" s="220">
        <v>41.58</v>
      </c>
      <c r="J72" s="150">
        <f t="shared" si="38"/>
        <v>0</v>
      </c>
      <c r="K72" s="150">
        <f t="shared" si="39"/>
        <v>0</v>
      </c>
      <c r="L72" s="195">
        <f t="shared" si="40"/>
        <v>2175</v>
      </c>
      <c r="M72" s="147">
        <f t="shared" si="41"/>
        <v>2083.0924802042487</v>
      </c>
      <c r="N72" s="221">
        <f t="shared" si="42"/>
        <v>0</v>
      </c>
      <c r="O72" s="196">
        <f t="shared" si="43"/>
        <v>0</v>
      </c>
      <c r="P72" s="222"/>
      <c r="Q72" s="173">
        <f t="shared" si="44"/>
        <v>6.488833075836224</v>
      </c>
      <c r="R72" s="197"/>
      <c r="S72" s="197">
        <f t="shared" si="33"/>
        <v>0.14340321097598055</v>
      </c>
      <c r="T72" s="198">
        <f t="shared" si="34"/>
        <v>6.6322362868122049</v>
      </c>
      <c r="V72" s="197">
        <f t="shared" si="35"/>
        <v>48.2122362868122</v>
      </c>
      <c r="W72" s="199">
        <f t="shared" si="45"/>
        <v>0</v>
      </c>
      <c r="X72" s="199">
        <f t="shared" si="46"/>
        <v>0</v>
      </c>
      <c r="Y72" s="200">
        <f t="shared" si="47"/>
        <v>0</v>
      </c>
      <c r="AA72" s="201">
        <f t="shared" si="48"/>
        <v>0</v>
      </c>
      <c r="AB72" s="202">
        <f t="shared" si="49"/>
        <v>0.15950544220327556</v>
      </c>
    </row>
    <row r="73" spans="1:28">
      <c r="A73" s="217" t="s">
        <v>226</v>
      </c>
      <c r="B73" s="219"/>
      <c r="C73" s="246">
        <f>H95/12</f>
        <v>0</v>
      </c>
      <c r="D73" s="146">
        <f>3*3.5</f>
        <v>10.5</v>
      </c>
      <c r="F73" s="219">
        <f t="shared" si="29"/>
        <v>0</v>
      </c>
      <c r="G73" s="146">
        <v>52</v>
      </c>
      <c r="H73" s="153"/>
      <c r="I73" s="220">
        <v>198.05</v>
      </c>
      <c r="J73" s="150">
        <f t="shared" si="38"/>
        <v>0</v>
      </c>
      <c r="K73" s="150">
        <f t="shared" si="39"/>
        <v>0</v>
      </c>
      <c r="L73" s="195">
        <f t="shared" si="40"/>
        <v>1522.5</v>
      </c>
      <c r="M73" s="147">
        <f t="shared" si="41"/>
        <v>1458.1647361429741</v>
      </c>
      <c r="N73" s="221">
        <f t="shared" si="42"/>
        <v>0</v>
      </c>
      <c r="O73" s="196">
        <f t="shared" si="43"/>
        <v>0</v>
      </c>
      <c r="P73" s="222"/>
      <c r="Q73" s="173">
        <f t="shared" si="44"/>
        <v>4.5421831530853574</v>
      </c>
      <c r="R73" s="197"/>
      <c r="S73" s="197">
        <f t="shared" si="33"/>
        <v>0.1003822476831864</v>
      </c>
      <c r="T73" s="198">
        <f t="shared" si="34"/>
        <v>4.642565400768544</v>
      </c>
      <c r="V73" s="197">
        <f t="shared" si="35"/>
        <v>202.69256540076856</v>
      </c>
      <c r="W73" s="199">
        <f t="shared" si="45"/>
        <v>0</v>
      </c>
      <c r="X73" s="199">
        <f t="shared" si="46"/>
        <v>0</v>
      </c>
      <c r="Y73" s="200">
        <f t="shared" si="47"/>
        <v>0</v>
      </c>
      <c r="AA73" s="201">
        <f t="shared" si="48"/>
        <v>0</v>
      </c>
      <c r="AB73" s="202">
        <f t="shared" si="49"/>
        <v>2.3441380463360417E-2</v>
      </c>
    </row>
    <row r="74" spans="1:28">
      <c r="A74" s="217" t="s">
        <v>324</v>
      </c>
      <c r="B74" s="219"/>
      <c r="C74" s="246">
        <f>H96/12</f>
        <v>0</v>
      </c>
      <c r="D74" s="146">
        <f>3*3.5</f>
        <v>10.5</v>
      </c>
      <c r="F74" s="219">
        <f t="shared" si="29"/>
        <v>0</v>
      </c>
      <c r="G74" s="146">
        <v>52</v>
      </c>
      <c r="H74" s="153">
        <f>C74*D77</f>
        <v>0</v>
      </c>
      <c r="I74" s="220">
        <v>198.05</v>
      </c>
      <c r="J74" s="150">
        <f t="shared" si="38"/>
        <v>0</v>
      </c>
      <c r="K74" s="150">
        <f t="shared" si="39"/>
        <v>0</v>
      </c>
      <c r="L74" s="195">
        <f t="shared" si="40"/>
        <v>1522.5</v>
      </c>
      <c r="M74" s="147">
        <f t="shared" si="41"/>
        <v>1458.1647361429741</v>
      </c>
      <c r="N74" s="221">
        <f t="shared" si="42"/>
        <v>0</v>
      </c>
      <c r="O74" s="196">
        <f t="shared" si="43"/>
        <v>0</v>
      </c>
      <c r="P74" s="222"/>
      <c r="Q74" s="173">
        <f t="shared" si="44"/>
        <v>4.5421831530853574</v>
      </c>
      <c r="R74" s="197"/>
      <c r="S74" s="197">
        <f t="shared" ref="S74:S105" si="52">Q74*$U$12</f>
        <v>0.1003822476831864</v>
      </c>
      <c r="T74" s="198">
        <f t="shared" ref="T74:T105" si="53">+Q74+S74</f>
        <v>4.642565400768544</v>
      </c>
      <c r="V74" s="197">
        <f t="shared" ref="V74:V105" si="54">I74+T74</f>
        <v>202.69256540076856</v>
      </c>
      <c r="W74" s="199">
        <f t="shared" si="45"/>
        <v>0</v>
      </c>
      <c r="X74" s="199">
        <f t="shared" si="46"/>
        <v>0</v>
      </c>
      <c r="Y74" s="200">
        <f t="shared" si="47"/>
        <v>0</v>
      </c>
      <c r="AA74" s="201">
        <f t="shared" si="48"/>
        <v>0</v>
      </c>
      <c r="AB74" s="202">
        <f t="shared" si="49"/>
        <v>2.3441380463360417E-2</v>
      </c>
    </row>
    <row r="75" spans="1:28">
      <c r="A75" s="217" t="s">
        <v>227</v>
      </c>
      <c r="B75" s="219"/>
      <c r="C75" s="246">
        <f>H97/12</f>
        <v>0</v>
      </c>
      <c r="D75" s="146">
        <f>3*5</f>
        <v>15</v>
      </c>
      <c r="F75" s="219">
        <f t="shared" si="29"/>
        <v>0</v>
      </c>
      <c r="G75" s="146">
        <v>52</v>
      </c>
      <c r="H75" s="153">
        <f>C75*D78</f>
        <v>0</v>
      </c>
      <c r="I75" s="220">
        <v>239.76</v>
      </c>
      <c r="J75" s="150">
        <f t="shared" si="38"/>
        <v>0</v>
      </c>
      <c r="K75" s="150">
        <f t="shared" si="39"/>
        <v>0</v>
      </c>
      <c r="L75" s="195">
        <f t="shared" si="40"/>
        <v>2175</v>
      </c>
      <c r="M75" s="147">
        <f t="shared" si="41"/>
        <v>2083.0924802042487</v>
      </c>
      <c r="N75" s="221">
        <f t="shared" si="42"/>
        <v>0</v>
      </c>
      <c r="O75" s="196">
        <f t="shared" si="43"/>
        <v>0</v>
      </c>
      <c r="P75" s="222"/>
      <c r="Q75" s="173">
        <f t="shared" si="44"/>
        <v>6.488833075836224</v>
      </c>
      <c r="R75" s="197"/>
      <c r="S75" s="197">
        <f t="shared" si="52"/>
        <v>0.14340321097598055</v>
      </c>
      <c r="T75" s="198">
        <f t="shared" si="53"/>
        <v>6.6322362868122049</v>
      </c>
      <c r="V75" s="197">
        <f t="shared" si="54"/>
        <v>246.39223628681219</v>
      </c>
      <c r="W75" s="199">
        <f t="shared" si="45"/>
        <v>0</v>
      </c>
      <c r="X75" s="199">
        <f t="shared" si="46"/>
        <v>0</v>
      </c>
      <c r="Y75" s="200">
        <f t="shared" si="47"/>
        <v>0</v>
      </c>
      <c r="AA75" s="201">
        <f t="shared" si="48"/>
        <v>0</v>
      </c>
      <c r="AB75" s="202">
        <f t="shared" si="49"/>
        <v>2.7661979841559159E-2</v>
      </c>
    </row>
    <row r="76" spans="1:28">
      <c r="A76" s="217" t="s">
        <v>336</v>
      </c>
      <c r="B76" s="219"/>
      <c r="C76" s="246">
        <f>H98/12</f>
        <v>0</v>
      </c>
      <c r="D76" s="146">
        <f>3*5</f>
        <v>15</v>
      </c>
      <c r="F76" s="219">
        <f t="shared" si="29"/>
        <v>0</v>
      </c>
      <c r="G76" s="146">
        <v>52</v>
      </c>
      <c r="H76" s="153">
        <f>C76*D79</f>
        <v>0</v>
      </c>
      <c r="I76" s="220">
        <v>239.76</v>
      </c>
      <c r="J76" s="150">
        <f t="shared" si="38"/>
        <v>0</v>
      </c>
      <c r="K76" s="150">
        <f t="shared" si="39"/>
        <v>0</v>
      </c>
      <c r="L76" s="195">
        <f t="shared" si="40"/>
        <v>2175</v>
      </c>
      <c r="M76" s="147">
        <f t="shared" si="41"/>
        <v>2083.0924802042487</v>
      </c>
      <c r="N76" s="221">
        <f t="shared" si="42"/>
        <v>0</v>
      </c>
      <c r="O76" s="196">
        <f t="shared" si="43"/>
        <v>0</v>
      </c>
      <c r="P76" s="222"/>
      <c r="Q76" s="173">
        <f t="shared" si="44"/>
        <v>6.488833075836224</v>
      </c>
      <c r="R76" s="197"/>
      <c r="S76" s="197">
        <f t="shared" si="52"/>
        <v>0.14340321097598055</v>
      </c>
      <c r="T76" s="198">
        <f t="shared" si="53"/>
        <v>6.6322362868122049</v>
      </c>
      <c r="V76" s="197">
        <f t="shared" si="54"/>
        <v>246.39223628681219</v>
      </c>
      <c r="W76" s="199">
        <f t="shared" si="45"/>
        <v>0</v>
      </c>
      <c r="X76" s="199">
        <f t="shared" si="46"/>
        <v>0</v>
      </c>
      <c r="Y76" s="200">
        <f t="shared" si="47"/>
        <v>0</v>
      </c>
      <c r="AA76" s="201">
        <f t="shared" si="48"/>
        <v>0</v>
      </c>
      <c r="AB76" s="202">
        <f t="shared" si="49"/>
        <v>2.7661979841559159E-2</v>
      </c>
    </row>
    <row r="77" spans="1:28">
      <c r="A77" s="217" t="s">
        <v>132</v>
      </c>
      <c r="B77" s="219"/>
      <c r="C77" s="246">
        <f t="shared" ref="C77" si="55">H99/12</f>
        <v>0</v>
      </c>
      <c r="D77" s="146">
        <v>3</v>
      </c>
      <c r="F77" s="219">
        <f t="shared" si="29"/>
        <v>0</v>
      </c>
      <c r="G77" s="146">
        <v>52</v>
      </c>
      <c r="H77" s="153">
        <f>C77*D80</f>
        <v>0</v>
      </c>
      <c r="I77" s="220">
        <v>57.52</v>
      </c>
      <c r="J77" s="150">
        <f t="shared" si="38"/>
        <v>0</v>
      </c>
      <c r="K77" s="150">
        <f t="shared" si="39"/>
        <v>0</v>
      </c>
      <c r="L77" s="195">
        <f t="shared" si="40"/>
        <v>435</v>
      </c>
      <c r="M77" s="147">
        <f t="shared" si="41"/>
        <v>416.61849604084972</v>
      </c>
      <c r="N77" s="221">
        <f t="shared" si="42"/>
        <v>0</v>
      </c>
      <c r="O77" s="196">
        <f t="shared" si="43"/>
        <v>0</v>
      </c>
      <c r="P77" s="222"/>
      <c r="Q77" s="173">
        <f t="shared" si="44"/>
        <v>1.2977666151672447</v>
      </c>
      <c r="R77" s="197"/>
      <c r="S77" s="197">
        <f t="shared" si="52"/>
        <v>2.8680642195196109E-2</v>
      </c>
      <c r="T77" s="198">
        <f t="shared" si="53"/>
        <v>1.3264472573624408</v>
      </c>
      <c r="V77" s="197">
        <f t="shared" si="54"/>
        <v>58.846447257362442</v>
      </c>
      <c r="W77" s="199">
        <f t="shared" si="45"/>
        <v>0</v>
      </c>
      <c r="X77" s="199">
        <f t="shared" si="46"/>
        <v>0</v>
      </c>
      <c r="Y77" s="200">
        <f t="shared" si="47"/>
        <v>0</v>
      </c>
      <c r="AA77" s="201">
        <f t="shared" si="48"/>
        <v>0</v>
      </c>
      <c r="AB77" s="202">
        <f t="shared" si="49"/>
        <v>2.3060626866523659E-2</v>
      </c>
    </row>
    <row r="78" spans="1:28">
      <c r="A78" s="217" t="s">
        <v>133</v>
      </c>
      <c r="B78" s="219">
        <f t="shared" si="37"/>
        <v>43.533487297921475</v>
      </c>
      <c r="C78" s="246">
        <f>H78/12</f>
        <v>188.5</v>
      </c>
      <c r="D78" s="146">
        <v>3</v>
      </c>
      <c r="F78" s="219">
        <f t="shared" si="29"/>
        <v>43.533487297921475</v>
      </c>
      <c r="G78" s="146">
        <v>52</v>
      </c>
      <c r="H78" s="152">
        <v>2262</v>
      </c>
      <c r="I78" s="220">
        <v>54.17</v>
      </c>
      <c r="J78" s="150">
        <f t="shared" si="38"/>
        <v>10211.045</v>
      </c>
      <c r="K78" s="150">
        <f t="shared" si="39"/>
        <v>122532.54000000001</v>
      </c>
      <c r="L78" s="195">
        <f t="shared" si="40"/>
        <v>435</v>
      </c>
      <c r="M78" s="147">
        <f t="shared" si="41"/>
        <v>416.61849604084972</v>
      </c>
      <c r="N78" s="221">
        <f t="shared" si="42"/>
        <v>491.99</v>
      </c>
      <c r="O78" s="196">
        <f t="shared" si="43"/>
        <v>471.20030774054635</v>
      </c>
      <c r="P78" s="222"/>
      <c r="Q78" s="173">
        <f t="shared" si="44"/>
        <v>1.2977666151672447</v>
      </c>
      <c r="R78" s="197"/>
      <c r="S78" s="197">
        <f t="shared" si="52"/>
        <v>2.8680642195196109E-2</v>
      </c>
      <c r="T78" s="198">
        <f t="shared" si="53"/>
        <v>1.3264472573624408</v>
      </c>
      <c r="V78" s="197">
        <f t="shared" si="54"/>
        <v>55.496447257362441</v>
      </c>
      <c r="W78" s="199">
        <f t="shared" si="45"/>
        <v>10461.080308012821</v>
      </c>
      <c r="X78" s="199">
        <f t="shared" si="46"/>
        <v>250.03530801282068</v>
      </c>
      <c r="Y78" s="200">
        <f t="shared" si="47"/>
        <v>3000.4236961538481</v>
      </c>
      <c r="AA78" s="201">
        <f t="shared" si="48"/>
        <v>2935.5779172235989</v>
      </c>
      <c r="AB78" s="202">
        <f t="shared" si="49"/>
        <v>2.4486750182064698E-2</v>
      </c>
    </row>
    <row r="79" spans="1:28">
      <c r="A79" s="217" t="s">
        <v>134</v>
      </c>
      <c r="B79" s="219"/>
      <c r="C79" s="246">
        <f>H101/12</f>
        <v>0</v>
      </c>
      <c r="D79" s="146">
        <v>3</v>
      </c>
      <c r="F79" s="219">
        <f t="shared" si="29"/>
        <v>0</v>
      </c>
      <c r="G79" s="146">
        <v>52</v>
      </c>
      <c r="H79" s="153">
        <f>C79*D82</f>
        <v>0</v>
      </c>
      <c r="I79" s="220">
        <v>54.17</v>
      </c>
      <c r="J79" s="150">
        <f t="shared" si="38"/>
        <v>0</v>
      </c>
      <c r="K79" s="150">
        <f t="shared" si="39"/>
        <v>0</v>
      </c>
      <c r="L79" s="195">
        <f t="shared" si="40"/>
        <v>435</v>
      </c>
      <c r="M79" s="147">
        <f t="shared" si="41"/>
        <v>416.61849604084972</v>
      </c>
      <c r="N79" s="221">
        <f t="shared" si="42"/>
        <v>0</v>
      </c>
      <c r="O79" s="196">
        <f t="shared" si="43"/>
        <v>0</v>
      </c>
      <c r="P79" s="222"/>
      <c r="Q79" s="173">
        <f t="shared" si="44"/>
        <v>1.2977666151672447</v>
      </c>
      <c r="R79" s="197"/>
      <c r="S79" s="197">
        <f t="shared" si="52"/>
        <v>2.8680642195196109E-2</v>
      </c>
      <c r="T79" s="198">
        <f t="shared" si="53"/>
        <v>1.3264472573624408</v>
      </c>
      <c r="V79" s="197">
        <f t="shared" si="54"/>
        <v>55.496447257362441</v>
      </c>
      <c r="W79" s="199">
        <f t="shared" si="45"/>
        <v>0</v>
      </c>
      <c r="X79" s="199">
        <f t="shared" si="46"/>
        <v>0</v>
      </c>
      <c r="Y79" s="200">
        <f t="shared" si="47"/>
        <v>0</v>
      </c>
      <c r="AA79" s="201">
        <f t="shared" si="48"/>
        <v>0</v>
      </c>
      <c r="AB79" s="202">
        <f t="shared" si="49"/>
        <v>2.4486750182064698E-2</v>
      </c>
    </row>
    <row r="80" spans="1:28">
      <c r="A80" s="217" t="s">
        <v>135</v>
      </c>
      <c r="B80" s="219"/>
      <c r="C80" s="246">
        <f>H102/12</f>
        <v>0</v>
      </c>
      <c r="D80" s="146">
        <v>3</v>
      </c>
      <c r="F80" s="219">
        <f t="shared" si="29"/>
        <v>0</v>
      </c>
      <c r="G80" s="146">
        <v>52</v>
      </c>
      <c r="H80" s="153">
        <f>C80*D83</f>
        <v>0</v>
      </c>
      <c r="I80" s="220">
        <v>54.17</v>
      </c>
      <c r="J80" s="150">
        <f t="shared" si="38"/>
        <v>0</v>
      </c>
      <c r="K80" s="150">
        <f t="shared" si="39"/>
        <v>0</v>
      </c>
      <c r="L80" s="195">
        <f t="shared" si="40"/>
        <v>435</v>
      </c>
      <c r="M80" s="147">
        <f t="shared" si="41"/>
        <v>416.61849604084972</v>
      </c>
      <c r="N80" s="221">
        <f t="shared" si="42"/>
        <v>0</v>
      </c>
      <c r="O80" s="196">
        <f t="shared" si="43"/>
        <v>0</v>
      </c>
      <c r="P80" s="222"/>
      <c r="Q80" s="173">
        <f t="shared" si="44"/>
        <v>1.2977666151672447</v>
      </c>
      <c r="R80" s="197"/>
      <c r="S80" s="197">
        <f t="shared" si="52"/>
        <v>2.8680642195196109E-2</v>
      </c>
      <c r="T80" s="198">
        <f t="shared" si="53"/>
        <v>1.3264472573624408</v>
      </c>
      <c r="V80" s="197">
        <f t="shared" si="54"/>
        <v>55.496447257362441</v>
      </c>
      <c r="W80" s="199">
        <f t="shared" si="45"/>
        <v>0</v>
      </c>
      <c r="X80" s="199">
        <f t="shared" si="46"/>
        <v>0</v>
      </c>
      <c r="Y80" s="200">
        <f t="shared" si="47"/>
        <v>0</v>
      </c>
      <c r="AA80" s="201">
        <f t="shared" si="48"/>
        <v>0</v>
      </c>
      <c r="AB80" s="202">
        <f t="shared" si="49"/>
        <v>2.4486750182064698E-2</v>
      </c>
    </row>
    <row r="81" spans="1:28">
      <c r="A81" s="217" t="s">
        <v>300</v>
      </c>
      <c r="B81" s="219">
        <f t="shared" si="37"/>
        <v>0.92378752886836024</v>
      </c>
      <c r="C81" s="246">
        <f>H81/12</f>
        <v>4</v>
      </c>
      <c r="D81" s="146">
        <v>3</v>
      </c>
      <c r="F81" s="219">
        <f t="shared" si="29"/>
        <v>0.92378752886836024</v>
      </c>
      <c r="G81" s="146">
        <v>52</v>
      </c>
      <c r="H81" s="152">
        <v>48</v>
      </c>
      <c r="I81" s="220">
        <v>57.52</v>
      </c>
      <c r="J81" s="150">
        <f t="shared" si="38"/>
        <v>230.08</v>
      </c>
      <c r="K81" s="150">
        <f t="shared" si="39"/>
        <v>2760.96</v>
      </c>
      <c r="L81" s="195">
        <f t="shared" si="40"/>
        <v>435</v>
      </c>
      <c r="M81" s="147">
        <f t="shared" si="41"/>
        <v>416.61849604084972</v>
      </c>
      <c r="N81" s="221">
        <f t="shared" si="42"/>
        <v>10.44</v>
      </c>
      <c r="O81" s="196">
        <f t="shared" si="43"/>
        <v>9.9988439049803937</v>
      </c>
      <c r="P81" s="222"/>
      <c r="Q81" s="173">
        <f t="shared" si="44"/>
        <v>1.2977666151672447</v>
      </c>
      <c r="R81" s="197"/>
      <c r="S81" s="197">
        <f t="shared" si="52"/>
        <v>2.8680642195196109E-2</v>
      </c>
      <c r="T81" s="198">
        <f t="shared" si="53"/>
        <v>1.3264472573624408</v>
      </c>
      <c r="V81" s="197">
        <f t="shared" si="54"/>
        <v>58.846447257362442</v>
      </c>
      <c r="W81" s="199">
        <f t="shared" si="45"/>
        <v>235.38578902944977</v>
      </c>
      <c r="X81" s="199">
        <f t="shared" si="46"/>
        <v>5.3057890294497554</v>
      </c>
      <c r="Y81" s="200">
        <f t="shared" si="47"/>
        <v>63.669468353397065</v>
      </c>
      <c r="AA81" s="201">
        <f t="shared" si="48"/>
        <v>62.292797528027748</v>
      </c>
      <c r="AB81" s="202">
        <f t="shared" si="49"/>
        <v>2.3060626866523659E-2</v>
      </c>
    </row>
    <row r="82" spans="1:28">
      <c r="A82" s="217" t="s">
        <v>306</v>
      </c>
      <c r="B82" s="219"/>
      <c r="C82" s="246">
        <f>H104/12</f>
        <v>121.33333333333333</v>
      </c>
      <c r="D82" s="146">
        <v>3</v>
      </c>
      <c r="F82" s="219">
        <f t="shared" si="29"/>
        <v>0</v>
      </c>
      <c r="G82" s="146">
        <v>52</v>
      </c>
      <c r="H82" s="153"/>
      <c r="I82" s="220">
        <v>57.52</v>
      </c>
      <c r="J82" s="150">
        <f t="shared" si="38"/>
        <v>6979.0933333333332</v>
      </c>
      <c r="K82" s="150">
        <f t="shared" si="39"/>
        <v>83749.119999999995</v>
      </c>
      <c r="L82" s="195">
        <f t="shared" si="40"/>
        <v>435</v>
      </c>
      <c r="M82" s="147">
        <f t="shared" si="41"/>
        <v>416.61849604084972</v>
      </c>
      <c r="N82" s="221">
        <f t="shared" si="42"/>
        <v>316.68</v>
      </c>
      <c r="O82" s="196">
        <f t="shared" si="43"/>
        <v>303.29826511773859</v>
      </c>
      <c r="P82" s="222"/>
      <c r="Q82" s="173">
        <f t="shared" si="44"/>
        <v>1.2977666151672447</v>
      </c>
      <c r="R82" s="197"/>
      <c r="S82" s="197">
        <f t="shared" si="52"/>
        <v>2.8680642195196109E-2</v>
      </c>
      <c r="T82" s="198">
        <f t="shared" si="53"/>
        <v>1.3264472573624408</v>
      </c>
      <c r="V82" s="197">
        <f t="shared" si="54"/>
        <v>58.846447257362442</v>
      </c>
      <c r="W82" s="199">
        <f t="shared" si="45"/>
        <v>7140.035600559976</v>
      </c>
      <c r="X82" s="199">
        <f t="shared" si="46"/>
        <v>160.9422672266428</v>
      </c>
      <c r="Y82" s="200">
        <f t="shared" si="47"/>
        <v>1931.3072067197136</v>
      </c>
      <c r="AA82" s="201">
        <f t="shared" si="48"/>
        <v>1889.5481916835083</v>
      </c>
      <c r="AB82" s="202">
        <f t="shared" si="49"/>
        <v>2.3060626866523659E-2</v>
      </c>
    </row>
    <row r="83" spans="1:28">
      <c r="A83" s="217" t="s">
        <v>228</v>
      </c>
      <c r="B83" s="219"/>
      <c r="C83" s="246">
        <f>H105/12</f>
        <v>0</v>
      </c>
      <c r="D83" s="146">
        <v>14</v>
      </c>
      <c r="F83" s="219">
        <f t="shared" si="29"/>
        <v>0</v>
      </c>
      <c r="G83" s="146">
        <v>52</v>
      </c>
      <c r="H83" s="153"/>
      <c r="I83" s="220">
        <v>232.16</v>
      </c>
      <c r="J83" s="150">
        <f t="shared" si="38"/>
        <v>0</v>
      </c>
      <c r="K83" s="150">
        <f t="shared" si="39"/>
        <v>0</v>
      </c>
      <c r="L83" s="195">
        <f t="shared" si="40"/>
        <v>2030</v>
      </c>
      <c r="M83" s="147">
        <f t="shared" si="41"/>
        <v>1944.2196481906321</v>
      </c>
      <c r="N83" s="221">
        <f t="shared" si="42"/>
        <v>0</v>
      </c>
      <c r="O83" s="196">
        <f t="shared" si="43"/>
        <v>0</v>
      </c>
      <c r="P83" s="222"/>
      <c r="Q83" s="173">
        <f t="shared" si="44"/>
        <v>6.0562442041138089</v>
      </c>
      <c r="R83" s="197"/>
      <c r="S83" s="197">
        <f t="shared" si="52"/>
        <v>0.1338429969109152</v>
      </c>
      <c r="T83" s="198">
        <f t="shared" si="53"/>
        <v>6.1900872010247241</v>
      </c>
      <c r="V83" s="197">
        <f t="shared" si="54"/>
        <v>238.35008720102473</v>
      </c>
      <c r="W83" s="199">
        <f t="shared" si="45"/>
        <v>0</v>
      </c>
      <c r="X83" s="199">
        <f t="shared" si="46"/>
        <v>0</v>
      </c>
      <c r="Y83" s="200">
        <f t="shared" si="47"/>
        <v>0</v>
      </c>
      <c r="AA83" s="201">
        <f t="shared" si="48"/>
        <v>0</v>
      </c>
      <c r="AB83" s="202">
        <f t="shared" si="49"/>
        <v>2.6663022058170061E-2</v>
      </c>
    </row>
    <row r="84" spans="1:28">
      <c r="A84" s="217" t="s">
        <v>325</v>
      </c>
      <c r="B84" s="219"/>
      <c r="C84" s="246">
        <f>H106/12</f>
        <v>0</v>
      </c>
      <c r="D84" s="146">
        <v>14</v>
      </c>
      <c r="F84" s="219">
        <f t="shared" si="29"/>
        <v>0</v>
      </c>
      <c r="G84" s="146">
        <v>52</v>
      </c>
      <c r="H84" s="153"/>
      <c r="I84" s="220">
        <v>232.16</v>
      </c>
      <c r="J84" s="150">
        <f t="shared" si="38"/>
        <v>0</v>
      </c>
      <c r="K84" s="150">
        <f t="shared" si="39"/>
        <v>0</v>
      </c>
      <c r="L84" s="195">
        <f t="shared" si="40"/>
        <v>2030</v>
      </c>
      <c r="M84" s="147">
        <f t="shared" si="41"/>
        <v>1944.2196481906321</v>
      </c>
      <c r="N84" s="221">
        <f t="shared" si="42"/>
        <v>0</v>
      </c>
      <c r="O84" s="196">
        <f t="shared" si="43"/>
        <v>0</v>
      </c>
      <c r="P84" s="222"/>
      <c r="Q84" s="173">
        <f t="shared" si="44"/>
        <v>6.0562442041138089</v>
      </c>
      <c r="R84" s="197"/>
      <c r="S84" s="197">
        <f t="shared" si="52"/>
        <v>0.1338429969109152</v>
      </c>
      <c r="T84" s="198">
        <f t="shared" si="53"/>
        <v>6.1900872010247241</v>
      </c>
      <c r="V84" s="197">
        <f t="shared" si="54"/>
        <v>238.35008720102473</v>
      </c>
      <c r="W84" s="199">
        <f t="shared" si="45"/>
        <v>0</v>
      </c>
      <c r="X84" s="199">
        <f t="shared" si="46"/>
        <v>0</v>
      </c>
      <c r="Y84" s="200">
        <f t="shared" si="47"/>
        <v>0</v>
      </c>
      <c r="AA84" s="201">
        <f t="shared" si="48"/>
        <v>0</v>
      </c>
      <c r="AB84" s="202">
        <f t="shared" si="49"/>
        <v>2.6663022058170061E-2</v>
      </c>
    </row>
    <row r="85" spans="1:28">
      <c r="A85" s="217" t="s">
        <v>229</v>
      </c>
      <c r="B85" s="219"/>
      <c r="C85" s="246">
        <f>H107/12</f>
        <v>0</v>
      </c>
      <c r="D85" s="146">
        <v>20</v>
      </c>
      <c r="F85" s="219">
        <f t="shared" si="29"/>
        <v>0</v>
      </c>
      <c r="G85" s="146">
        <v>52</v>
      </c>
      <c r="H85" s="153"/>
      <c r="I85" s="220">
        <v>288.16000000000003</v>
      </c>
      <c r="J85" s="150">
        <f t="shared" si="38"/>
        <v>0</v>
      </c>
      <c r="K85" s="150">
        <f t="shared" si="39"/>
        <v>0</v>
      </c>
      <c r="L85" s="195">
        <f t="shared" si="40"/>
        <v>2900</v>
      </c>
      <c r="M85" s="147">
        <f t="shared" si="41"/>
        <v>2777.4566402723317</v>
      </c>
      <c r="N85" s="221">
        <f t="shared" si="42"/>
        <v>0</v>
      </c>
      <c r="O85" s="196">
        <f t="shared" si="43"/>
        <v>0</v>
      </c>
      <c r="P85" s="222"/>
      <c r="Q85" s="173">
        <f t="shared" si="44"/>
        <v>8.6517774344482987</v>
      </c>
      <c r="R85" s="197"/>
      <c r="S85" s="197">
        <f t="shared" si="52"/>
        <v>0.19120428130130743</v>
      </c>
      <c r="T85" s="198">
        <f t="shared" si="53"/>
        <v>8.8429817157496053</v>
      </c>
      <c r="V85" s="197">
        <f t="shared" si="54"/>
        <v>297.00298171574963</v>
      </c>
      <c r="W85" s="199">
        <f t="shared" si="45"/>
        <v>0</v>
      </c>
      <c r="X85" s="199">
        <f t="shared" si="46"/>
        <v>0</v>
      </c>
      <c r="Y85" s="200">
        <f t="shared" si="47"/>
        <v>0</v>
      </c>
      <c r="AA85" s="201">
        <f t="shared" si="48"/>
        <v>0</v>
      </c>
      <c r="AB85" s="202">
        <f t="shared" si="49"/>
        <v>3.0687748874755671E-2</v>
      </c>
    </row>
    <row r="86" spans="1:28">
      <c r="A86" s="217" t="s">
        <v>337</v>
      </c>
      <c r="B86" s="219"/>
      <c r="C86" s="246">
        <f>H108/12</f>
        <v>0</v>
      </c>
      <c r="D86" s="146">
        <v>20</v>
      </c>
      <c r="F86" s="219">
        <f t="shared" si="29"/>
        <v>0</v>
      </c>
      <c r="G86" s="146">
        <v>52</v>
      </c>
      <c r="H86" s="153"/>
      <c r="I86" s="220">
        <v>288.16000000000003</v>
      </c>
      <c r="J86" s="150">
        <f t="shared" si="38"/>
        <v>0</v>
      </c>
      <c r="K86" s="150">
        <f t="shared" si="39"/>
        <v>0</v>
      </c>
      <c r="L86" s="195">
        <f t="shared" si="40"/>
        <v>2900</v>
      </c>
      <c r="M86" s="147">
        <f t="shared" si="41"/>
        <v>2777.4566402723317</v>
      </c>
      <c r="N86" s="221">
        <f t="shared" si="42"/>
        <v>0</v>
      </c>
      <c r="O86" s="196">
        <f t="shared" si="43"/>
        <v>0</v>
      </c>
      <c r="P86" s="222"/>
      <c r="Q86" s="173">
        <f t="shared" si="44"/>
        <v>8.6517774344482987</v>
      </c>
      <c r="R86" s="197"/>
      <c r="S86" s="197">
        <f t="shared" si="52"/>
        <v>0.19120428130130743</v>
      </c>
      <c r="T86" s="198">
        <f t="shared" si="53"/>
        <v>8.8429817157496053</v>
      </c>
      <c r="V86" s="197">
        <f t="shared" si="54"/>
        <v>297.00298171574963</v>
      </c>
      <c r="W86" s="199">
        <f t="shared" si="45"/>
        <v>0</v>
      </c>
      <c r="X86" s="199">
        <f t="shared" si="46"/>
        <v>0</v>
      </c>
      <c r="Y86" s="200">
        <f t="shared" si="47"/>
        <v>0</v>
      </c>
      <c r="AA86" s="201">
        <f t="shared" si="48"/>
        <v>0</v>
      </c>
      <c r="AB86" s="202">
        <f t="shared" si="49"/>
        <v>3.0687748874755671E-2</v>
      </c>
    </row>
    <row r="87" spans="1:28">
      <c r="A87" s="217" t="s">
        <v>136</v>
      </c>
      <c r="B87" s="219"/>
      <c r="C87" s="246">
        <f t="shared" ref="C87" si="56">H109/12</f>
        <v>0</v>
      </c>
      <c r="D87" s="146">
        <v>4</v>
      </c>
      <c r="F87" s="219">
        <f t="shared" si="29"/>
        <v>0</v>
      </c>
      <c r="G87" s="146">
        <v>52</v>
      </c>
      <c r="H87" s="153"/>
      <c r="I87" s="220">
        <v>70.760000000000005</v>
      </c>
      <c r="J87" s="150">
        <f t="shared" si="38"/>
        <v>0</v>
      </c>
      <c r="K87" s="150">
        <f t="shared" si="39"/>
        <v>0</v>
      </c>
      <c r="L87" s="195">
        <f t="shared" si="40"/>
        <v>580</v>
      </c>
      <c r="M87" s="147">
        <f t="shared" si="41"/>
        <v>555.49132805446629</v>
      </c>
      <c r="N87" s="221">
        <f t="shared" si="42"/>
        <v>0</v>
      </c>
      <c r="O87" s="196">
        <f t="shared" si="43"/>
        <v>0</v>
      </c>
      <c r="P87" s="222"/>
      <c r="Q87" s="173">
        <f t="shared" si="44"/>
        <v>1.7303554868896598</v>
      </c>
      <c r="R87" s="197"/>
      <c r="S87" s="197">
        <f t="shared" si="52"/>
        <v>3.8240856260261483E-2</v>
      </c>
      <c r="T87" s="198">
        <f t="shared" si="53"/>
        <v>1.7685963431499212</v>
      </c>
      <c r="V87" s="197">
        <f t="shared" si="54"/>
        <v>72.528596343149928</v>
      </c>
      <c r="W87" s="199">
        <f t="shared" si="45"/>
        <v>0</v>
      </c>
      <c r="X87" s="199">
        <f t="shared" si="46"/>
        <v>0</v>
      </c>
      <c r="Y87" s="200">
        <f t="shared" si="47"/>
        <v>0</v>
      </c>
      <c r="AA87" s="201">
        <f t="shared" si="48"/>
        <v>0</v>
      </c>
      <c r="AB87" s="202">
        <f t="shared" si="49"/>
        <v>2.4994295409128453E-2</v>
      </c>
    </row>
    <row r="88" spans="1:28">
      <c r="A88" s="217" t="s">
        <v>137</v>
      </c>
      <c r="B88" s="219">
        <f t="shared" si="37"/>
        <v>61.297151655119329</v>
      </c>
      <c r="C88" s="246">
        <f>H88/12</f>
        <v>265.41666666666669</v>
      </c>
      <c r="D88" s="146">
        <v>4</v>
      </c>
      <c r="F88" s="219">
        <f t="shared" si="29"/>
        <v>61.297151655119329</v>
      </c>
      <c r="G88" s="146">
        <v>52</v>
      </c>
      <c r="H88" s="152">
        <v>3185</v>
      </c>
      <c r="I88" s="220">
        <v>67.62</v>
      </c>
      <c r="J88" s="150">
        <f t="shared" si="38"/>
        <v>17947.475000000002</v>
      </c>
      <c r="K88" s="150">
        <f t="shared" si="39"/>
        <v>215369.7</v>
      </c>
      <c r="L88" s="195">
        <f t="shared" si="40"/>
        <v>580</v>
      </c>
      <c r="M88" s="147">
        <f t="shared" si="41"/>
        <v>555.49132805446629</v>
      </c>
      <c r="N88" s="221">
        <f t="shared" si="42"/>
        <v>923.65</v>
      </c>
      <c r="O88" s="196">
        <f t="shared" si="43"/>
        <v>884.61993992673752</v>
      </c>
      <c r="P88" s="222"/>
      <c r="Q88" s="173">
        <f t="shared" si="44"/>
        <v>1.7303554868896598</v>
      </c>
      <c r="R88" s="197"/>
      <c r="S88" s="197">
        <f t="shared" si="52"/>
        <v>3.8240856260261483E-2</v>
      </c>
      <c r="T88" s="198">
        <f t="shared" si="53"/>
        <v>1.7685963431499212</v>
      </c>
      <c r="V88" s="197">
        <f t="shared" si="54"/>
        <v>69.388596343149928</v>
      </c>
      <c r="W88" s="199">
        <f t="shared" si="45"/>
        <v>18416.88994607771</v>
      </c>
      <c r="X88" s="199">
        <f t="shared" si="46"/>
        <v>469.41494607770801</v>
      </c>
      <c r="Y88" s="200">
        <f t="shared" si="47"/>
        <v>5632.9793529324961</v>
      </c>
      <c r="AA88" s="201">
        <f t="shared" si="48"/>
        <v>5511.1822257435661</v>
      </c>
      <c r="AB88" s="202">
        <f t="shared" si="49"/>
        <v>2.6154929653207981E-2</v>
      </c>
    </row>
    <row r="89" spans="1:28">
      <c r="A89" s="217" t="s">
        <v>138</v>
      </c>
      <c r="B89" s="219"/>
      <c r="C89" s="246">
        <f>H111/12</f>
        <v>100.75</v>
      </c>
      <c r="D89" s="146">
        <v>4</v>
      </c>
      <c r="F89" s="219">
        <f t="shared" si="29"/>
        <v>0</v>
      </c>
      <c r="G89" s="146">
        <v>52</v>
      </c>
      <c r="H89" s="153"/>
      <c r="I89" s="220">
        <v>67.62</v>
      </c>
      <c r="J89" s="150">
        <f t="shared" si="38"/>
        <v>6812.7150000000001</v>
      </c>
      <c r="K89" s="150">
        <f t="shared" si="39"/>
        <v>81752.58</v>
      </c>
      <c r="L89" s="195">
        <f t="shared" si="40"/>
        <v>580</v>
      </c>
      <c r="M89" s="147">
        <f t="shared" si="41"/>
        <v>555.49132805446629</v>
      </c>
      <c r="N89" s="221">
        <f t="shared" si="42"/>
        <v>350.61</v>
      </c>
      <c r="O89" s="196">
        <f t="shared" si="43"/>
        <v>335.79450780892489</v>
      </c>
      <c r="P89" s="222"/>
      <c r="Q89" s="173">
        <f t="shared" si="44"/>
        <v>1.7303554868896598</v>
      </c>
      <c r="R89" s="197"/>
      <c r="S89" s="197">
        <f t="shared" si="52"/>
        <v>3.8240856260261483E-2</v>
      </c>
      <c r="T89" s="198">
        <f t="shared" si="53"/>
        <v>1.7685963431499212</v>
      </c>
      <c r="V89" s="197">
        <f t="shared" si="54"/>
        <v>69.388596343149928</v>
      </c>
      <c r="W89" s="199">
        <f t="shared" si="45"/>
        <v>6990.901081572355</v>
      </c>
      <c r="X89" s="199">
        <f t="shared" si="46"/>
        <v>178.18608157235485</v>
      </c>
      <c r="Y89" s="200">
        <f t="shared" si="47"/>
        <v>2138.2329788682582</v>
      </c>
      <c r="AA89" s="201">
        <f t="shared" si="48"/>
        <v>2091.9997836495986</v>
      </c>
      <c r="AB89" s="202">
        <f t="shared" si="49"/>
        <v>2.6154929653207981E-2</v>
      </c>
    </row>
    <row r="90" spans="1:28">
      <c r="A90" s="217" t="s">
        <v>139</v>
      </c>
      <c r="B90" s="219"/>
      <c r="C90" s="246">
        <f>H112/12</f>
        <v>0</v>
      </c>
      <c r="D90" s="146">
        <v>4</v>
      </c>
      <c r="F90" s="219">
        <f t="shared" si="29"/>
        <v>0</v>
      </c>
      <c r="G90" s="146">
        <v>52</v>
      </c>
      <c r="H90" s="153">
        <f>C90*D93</f>
        <v>0</v>
      </c>
      <c r="I90" s="220">
        <v>67.62</v>
      </c>
      <c r="J90" s="150">
        <f t="shared" si="38"/>
        <v>0</v>
      </c>
      <c r="K90" s="150">
        <f t="shared" si="39"/>
        <v>0</v>
      </c>
      <c r="L90" s="195">
        <f t="shared" si="40"/>
        <v>580</v>
      </c>
      <c r="M90" s="147">
        <f t="shared" si="41"/>
        <v>555.49132805446629</v>
      </c>
      <c r="N90" s="221">
        <f t="shared" si="42"/>
        <v>0</v>
      </c>
      <c r="O90" s="196">
        <f t="shared" si="43"/>
        <v>0</v>
      </c>
      <c r="P90" s="222"/>
      <c r="Q90" s="173">
        <f t="shared" si="44"/>
        <v>1.7303554868896598</v>
      </c>
      <c r="R90" s="197"/>
      <c r="S90" s="197">
        <f t="shared" si="52"/>
        <v>3.8240856260261483E-2</v>
      </c>
      <c r="T90" s="198">
        <f t="shared" si="53"/>
        <v>1.7685963431499212</v>
      </c>
      <c r="V90" s="197">
        <f t="shared" si="54"/>
        <v>69.388596343149928</v>
      </c>
      <c r="W90" s="199">
        <f t="shared" si="45"/>
        <v>0</v>
      </c>
      <c r="X90" s="199">
        <f t="shared" si="46"/>
        <v>0</v>
      </c>
      <c r="Y90" s="200">
        <f t="shared" si="47"/>
        <v>0</v>
      </c>
      <c r="AA90" s="201">
        <f t="shared" si="48"/>
        <v>0</v>
      </c>
      <c r="AB90" s="202">
        <f t="shared" si="49"/>
        <v>2.6154929653207981E-2</v>
      </c>
    </row>
    <row r="91" spans="1:28">
      <c r="A91" s="217" t="s">
        <v>230</v>
      </c>
      <c r="B91" s="219"/>
      <c r="C91" s="246">
        <f>H113/12</f>
        <v>0</v>
      </c>
      <c r="D91" s="146">
        <v>4</v>
      </c>
      <c r="F91" s="219">
        <f t="shared" si="29"/>
        <v>0</v>
      </c>
      <c r="G91" s="146">
        <v>52</v>
      </c>
      <c r="H91" s="153">
        <f>C91*D94</f>
        <v>0</v>
      </c>
      <c r="I91" s="220">
        <v>67.62</v>
      </c>
      <c r="J91" s="150">
        <f t="shared" si="38"/>
        <v>0</v>
      </c>
      <c r="K91" s="150">
        <f t="shared" si="39"/>
        <v>0</v>
      </c>
      <c r="L91" s="195">
        <f t="shared" si="40"/>
        <v>580</v>
      </c>
      <c r="M91" s="147">
        <f t="shared" si="41"/>
        <v>555.49132805446629</v>
      </c>
      <c r="N91" s="221">
        <f t="shared" si="42"/>
        <v>0</v>
      </c>
      <c r="O91" s="196">
        <f t="shared" si="43"/>
        <v>0</v>
      </c>
      <c r="P91" s="222"/>
      <c r="Q91" s="173">
        <f t="shared" si="44"/>
        <v>1.7303554868896598</v>
      </c>
      <c r="R91" s="197"/>
      <c r="S91" s="197">
        <f t="shared" si="52"/>
        <v>3.8240856260261483E-2</v>
      </c>
      <c r="T91" s="198">
        <f t="shared" si="53"/>
        <v>1.7685963431499212</v>
      </c>
      <c r="V91" s="197">
        <f t="shared" si="54"/>
        <v>69.388596343149928</v>
      </c>
      <c r="W91" s="199">
        <f t="shared" si="45"/>
        <v>0</v>
      </c>
      <c r="X91" s="199">
        <f t="shared" si="46"/>
        <v>0</v>
      </c>
      <c r="Y91" s="200">
        <f t="shared" si="47"/>
        <v>0</v>
      </c>
      <c r="AA91" s="201">
        <f t="shared" si="48"/>
        <v>0</v>
      </c>
      <c r="AB91" s="202">
        <f t="shared" si="49"/>
        <v>2.6154929653207981E-2</v>
      </c>
    </row>
    <row r="92" spans="1:28">
      <c r="A92" s="217" t="s">
        <v>264</v>
      </c>
      <c r="B92" s="219"/>
      <c r="C92" s="246">
        <f>H114/12</f>
        <v>0</v>
      </c>
      <c r="D92" s="146">
        <v>4</v>
      </c>
      <c r="F92" s="219">
        <f t="shared" si="29"/>
        <v>0</v>
      </c>
      <c r="G92" s="146">
        <v>52</v>
      </c>
      <c r="H92" s="153"/>
      <c r="I92" s="220">
        <v>67.62</v>
      </c>
      <c r="J92" s="150">
        <f t="shared" si="38"/>
        <v>0</v>
      </c>
      <c r="K92" s="150">
        <f t="shared" si="39"/>
        <v>0</v>
      </c>
      <c r="L92" s="195">
        <f t="shared" si="40"/>
        <v>580</v>
      </c>
      <c r="M92" s="147">
        <f t="shared" si="41"/>
        <v>555.49132805446629</v>
      </c>
      <c r="N92" s="221">
        <f t="shared" si="42"/>
        <v>0</v>
      </c>
      <c r="O92" s="196">
        <f t="shared" si="43"/>
        <v>0</v>
      </c>
      <c r="P92" s="222"/>
      <c r="Q92" s="173">
        <f t="shared" si="44"/>
        <v>1.7303554868896598</v>
      </c>
      <c r="R92" s="197"/>
      <c r="S92" s="197">
        <f t="shared" si="52"/>
        <v>3.8240856260261483E-2</v>
      </c>
      <c r="T92" s="198">
        <f t="shared" si="53"/>
        <v>1.7685963431499212</v>
      </c>
      <c r="V92" s="197">
        <f t="shared" si="54"/>
        <v>69.388596343149928</v>
      </c>
      <c r="W92" s="199">
        <f t="shared" si="45"/>
        <v>0</v>
      </c>
      <c r="X92" s="199">
        <f t="shared" si="46"/>
        <v>0</v>
      </c>
      <c r="Y92" s="200">
        <f t="shared" si="47"/>
        <v>0</v>
      </c>
      <c r="AA92" s="201">
        <f t="shared" si="48"/>
        <v>0</v>
      </c>
      <c r="AB92" s="202">
        <f t="shared" si="49"/>
        <v>2.6154929653207981E-2</v>
      </c>
    </row>
    <row r="93" spans="1:28">
      <c r="A93" s="217" t="s">
        <v>301</v>
      </c>
      <c r="B93" s="219">
        <f t="shared" si="37"/>
        <v>1.3856812933025404</v>
      </c>
      <c r="C93" s="246">
        <f>H93/12</f>
        <v>6</v>
      </c>
      <c r="D93" s="146">
        <v>4</v>
      </c>
      <c r="F93" s="219">
        <f t="shared" si="29"/>
        <v>1.3856812933025404</v>
      </c>
      <c r="G93" s="146">
        <v>52</v>
      </c>
      <c r="H93" s="152">
        <v>72</v>
      </c>
      <c r="I93" s="220">
        <v>70.790000000000006</v>
      </c>
      <c r="J93" s="150">
        <f t="shared" si="38"/>
        <v>424.74</v>
      </c>
      <c r="K93" s="150">
        <f t="shared" si="39"/>
        <v>5096.88</v>
      </c>
      <c r="L93" s="195">
        <f t="shared" si="40"/>
        <v>580</v>
      </c>
      <c r="M93" s="147">
        <f t="shared" si="41"/>
        <v>555.49132805446629</v>
      </c>
      <c r="N93" s="221">
        <f t="shared" si="42"/>
        <v>20.88</v>
      </c>
      <c r="O93" s="196">
        <f t="shared" si="43"/>
        <v>19.997687809960787</v>
      </c>
      <c r="P93" s="222"/>
      <c r="Q93" s="173">
        <f t="shared" si="44"/>
        <v>1.7303554868896598</v>
      </c>
      <c r="R93" s="197"/>
      <c r="S93" s="197">
        <f t="shared" si="52"/>
        <v>3.8240856260261483E-2</v>
      </c>
      <c r="T93" s="198">
        <f t="shared" si="53"/>
        <v>1.7685963431499212</v>
      </c>
      <c r="V93" s="197">
        <f t="shared" si="54"/>
        <v>72.558596343149929</v>
      </c>
      <c r="W93" s="199">
        <f t="shared" si="45"/>
        <v>435.35157805889958</v>
      </c>
      <c r="X93" s="199">
        <f t="shared" si="46"/>
        <v>10.611578058899568</v>
      </c>
      <c r="Y93" s="200">
        <f t="shared" si="47"/>
        <v>127.33893670679481</v>
      </c>
      <c r="AA93" s="201">
        <f t="shared" si="48"/>
        <v>124.5855950560555</v>
      </c>
      <c r="AB93" s="202">
        <f t="shared" si="49"/>
        <v>2.498370310990139E-2</v>
      </c>
    </row>
    <row r="94" spans="1:28">
      <c r="A94" s="217" t="s">
        <v>308</v>
      </c>
      <c r="B94" s="219"/>
      <c r="C94" s="246">
        <f t="shared" ref="C94:C99" si="57">H116/12</f>
        <v>6</v>
      </c>
      <c r="D94" s="146">
        <v>4</v>
      </c>
      <c r="F94" s="219">
        <f t="shared" si="29"/>
        <v>0</v>
      </c>
      <c r="G94" s="146">
        <v>52</v>
      </c>
      <c r="H94" s="153"/>
      <c r="I94" s="220">
        <v>70.790000000000006</v>
      </c>
      <c r="J94" s="150">
        <f t="shared" si="38"/>
        <v>424.74</v>
      </c>
      <c r="K94" s="150">
        <f t="shared" si="39"/>
        <v>5096.88</v>
      </c>
      <c r="L94" s="195">
        <f t="shared" si="40"/>
        <v>580</v>
      </c>
      <c r="M94" s="147">
        <f t="shared" si="41"/>
        <v>555.49132805446629</v>
      </c>
      <c r="N94" s="221">
        <f t="shared" si="42"/>
        <v>20.88</v>
      </c>
      <c r="O94" s="196">
        <f t="shared" si="43"/>
        <v>19.997687809960787</v>
      </c>
      <c r="P94" s="222"/>
      <c r="Q94" s="173">
        <f t="shared" si="44"/>
        <v>1.7303554868896598</v>
      </c>
      <c r="R94" s="197"/>
      <c r="S94" s="197">
        <f t="shared" si="52"/>
        <v>3.8240856260261483E-2</v>
      </c>
      <c r="T94" s="198">
        <f t="shared" si="53"/>
        <v>1.7685963431499212</v>
      </c>
      <c r="V94" s="197">
        <f t="shared" si="54"/>
        <v>72.558596343149929</v>
      </c>
      <c r="W94" s="199">
        <f t="shared" si="45"/>
        <v>435.35157805889958</v>
      </c>
      <c r="X94" s="199">
        <f t="shared" si="46"/>
        <v>10.611578058899568</v>
      </c>
      <c r="Y94" s="200">
        <f t="shared" si="47"/>
        <v>127.33893670679481</v>
      </c>
      <c r="AA94" s="201">
        <f t="shared" si="48"/>
        <v>124.5855950560555</v>
      </c>
      <c r="AB94" s="202">
        <f t="shared" si="49"/>
        <v>2.498370310990139E-2</v>
      </c>
    </row>
    <row r="95" spans="1:28">
      <c r="A95" s="217" t="s">
        <v>231</v>
      </c>
      <c r="B95" s="219"/>
      <c r="C95" s="246">
        <f t="shared" si="57"/>
        <v>0</v>
      </c>
      <c r="D95" s="146">
        <v>17.5</v>
      </c>
      <c r="F95" s="219">
        <f t="shared" si="29"/>
        <v>0</v>
      </c>
      <c r="G95" s="146">
        <v>52</v>
      </c>
      <c r="H95" s="153"/>
      <c r="I95" s="220">
        <v>266.70999999999998</v>
      </c>
      <c r="J95" s="150">
        <f t="shared" si="38"/>
        <v>0</v>
      </c>
      <c r="K95" s="150">
        <f t="shared" si="39"/>
        <v>0</v>
      </c>
      <c r="L95" s="195">
        <f t="shared" si="40"/>
        <v>2537.5</v>
      </c>
      <c r="M95" s="147">
        <f t="shared" si="41"/>
        <v>2430.2745602382902</v>
      </c>
      <c r="N95" s="221">
        <f t="shared" si="42"/>
        <v>0</v>
      </c>
      <c r="O95" s="196">
        <f t="shared" si="43"/>
        <v>0</v>
      </c>
      <c r="P95" s="222"/>
      <c r="Q95" s="173">
        <f t="shared" si="44"/>
        <v>7.5703052551422614</v>
      </c>
      <c r="R95" s="197"/>
      <c r="S95" s="197">
        <f t="shared" si="52"/>
        <v>0.16730374613864399</v>
      </c>
      <c r="T95" s="198">
        <f t="shared" si="53"/>
        <v>7.7376090012809051</v>
      </c>
      <c r="V95" s="197">
        <f t="shared" si="54"/>
        <v>274.44760900128091</v>
      </c>
      <c r="W95" s="199">
        <f t="shared" si="45"/>
        <v>0</v>
      </c>
      <c r="X95" s="199">
        <f t="shared" si="46"/>
        <v>0</v>
      </c>
      <c r="Y95" s="200">
        <f t="shared" si="47"/>
        <v>0</v>
      </c>
      <c r="AA95" s="201">
        <f t="shared" si="48"/>
        <v>0</v>
      </c>
      <c r="AB95" s="202">
        <f t="shared" si="49"/>
        <v>2.9011319415398473E-2</v>
      </c>
    </row>
    <row r="96" spans="1:28">
      <c r="A96" s="217" t="s">
        <v>326</v>
      </c>
      <c r="B96" s="219"/>
      <c r="C96" s="246">
        <f t="shared" si="57"/>
        <v>0</v>
      </c>
      <c r="D96" s="146">
        <v>17.5</v>
      </c>
      <c r="F96" s="219">
        <f t="shared" si="29"/>
        <v>0</v>
      </c>
      <c r="G96" s="146">
        <v>52</v>
      </c>
      <c r="H96" s="153">
        <f>C96*D99</f>
        <v>0</v>
      </c>
      <c r="I96" s="220">
        <v>266.70999999999998</v>
      </c>
      <c r="J96" s="150">
        <f t="shared" si="38"/>
        <v>0</v>
      </c>
      <c r="K96" s="150">
        <f t="shared" si="39"/>
        <v>0</v>
      </c>
      <c r="L96" s="195">
        <f t="shared" si="40"/>
        <v>2537.5</v>
      </c>
      <c r="M96" s="147">
        <f t="shared" si="41"/>
        <v>2430.2745602382902</v>
      </c>
      <c r="N96" s="221">
        <f t="shared" si="42"/>
        <v>0</v>
      </c>
      <c r="O96" s="196">
        <f t="shared" si="43"/>
        <v>0</v>
      </c>
      <c r="P96" s="222"/>
      <c r="Q96" s="173">
        <f t="shared" si="44"/>
        <v>7.5703052551422614</v>
      </c>
      <c r="R96" s="197"/>
      <c r="S96" s="197">
        <f t="shared" si="52"/>
        <v>0.16730374613864399</v>
      </c>
      <c r="T96" s="198">
        <f t="shared" si="53"/>
        <v>7.7376090012809051</v>
      </c>
      <c r="V96" s="197">
        <f t="shared" si="54"/>
        <v>274.44760900128091</v>
      </c>
      <c r="W96" s="199">
        <f t="shared" si="45"/>
        <v>0</v>
      </c>
      <c r="X96" s="199">
        <f t="shared" si="46"/>
        <v>0</v>
      </c>
      <c r="Y96" s="200">
        <f t="shared" si="47"/>
        <v>0</v>
      </c>
      <c r="AA96" s="201">
        <f t="shared" si="48"/>
        <v>0</v>
      </c>
      <c r="AB96" s="202">
        <f t="shared" si="49"/>
        <v>2.9011319415398473E-2</v>
      </c>
    </row>
    <row r="97" spans="1:28">
      <c r="A97" s="217" t="s">
        <v>232</v>
      </c>
      <c r="B97" s="219"/>
      <c r="C97" s="246">
        <f t="shared" si="57"/>
        <v>0</v>
      </c>
      <c r="D97" s="146">
        <v>20</v>
      </c>
      <c r="F97" s="219">
        <f t="shared" si="29"/>
        <v>0</v>
      </c>
      <c r="G97" s="146">
        <v>52</v>
      </c>
      <c r="H97" s="153">
        <f>C97*D100</f>
        <v>0</v>
      </c>
      <c r="I97" s="220">
        <v>336.4</v>
      </c>
      <c r="J97" s="150">
        <f t="shared" si="38"/>
        <v>0</v>
      </c>
      <c r="K97" s="150">
        <f t="shared" si="39"/>
        <v>0</v>
      </c>
      <c r="L97" s="195">
        <f t="shared" si="40"/>
        <v>2900</v>
      </c>
      <c r="M97" s="147">
        <f t="shared" si="41"/>
        <v>2777.4566402723317</v>
      </c>
      <c r="N97" s="221">
        <f t="shared" si="42"/>
        <v>0</v>
      </c>
      <c r="O97" s="196">
        <f t="shared" si="43"/>
        <v>0</v>
      </c>
      <c r="P97" s="222"/>
      <c r="Q97" s="173">
        <f t="shared" si="44"/>
        <v>8.6517774344482987</v>
      </c>
      <c r="R97" s="197"/>
      <c r="S97" s="197">
        <f t="shared" si="52"/>
        <v>0.19120428130130743</v>
      </c>
      <c r="T97" s="198">
        <f t="shared" si="53"/>
        <v>8.8429817157496053</v>
      </c>
      <c r="V97" s="197">
        <f t="shared" si="54"/>
        <v>345.24298171574958</v>
      </c>
      <c r="W97" s="199">
        <f t="shared" si="45"/>
        <v>0</v>
      </c>
      <c r="X97" s="199">
        <f t="shared" si="46"/>
        <v>0</v>
      </c>
      <c r="Y97" s="200">
        <f t="shared" si="47"/>
        <v>0</v>
      </c>
      <c r="AA97" s="201">
        <f t="shared" si="48"/>
        <v>0</v>
      </c>
      <c r="AB97" s="202">
        <f t="shared" si="49"/>
        <v>2.6287103792359101E-2</v>
      </c>
    </row>
    <row r="98" spans="1:28">
      <c r="A98" s="217" t="s">
        <v>338</v>
      </c>
      <c r="B98" s="219"/>
      <c r="C98" s="246">
        <f t="shared" si="57"/>
        <v>0</v>
      </c>
      <c r="D98" s="146">
        <v>20</v>
      </c>
      <c r="F98" s="219">
        <f t="shared" si="29"/>
        <v>0</v>
      </c>
      <c r="G98" s="146">
        <v>52</v>
      </c>
      <c r="H98" s="153">
        <f>C98*D101</f>
        <v>0</v>
      </c>
      <c r="I98" s="220">
        <v>336.4</v>
      </c>
      <c r="J98" s="150">
        <f t="shared" si="38"/>
        <v>0</v>
      </c>
      <c r="K98" s="150">
        <f t="shared" si="39"/>
        <v>0</v>
      </c>
      <c r="L98" s="195">
        <f t="shared" si="40"/>
        <v>2900</v>
      </c>
      <c r="M98" s="147">
        <f t="shared" si="41"/>
        <v>2777.4566402723317</v>
      </c>
      <c r="N98" s="221">
        <f t="shared" si="42"/>
        <v>0</v>
      </c>
      <c r="O98" s="196">
        <f t="shared" si="43"/>
        <v>0</v>
      </c>
      <c r="P98" s="222"/>
      <c r="Q98" s="173">
        <f t="shared" si="44"/>
        <v>8.6517774344482987</v>
      </c>
      <c r="R98" s="197"/>
      <c r="S98" s="197">
        <f t="shared" si="52"/>
        <v>0.19120428130130743</v>
      </c>
      <c r="T98" s="198">
        <f t="shared" si="53"/>
        <v>8.8429817157496053</v>
      </c>
      <c r="V98" s="197">
        <f t="shared" si="54"/>
        <v>345.24298171574958</v>
      </c>
      <c r="W98" s="199">
        <f t="shared" si="45"/>
        <v>0</v>
      </c>
      <c r="X98" s="199">
        <f t="shared" si="46"/>
        <v>0</v>
      </c>
      <c r="Y98" s="200">
        <f t="shared" si="47"/>
        <v>0</v>
      </c>
      <c r="AA98" s="201">
        <f t="shared" si="48"/>
        <v>0</v>
      </c>
      <c r="AB98" s="202">
        <f t="shared" si="49"/>
        <v>2.6287103792359101E-2</v>
      </c>
    </row>
    <row r="99" spans="1:28">
      <c r="A99" s="217" t="s">
        <v>233</v>
      </c>
      <c r="B99" s="219"/>
      <c r="C99" s="246">
        <f t="shared" si="57"/>
        <v>0</v>
      </c>
      <c r="D99" s="146">
        <v>21</v>
      </c>
      <c r="F99" s="219">
        <f t="shared" si="29"/>
        <v>0</v>
      </c>
      <c r="G99" s="146">
        <v>52</v>
      </c>
      <c r="H99" s="153">
        <f>C99*D102</f>
        <v>0</v>
      </c>
      <c r="I99" s="220">
        <v>337.97</v>
      </c>
      <c r="J99" s="150">
        <f t="shared" si="38"/>
        <v>0</v>
      </c>
      <c r="K99" s="150">
        <f t="shared" si="39"/>
        <v>0</v>
      </c>
      <c r="L99" s="195">
        <f t="shared" si="40"/>
        <v>3045</v>
      </c>
      <c r="M99" s="147">
        <f t="shared" si="41"/>
        <v>2916.3294722859482</v>
      </c>
      <c r="N99" s="221">
        <f t="shared" si="42"/>
        <v>0</v>
      </c>
      <c r="O99" s="196">
        <f t="shared" si="43"/>
        <v>0</v>
      </c>
      <c r="P99" s="222"/>
      <c r="Q99" s="173">
        <f t="shared" si="44"/>
        <v>9.0843663061707147</v>
      </c>
      <c r="R99" s="197"/>
      <c r="S99" s="197">
        <f t="shared" si="52"/>
        <v>0.20076449536637281</v>
      </c>
      <c r="T99" s="198">
        <f t="shared" si="53"/>
        <v>9.2851308015370879</v>
      </c>
      <c r="V99" s="197">
        <f t="shared" si="54"/>
        <v>347.25513080153712</v>
      </c>
      <c r="W99" s="199">
        <f t="shared" si="45"/>
        <v>0</v>
      </c>
      <c r="X99" s="199">
        <f t="shared" si="46"/>
        <v>0</v>
      </c>
      <c r="Y99" s="200">
        <f t="shared" si="47"/>
        <v>0</v>
      </c>
      <c r="AA99" s="201">
        <f t="shared" si="48"/>
        <v>0</v>
      </c>
      <c r="AB99" s="202">
        <f t="shared" si="49"/>
        <v>2.7473239641202074E-2</v>
      </c>
    </row>
    <row r="100" spans="1:28">
      <c r="A100" s="217" t="s">
        <v>327</v>
      </c>
      <c r="B100" s="219">
        <f t="shared" si="37"/>
        <v>0.46189376443418012</v>
      </c>
      <c r="C100" s="246">
        <f>H100/12</f>
        <v>2</v>
      </c>
      <c r="D100" s="146">
        <v>21</v>
      </c>
      <c r="F100" s="219">
        <f t="shared" si="29"/>
        <v>0.46189376443418012</v>
      </c>
      <c r="G100" s="146">
        <v>52</v>
      </c>
      <c r="H100" s="152">
        <v>24</v>
      </c>
      <c r="I100" s="220">
        <v>337.97</v>
      </c>
      <c r="J100" s="150">
        <f t="shared" si="38"/>
        <v>675.94</v>
      </c>
      <c r="K100" s="150">
        <f t="shared" si="39"/>
        <v>8111.2800000000007</v>
      </c>
      <c r="L100" s="195">
        <f t="shared" si="40"/>
        <v>3045</v>
      </c>
      <c r="M100" s="147">
        <f t="shared" si="41"/>
        <v>2916.3294722859482</v>
      </c>
      <c r="N100" s="221">
        <f t="shared" si="42"/>
        <v>36.54</v>
      </c>
      <c r="O100" s="196">
        <f t="shared" si="43"/>
        <v>34.995953667431372</v>
      </c>
      <c r="P100" s="222"/>
      <c r="Q100" s="173">
        <f t="shared" si="44"/>
        <v>9.0843663061707147</v>
      </c>
      <c r="R100" s="197"/>
      <c r="S100" s="197">
        <f t="shared" si="52"/>
        <v>0.20076449536637281</v>
      </c>
      <c r="T100" s="198">
        <f t="shared" si="53"/>
        <v>9.2851308015370879</v>
      </c>
      <c r="V100" s="197">
        <f t="shared" si="54"/>
        <v>347.25513080153712</v>
      </c>
      <c r="W100" s="199">
        <f t="shared" si="45"/>
        <v>694.51026160307424</v>
      </c>
      <c r="X100" s="199">
        <f t="shared" si="46"/>
        <v>18.570261603074186</v>
      </c>
      <c r="Y100" s="200">
        <f t="shared" si="47"/>
        <v>222.84313923689024</v>
      </c>
      <c r="AA100" s="201">
        <f t="shared" si="48"/>
        <v>218.0247913480971</v>
      </c>
      <c r="AB100" s="202">
        <f t="shared" si="49"/>
        <v>2.7473239641202074E-2</v>
      </c>
    </row>
    <row r="101" spans="1:28">
      <c r="A101" s="217" t="s">
        <v>234</v>
      </c>
      <c r="B101" s="219"/>
      <c r="C101" s="246">
        <f>H123/12</f>
        <v>0</v>
      </c>
      <c r="D101" s="146">
        <v>30</v>
      </c>
      <c r="F101" s="219">
        <f t="shared" si="29"/>
        <v>0</v>
      </c>
      <c r="G101" s="146">
        <v>52</v>
      </c>
      <c r="H101" s="153">
        <f>C101*D104</f>
        <v>0</v>
      </c>
      <c r="I101" s="220">
        <v>384.11</v>
      </c>
      <c r="J101" s="150">
        <f t="shared" si="38"/>
        <v>0</v>
      </c>
      <c r="K101" s="150">
        <f t="shared" si="39"/>
        <v>0</v>
      </c>
      <c r="L101" s="195">
        <f t="shared" si="40"/>
        <v>4350</v>
      </c>
      <c r="M101" s="147">
        <f t="shared" si="41"/>
        <v>4166.1849604084973</v>
      </c>
      <c r="N101" s="221">
        <f t="shared" si="42"/>
        <v>0</v>
      </c>
      <c r="O101" s="196">
        <f t="shared" si="43"/>
        <v>0</v>
      </c>
      <c r="P101" s="222"/>
      <c r="Q101" s="173">
        <f t="shared" si="44"/>
        <v>12.977666151672448</v>
      </c>
      <c r="R101" s="197"/>
      <c r="S101" s="197">
        <f t="shared" si="52"/>
        <v>0.2868064219519611</v>
      </c>
      <c r="T101" s="198">
        <f t="shared" si="53"/>
        <v>13.26447257362441</v>
      </c>
      <c r="V101" s="197">
        <f t="shared" si="54"/>
        <v>397.37447257362442</v>
      </c>
      <c r="W101" s="199">
        <f t="shared" si="45"/>
        <v>0</v>
      </c>
      <c r="X101" s="199">
        <f t="shared" si="46"/>
        <v>0</v>
      </c>
      <c r="Y101" s="200">
        <f t="shared" si="47"/>
        <v>0</v>
      </c>
      <c r="AA101" s="201">
        <f t="shared" si="48"/>
        <v>0</v>
      </c>
      <c r="AB101" s="202">
        <f t="shared" si="49"/>
        <v>3.4533005060072286E-2</v>
      </c>
    </row>
    <row r="102" spans="1:28">
      <c r="A102" s="217" t="s">
        <v>339</v>
      </c>
      <c r="B102" s="219"/>
      <c r="C102" s="246">
        <f>H124/12</f>
        <v>0</v>
      </c>
      <c r="D102" s="146">
        <v>30</v>
      </c>
      <c r="F102" s="219">
        <f t="shared" si="29"/>
        <v>0</v>
      </c>
      <c r="G102" s="146">
        <v>52</v>
      </c>
      <c r="H102" s="153">
        <f>C102*D105</f>
        <v>0</v>
      </c>
      <c r="I102" s="220">
        <v>384.11</v>
      </c>
      <c r="J102" s="150">
        <f t="shared" si="38"/>
        <v>0</v>
      </c>
      <c r="K102" s="150">
        <f t="shared" si="39"/>
        <v>0</v>
      </c>
      <c r="L102" s="195">
        <f t="shared" si="40"/>
        <v>4350</v>
      </c>
      <c r="M102" s="147">
        <f t="shared" si="41"/>
        <v>4166.1849604084973</v>
      </c>
      <c r="N102" s="221">
        <f t="shared" si="42"/>
        <v>0</v>
      </c>
      <c r="O102" s="196">
        <f t="shared" si="43"/>
        <v>0</v>
      </c>
      <c r="P102" s="222"/>
      <c r="Q102" s="173">
        <f t="shared" si="44"/>
        <v>12.977666151672448</v>
      </c>
      <c r="R102" s="197"/>
      <c r="S102" s="197">
        <f t="shared" si="52"/>
        <v>0.2868064219519611</v>
      </c>
      <c r="T102" s="198">
        <f t="shared" si="53"/>
        <v>13.26447257362441</v>
      </c>
      <c r="V102" s="197">
        <f t="shared" si="54"/>
        <v>397.37447257362442</v>
      </c>
      <c r="W102" s="199">
        <f t="shared" si="45"/>
        <v>0</v>
      </c>
      <c r="X102" s="199">
        <f t="shared" si="46"/>
        <v>0</v>
      </c>
      <c r="Y102" s="200">
        <f t="shared" si="47"/>
        <v>0</v>
      </c>
      <c r="AA102" s="201">
        <f t="shared" si="48"/>
        <v>0</v>
      </c>
      <c r="AB102" s="202">
        <f t="shared" si="49"/>
        <v>3.4533005060072286E-2</v>
      </c>
    </row>
    <row r="103" spans="1:28">
      <c r="A103" s="217" t="s">
        <v>119</v>
      </c>
      <c r="B103" s="219"/>
      <c r="C103" s="246">
        <f>H125/12</f>
        <v>0</v>
      </c>
      <c r="D103" s="146">
        <v>6</v>
      </c>
      <c r="F103" s="219">
        <f t="shared" si="29"/>
        <v>0</v>
      </c>
      <c r="G103" s="146">
        <v>52</v>
      </c>
      <c r="H103" s="153">
        <f>C103*D106</f>
        <v>0</v>
      </c>
      <c r="I103" s="220">
        <v>106.33</v>
      </c>
      <c r="J103" s="150">
        <f t="shared" si="38"/>
        <v>0</v>
      </c>
      <c r="K103" s="150">
        <f t="shared" si="39"/>
        <v>0</v>
      </c>
      <c r="L103" s="195">
        <f t="shared" si="40"/>
        <v>870</v>
      </c>
      <c r="M103" s="147">
        <f t="shared" si="41"/>
        <v>833.23699208169944</v>
      </c>
      <c r="N103" s="221">
        <f t="shared" si="42"/>
        <v>0</v>
      </c>
      <c r="O103" s="196">
        <f t="shared" si="43"/>
        <v>0</v>
      </c>
      <c r="P103" s="222"/>
      <c r="Q103" s="173">
        <f t="shared" si="44"/>
        <v>2.5955332303344893</v>
      </c>
      <c r="R103" s="197"/>
      <c r="S103" s="197">
        <f t="shared" si="52"/>
        <v>5.7361284390392217E-2</v>
      </c>
      <c r="T103" s="198">
        <f t="shared" si="53"/>
        <v>2.6528945147248817</v>
      </c>
      <c r="V103" s="197">
        <f t="shared" si="54"/>
        <v>108.98289451472488</v>
      </c>
      <c r="W103" s="199">
        <f t="shared" si="45"/>
        <v>0</v>
      </c>
      <c r="X103" s="199">
        <f t="shared" si="46"/>
        <v>0</v>
      </c>
      <c r="Y103" s="200">
        <f t="shared" si="47"/>
        <v>0</v>
      </c>
      <c r="AA103" s="201">
        <f t="shared" si="48"/>
        <v>0</v>
      </c>
      <c r="AB103" s="202">
        <f t="shared" si="49"/>
        <v>2.4949633355825007E-2</v>
      </c>
    </row>
    <row r="104" spans="1:28">
      <c r="A104" s="217" t="s">
        <v>120</v>
      </c>
      <c r="B104" s="219">
        <f t="shared" si="37"/>
        <v>28.02155504234026</v>
      </c>
      <c r="C104" s="246">
        <f>H104/12</f>
        <v>121.33333333333333</v>
      </c>
      <c r="D104" s="146">
        <v>6</v>
      </c>
      <c r="F104" s="219">
        <f t="shared" si="29"/>
        <v>28.02155504234026</v>
      </c>
      <c r="G104" s="146">
        <v>52</v>
      </c>
      <c r="H104" s="152">
        <v>1456</v>
      </c>
      <c r="I104" s="220">
        <v>100.52</v>
      </c>
      <c r="J104" s="150">
        <f t="shared" si="38"/>
        <v>12196.426666666666</v>
      </c>
      <c r="K104" s="150">
        <f t="shared" si="39"/>
        <v>146357.12</v>
      </c>
      <c r="L104" s="195">
        <f t="shared" si="40"/>
        <v>870</v>
      </c>
      <c r="M104" s="147">
        <f t="shared" si="41"/>
        <v>833.23699208169944</v>
      </c>
      <c r="N104" s="221">
        <f t="shared" si="42"/>
        <v>633.36</v>
      </c>
      <c r="O104" s="196">
        <f t="shared" si="43"/>
        <v>606.59653023547719</v>
      </c>
      <c r="P104" s="222"/>
      <c r="Q104" s="173">
        <f t="shared" si="44"/>
        <v>2.5955332303344893</v>
      </c>
      <c r="R104" s="197"/>
      <c r="S104" s="197">
        <f t="shared" si="52"/>
        <v>5.7361284390392217E-2</v>
      </c>
      <c r="T104" s="198">
        <f t="shared" si="53"/>
        <v>2.6528945147248817</v>
      </c>
      <c r="V104" s="197">
        <f t="shared" si="54"/>
        <v>103.17289451472487</v>
      </c>
      <c r="W104" s="199">
        <f t="shared" si="45"/>
        <v>12518.31120111995</v>
      </c>
      <c r="X104" s="199">
        <f t="shared" si="46"/>
        <v>321.88453445328378</v>
      </c>
      <c r="Y104" s="200">
        <f t="shared" si="47"/>
        <v>3862.6144134394053</v>
      </c>
      <c r="AA104" s="201">
        <f t="shared" si="48"/>
        <v>3779.0963833670166</v>
      </c>
      <c r="AB104" s="202">
        <f t="shared" si="49"/>
        <v>2.6391708264274616E-2</v>
      </c>
    </row>
    <row r="105" spans="1:28">
      <c r="A105" s="217" t="s">
        <v>121</v>
      </c>
      <c r="B105" s="219"/>
      <c r="C105" s="246">
        <f>H127/12</f>
        <v>0</v>
      </c>
      <c r="D105" s="146">
        <v>6</v>
      </c>
      <c r="F105" s="219">
        <f t="shared" si="29"/>
        <v>0</v>
      </c>
      <c r="G105" s="146">
        <v>52</v>
      </c>
      <c r="H105" s="153">
        <f>C105*D105</f>
        <v>0</v>
      </c>
      <c r="I105" s="220">
        <v>100.52</v>
      </c>
      <c r="J105" s="150">
        <f t="shared" si="38"/>
        <v>0</v>
      </c>
      <c r="K105" s="150">
        <f t="shared" si="39"/>
        <v>0</v>
      </c>
      <c r="L105" s="195">
        <f t="shared" si="40"/>
        <v>870</v>
      </c>
      <c r="M105" s="147">
        <f t="shared" si="41"/>
        <v>833.23699208169944</v>
      </c>
      <c r="N105" s="221">
        <f t="shared" si="42"/>
        <v>0</v>
      </c>
      <c r="O105" s="196">
        <f t="shared" si="43"/>
        <v>0</v>
      </c>
      <c r="P105" s="222"/>
      <c r="Q105" s="173">
        <f t="shared" si="44"/>
        <v>2.5955332303344893</v>
      </c>
      <c r="R105" s="197"/>
      <c r="S105" s="197">
        <f t="shared" si="52"/>
        <v>5.7361284390392217E-2</v>
      </c>
      <c r="T105" s="198">
        <f t="shared" si="53"/>
        <v>2.6528945147248817</v>
      </c>
      <c r="V105" s="197">
        <f t="shared" si="54"/>
        <v>103.17289451472487</v>
      </c>
      <c r="W105" s="199">
        <f t="shared" si="45"/>
        <v>0</v>
      </c>
      <c r="X105" s="199">
        <f t="shared" si="46"/>
        <v>0</v>
      </c>
      <c r="Y105" s="200">
        <f t="shared" si="47"/>
        <v>0</v>
      </c>
      <c r="AA105" s="201">
        <f t="shared" si="48"/>
        <v>0</v>
      </c>
      <c r="AB105" s="202">
        <f t="shared" si="49"/>
        <v>2.6391708264274616E-2</v>
      </c>
    </row>
    <row r="106" spans="1:28">
      <c r="A106" s="217" t="s">
        <v>235</v>
      </c>
      <c r="B106" s="219"/>
      <c r="C106" s="246">
        <f>H128/12</f>
        <v>0</v>
      </c>
      <c r="D106" s="146">
        <v>6</v>
      </c>
      <c r="F106" s="219">
        <f t="shared" si="29"/>
        <v>0</v>
      </c>
      <c r="G106" s="146">
        <v>52</v>
      </c>
      <c r="H106" s="153">
        <f>C106*D106</f>
        <v>0</v>
      </c>
      <c r="I106" s="220">
        <v>100.52</v>
      </c>
      <c r="J106" s="150">
        <f t="shared" si="38"/>
        <v>0</v>
      </c>
      <c r="K106" s="150">
        <f t="shared" si="39"/>
        <v>0</v>
      </c>
      <c r="L106" s="195">
        <f t="shared" si="40"/>
        <v>870</v>
      </c>
      <c r="M106" s="147">
        <f t="shared" si="41"/>
        <v>833.23699208169944</v>
      </c>
      <c r="N106" s="221">
        <f t="shared" si="42"/>
        <v>0</v>
      </c>
      <c r="O106" s="196">
        <f t="shared" si="43"/>
        <v>0</v>
      </c>
      <c r="P106" s="222"/>
      <c r="Q106" s="173">
        <f t="shared" si="44"/>
        <v>2.5955332303344893</v>
      </c>
      <c r="R106" s="197"/>
      <c r="S106" s="197">
        <f t="shared" ref="S106:S129" si="58">Q106*$U$12</f>
        <v>5.7361284390392217E-2</v>
      </c>
      <c r="T106" s="198">
        <f t="shared" ref="T106:T129" si="59">+Q106+S106</f>
        <v>2.6528945147248817</v>
      </c>
      <c r="V106" s="197">
        <f t="shared" ref="V106:V129" si="60">I106+T106</f>
        <v>103.17289451472487</v>
      </c>
      <c r="W106" s="199">
        <f t="shared" si="45"/>
        <v>0</v>
      </c>
      <c r="X106" s="199">
        <f t="shared" si="46"/>
        <v>0</v>
      </c>
      <c r="Y106" s="200">
        <f t="shared" si="47"/>
        <v>0</v>
      </c>
      <c r="AA106" s="201">
        <f t="shared" si="48"/>
        <v>0</v>
      </c>
      <c r="AB106" s="202">
        <f t="shared" si="49"/>
        <v>2.6391708264274616E-2</v>
      </c>
    </row>
    <row r="107" spans="1:28">
      <c r="A107" s="217" t="s">
        <v>236</v>
      </c>
      <c r="B107" s="219"/>
      <c r="C107" s="246">
        <f>H129/12</f>
        <v>0</v>
      </c>
      <c r="D107" s="146">
        <v>6</v>
      </c>
      <c r="F107" s="219">
        <f t="shared" si="29"/>
        <v>0</v>
      </c>
      <c r="G107" s="146">
        <v>52</v>
      </c>
      <c r="H107" s="153">
        <f>C107*D107</f>
        <v>0</v>
      </c>
      <c r="I107" s="220">
        <v>100.52</v>
      </c>
      <c r="J107" s="150">
        <f t="shared" ref="J107:J129" si="61">+C107*I107</f>
        <v>0</v>
      </c>
      <c r="K107" s="150">
        <f t="shared" ref="K107:K129" si="62">J107*12</f>
        <v>0</v>
      </c>
      <c r="L107" s="195">
        <f t="shared" ref="L107:L129" si="63">+D107*L$16</f>
        <v>870</v>
      </c>
      <c r="M107" s="147">
        <f t="shared" ref="M107:M129" si="64">L107*$O$5</f>
        <v>833.23699208169944</v>
      </c>
      <c r="N107" s="221">
        <f t="shared" ref="N107:N129" si="65">ROUND((C107*L107*12)/2000,2)</f>
        <v>0</v>
      </c>
      <c r="O107" s="196">
        <f t="shared" ref="O107:O129" si="66">$O$5*N107</f>
        <v>0</v>
      </c>
      <c r="P107" s="222"/>
      <c r="Q107" s="173">
        <f t="shared" ref="Q107:Q129" si="67">M107*$R$12</f>
        <v>2.5955332303344893</v>
      </c>
      <c r="R107" s="197"/>
      <c r="S107" s="197">
        <f t="shared" si="58"/>
        <v>5.7361284390392217E-2</v>
      </c>
      <c r="T107" s="198">
        <f t="shared" si="59"/>
        <v>2.6528945147248817</v>
      </c>
      <c r="V107" s="197">
        <f t="shared" si="60"/>
        <v>103.17289451472487</v>
      </c>
      <c r="W107" s="199">
        <f t="shared" ref="W107:W129" si="68">C107*V107</f>
        <v>0</v>
      </c>
      <c r="X107" s="199">
        <f t="shared" ref="X107:X129" si="69">W107-J107</f>
        <v>0</v>
      </c>
      <c r="Y107" s="200">
        <f t="shared" ref="Y107:Y129" si="70">X107*12</f>
        <v>0</v>
      </c>
      <c r="AA107" s="201">
        <f t="shared" ref="AA107:AA129" si="71">O107*$R$11</f>
        <v>0</v>
      </c>
      <c r="AB107" s="202">
        <f t="shared" ref="AB107:AB129" si="72">IF(I107=0,"",V107/I107-1)</f>
        <v>2.6391708264274616E-2</v>
      </c>
    </row>
    <row r="108" spans="1:28">
      <c r="A108" s="217" t="s">
        <v>302</v>
      </c>
      <c r="B108" s="219"/>
      <c r="C108" s="246">
        <f>H108/12</f>
        <v>0</v>
      </c>
      <c r="D108" s="146">
        <v>6</v>
      </c>
      <c r="F108" s="219">
        <f t="shared" si="29"/>
        <v>0</v>
      </c>
      <c r="G108" s="146">
        <v>52</v>
      </c>
      <c r="H108" s="152"/>
      <c r="I108" s="220">
        <v>106.33</v>
      </c>
      <c r="J108" s="150">
        <f t="shared" si="61"/>
        <v>0</v>
      </c>
      <c r="K108" s="150">
        <f t="shared" si="62"/>
        <v>0</v>
      </c>
      <c r="L108" s="195">
        <f t="shared" si="63"/>
        <v>870</v>
      </c>
      <c r="M108" s="147">
        <f t="shared" si="64"/>
        <v>833.23699208169944</v>
      </c>
      <c r="N108" s="221">
        <f t="shared" si="65"/>
        <v>0</v>
      </c>
      <c r="O108" s="196">
        <f t="shared" si="66"/>
        <v>0</v>
      </c>
      <c r="P108" s="222"/>
      <c r="Q108" s="173">
        <f t="shared" si="67"/>
        <v>2.5955332303344893</v>
      </c>
      <c r="R108" s="197"/>
      <c r="S108" s="197">
        <f t="shared" si="58"/>
        <v>5.7361284390392217E-2</v>
      </c>
      <c r="T108" s="198">
        <f t="shared" si="59"/>
        <v>2.6528945147248817</v>
      </c>
      <c r="V108" s="197">
        <f t="shared" si="60"/>
        <v>108.98289451472488</v>
      </c>
      <c r="W108" s="199">
        <f t="shared" si="68"/>
        <v>0</v>
      </c>
      <c r="X108" s="199">
        <f t="shared" si="69"/>
        <v>0</v>
      </c>
      <c r="Y108" s="200">
        <f t="shared" si="70"/>
        <v>0</v>
      </c>
      <c r="AA108" s="201">
        <f t="shared" si="71"/>
        <v>0</v>
      </c>
      <c r="AB108" s="202">
        <f t="shared" si="72"/>
        <v>2.4949633355825007E-2</v>
      </c>
    </row>
    <row r="109" spans="1:28">
      <c r="A109" s="217" t="s">
        <v>309</v>
      </c>
      <c r="B109" s="219"/>
      <c r="C109" s="246"/>
      <c r="D109" s="146">
        <v>6</v>
      </c>
      <c r="F109" s="219">
        <f t="shared" si="29"/>
        <v>0</v>
      </c>
      <c r="G109" s="146">
        <v>52</v>
      </c>
      <c r="H109" s="153">
        <f>C109*D109</f>
        <v>0</v>
      </c>
      <c r="I109" s="220">
        <v>106.33</v>
      </c>
      <c r="J109" s="150">
        <f t="shared" si="61"/>
        <v>0</v>
      </c>
      <c r="K109" s="150">
        <f t="shared" si="62"/>
        <v>0</v>
      </c>
      <c r="L109" s="195">
        <f t="shared" si="63"/>
        <v>870</v>
      </c>
      <c r="M109" s="147">
        <f t="shared" si="64"/>
        <v>833.23699208169944</v>
      </c>
      <c r="N109" s="221">
        <f t="shared" si="65"/>
        <v>0</v>
      </c>
      <c r="O109" s="196">
        <f t="shared" si="66"/>
        <v>0</v>
      </c>
      <c r="P109" s="222"/>
      <c r="Q109" s="173">
        <f t="shared" si="67"/>
        <v>2.5955332303344893</v>
      </c>
      <c r="R109" s="197"/>
      <c r="S109" s="197">
        <f t="shared" si="58"/>
        <v>5.7361284390392217E-2</v>
      </c>
      <c r="T109" s="198">
        <f t="shared" si="59"/>
        <v>2.6528945147248817</v>
      </c>
      <c r="V109" s="197">
        <f t="shared" si="60"/>
        <v>108.98289451472488</v>
      </c>
      <c r="W109" s="199">
        <f t="shared" si="68"/>
        <v>0</v>
      </c>
      <c r="X109" s="199">
        <f t="shared" si="69"/>
        <v>0</v>
      </c>
      <c r="Y109" s="200">
        <f t="shared" si="70"/>
        <v>0</v>
      </c>
      <c r="AA109" s="201">
        <f t="shared" si="71"/>
        <v>0</v>
      </c>
      <c r="AB109" s="202">
        <f t="shared" si="72"/>
        <v>2.4949633355825007E-2</v>
      </c>
    </row>
    <row r="110" spans="1:28">
      <c r="A110" s="217" t="s">
        <v>122</v>
      </c>
      <c r="B110" s="219"/>
      <c r="C110" s="246"/>
      <c r="D110" s="146">
        <v>8</v>
      </c>
      <c r="F110" s="219">
        <f t="shared" si="29"/>
        <v>0</v>
      </c>
      <c r="G110" s="146">
        <v>52</v>
      </c>
      <c r="H110" s="153">
        <f>C110*D110</f>
        <v>0</v>
      </c>
      <c r="I110" s="220">
        <v>129.21</v>
      </c>
      <c r="J110" s="150">
        <f t="shared" si="61"/>
        <v>0</v>
      </c>
      <c r="K110" s="150">
        <f t="shared" si="62"/>
        <v>0</v>
      </c>
      <c r="L110" s="195">
        <f t="shared" si="63"/>
        <v>1160</v>
      </c>
      <c r="M110" s="147">
        <f t="shared" si="64"/>
        <v>1110.9826561089326</v>
      </c>
      <c r="N110" s="221">
        <f t="shared" si="65"/>
        <v>0</v>
      </c>
      <c r="O110" s="196">
        <f t="shared" si="66"/>
        <v>0</v>
      </c>
      <c r="P110" s="222"/>
      <c r="Q110" s="173">
        <f t="shared" si="67"/>
        <v>3.4607109737793196</v>
      </c>
      <c r="R110" s="197"/>
      <c r="S110" s="197">
        <f t="shared" si="58"/>
        <v>7.6481712520522965E-2</v>
      </c>
      <c r="T110" s="198">
        <f t="shared" si="59"/>
        <v>3.5371926862998424</v>
      </c>
      <c r="V110" s="197">
        <f t="shared" si="60"/>
        <v>132.74719268629985</v>
      </c>
      <c r="W110" s="199">
        <f t="shared" si="68"/>
        <v>0</v>
      </c>
      <c r="X110" s="199">
        <f t="shared" si="69"/>
        <v>0</v>
      </c>
      <c r="Y110" s="200">
        <f t="shared" si="70"/>
        <v>0</v>
      </c>
      <c r="AA110" s="201">
        <f t="shared" si="71"/>
        <v>0</v>
      </c>
      <c r="AB110" s="202">
        <f t="shared" si="72"/>
        <v>2.7375533521398099E-2</v>
      </c>
    </row>
    <row r="111" spans="1:28">
      <c r="A111" s="217" t="s">
        <v>123</v>
      </c>
      <c r="B111" s="219">
        <f t="shared" ref="B111:B116" si="73">C111/4.33</f>
        <v>23.267898383371826</v>
      </c>
      <c r="C111" s="246">
        <f>H111/12</f>
        <v>100.75</v>
      </c>
      <c r="D111" s="146">
        <v>8</v>
      </c>
      <c r="F111" s="219">
        <f t="shared" si="29"/>
        <v>23.267898383371826</v>
      </c>
      <c r="G111" s="146">
        <v>52</v>
      </c>
      <c r="H111" s="152">
        <v>1209</v>
      </c>
      <c r="I111" s="220">
        <v>126.58</v>
      </c>
      <c r="J111" s="150">
        <f t="shared" si="61"/>
        <v>12752.934999999999</v>
      </c>
      <c r="K111" s="150">
        <f t="shared" si="62"/>
        <v>153035.22</v>
      </c>
      <c r="L111" s="195">
        <f t="shared" si="63"/>
        <v>1160</v>
      </c>
      <c r="M111" s="147">
        <f t="shared" si="64"/>
        <v>1110.9826561089326</v>
      </c>
      <c r="N111" s="221">
        <f t="shared" si="65"/>
        <v>701.22</v>
      </c>
      <c r="O111" s="196">
        <f t="shared" si="66"/>
        <v>671.58901561784978</v>
      </c>
      <c r="P111" s="222"/>
      <c r="Q111" s="173">
        <f t="shared" si="67"/>
        <v>3.4607109737793196</v>
      </c>
      <c r="R111" s="197"/>
      <c r="S111" s="197">
        <f t="shared" si="58"/>
        <v>7.6481712520522965E-2</v>
      </c>
      <c r="T111" s="198">
        <f t="shared" si="59"/>
        <v>3.5371926862998424</v>
      </c>
      <c r="V111" s="197">
        <f t="shared" si="60"/>
        <v>130.11719268629983</v>
      </c>
      <c r="W111" s="199">
        <f t="shared" si="68"/>
        <v>13109.307163144707</v>
      </c>
      <c r="X111" s="199">
        <f t="shared" si="69"/>
        <v>356.37216314470788</v>
      </c>
      <c r="Y111" s="200">
        <f t="shared" si="70"/>
        <v>4276.4659577364946</v>
      </c>
      <c r="AA111" s="201">
        <f t="shared" si="71"/>
        <v>4183.9995672991972</v>
      </c>
      <c r="AB111" s="202">
        <f t="shared" si="72"/>
        <v>2.7944325219622534E-2</v>
      </c>
    </row>
    <row r="112" spans="1:28">
      <c r="A112" s="217" t="s">
        <v>124</v>
      </c>
      <c r="B112" s="219"/>
      <c r="C112" s="246"/>
      <c r="D112" s="146">
        <v>8</v>
      </c>
      <c r="F112" s="219">
        <f t="shared" si="29"/>
        <v>0</v>
      </c>
      <c r="G112" s="146">
        <v>52</v>
      </c>
      <c r="H112" s="153">
        <f>C112*D112</f>
        <v>0</v>
      </c>
      <c r="I112" s="220">
        <v>126.58</v>
      </c>
      <c r="J112" s="150">
        <f t="shared" si="61"/>
        <v>0</v>
      </c>
      <c r="K112" s="150">
        <f t="shared" si="62"/>
        <v>0</v>
      </c>
      <c r="L112" s="195">
        <f t="shared" si="63"/>
        <v>1160</v>
      </c>
      <c r="M112" s="147">
        <f t="shared" si="64"/>
        <v>1110.9826561089326</v>
      </c>
      <c r="N112" s="221">
        <f t="shared" si="65"/>
        <v>0</v>
      </c>
      <c r="O112" s="196">
        <f t="shared" si="66"/>
        <v>0</v>
      </c>
      <c r="P112" s="222"/>
      <c r="Q112" s="173">
        <f t="shared" si="67"/>
        <v>3.4607109737793196</v>
      </c>
      <c r="R112" s="197"/>
      <c r="S112" s="197">
        <f t="shared" si="58"/>
        <v>7.6481712520522965E-2</v>
      </c>
      <c r="T112" s="198">
        <f t="shared" si="59"/>
        <v>3.5371926862998424</v>
      </c>
      <c r="V112" s="197">
        <f t="shared" si="60"/>
        <v>130.11719268629983</v>
      </c>
      <c r="W112" s="199">
        <f t="shared" si="68"/>
        <v>0</v>
      </c>
      <c r="X112" s="199">
        <f t="shared" si="69"/>
        <v>0</v>
      </c>
      <c r="Y112" s="200">
        <f t="shared" si="70"/>
        <v>0</v>
      </c>
      <c r="AA112" s="201">
        <f t="shared" si="71"/>
        <v>0</v>
      </c>
      <c r="AB112" s="202">
        <f t="shared" si="72"/>
        <v>2.7944325219622534E-2</v>
      </c>
    </row>
    <row r="113" spans="1:28">
      <c r="A113" s="217" t="s">
        <v>237</v>
      </c>
      <c r="B113" s="219"/>
      <c r="C113" s="246"/>
      <c r="D113" s="146">
        <v>8</v>
      </c>
      <c r="F113" s="219">
        <f t="shared" si="29"/>
        <v>0</v>
      </c>
      <c r="G113" s="146">
        <v>52</v>
      </c>
      <c r="H113" s="153">
        <f>C113*D113</f>
        <v>0</v>
      </c>
      <c r="I113" s="220">
        <v>126.58</v>
      </c>
      <c r="J113" s="150">
        <f t="shared" si="61"/>
        <v>0</v>
      </c>
      <c r="K113" s="150">
        <f t="shared" si="62"/>
        <v>0</v>
      </c>
      <c r="L113" s="195">
        <f t="shared" si="63"/>
        <v>1160</v>
      </c>
      <c r="M113" s="147">
        <f t="shared" si="64"/>
        <v>1110.9826561089326</v>
      </c>
      <c r="N113" s="221">
        <f t="shared" si="65"/>
        <v>0</v>
      </c>
      <c r="O113" s="196">
        <f t="shared" si="66"/>
        <v>0</v>
      </c>
      <c r="P113" s="222"/>
      <c r="Q113" s="173">
        <f t="shared" si="67"/>
        <v>3.4607109737793196</v>
      </c>
      <c r="R113" s="197"/>
      <c r="S113" s="197">
        <f t="shared" si="58"/>
        <v>7.6481712520522965E-2</v>
      </c>
      <c r="T113" s="198">
        <f t="shared" si="59"/>
        <v>3.5371926862998424</v>
      </c>
      <c r="V113" s="197">
        <f t="shared" si="60"/>
        <v>130.11719268629983</v>
      </c>
      <c r="W113" s="199">
        <f t="shared" si="68"/>
        <v>0</v>
      </c>
      <c r="X113" s="199">
        <f t="shared" si="69"/>
        <v>0</v>
      </c>
      <c r="Y113" s="200">
        <f t="shared" si="70"/>
        <v>0</v>
      </c>
      <c r="AA113" s="201">
        <f t="shared" si="71"/>
        <v>0</v>
      </c>
      <c r="AB113" s="202">
        <f t="shared" si="72"/>
        <v>2.7944325219622534E-2</v>
      </c>
    </row>
    <row r="114" spans="1:28">
      <c r="A114" s="217" t="s">
        <v>238</v>
      </c>
      <c r="B114" s="219"/>
      <c r="C114" s="246"/>
      <c r="D114" s="146">
        <v>8</v>
      </c>
      <c r="F114" s="219">
        <f t="shared" si="29"/>
        <v>0</v>
      </c>
      <c r="G114" s="146">
        <v>52</v>
      </c>
      <c r="H114" s="153">
        <f>C114*D114</f>
        <v>0</v>
      </c>
      <c r="I114" s="220">
        <v>126.58</v>
      </c>
      <c r="J114" s="150">
        <f t="shared" si="61"/>
        <v>0</v>
      </c>
      <c r="K114" s="150">
        <f t="shared" si="62"/>
        <v>0</v>
      </c>
      <c r="L114" s="195">
        <f t="shared" si="63"/>
        <v>1160</v>
      </c>
      <c r="M114" s="147">
        <f t="shared" si="64"/>
        <v>1110.9826561089326</v>
      </c>
      <c r="N114" s="221">
        <f t="shared" si="65"/>
        <v>0</v>
      </c>
      <c r="O114" s="196">
        <f t="shared" si="66"/>
        <v>0</v>
      </c>
      <c r="P114" s="222"/>
      <c r="Q114" s="173">
        <f t="shared" si="67"/>
        <v>3.4607109737793196</v>
      </c>
      <c r="R114" s="197"/>
      <c r="S114" s="197">
        <f t="shared" si="58"/>
        <v>7.6481712520522965E-2</v>
      </c>
      <c r="T114" s="198">
        <f t="shared" si="59"/>
        <v>3.5371926862998424</v>
      </c>
      <c r="V114" s="197">
        <f t="shared" si="60"/>
        <v>130.11719268629983</v>
      </c>
      <c r="W114" s="199">
        <f t="shared" si="68"/>
        <v>0</v>
      </c>
      <c r="X114" s="199">
        <f t="shared" si="69"/>
        <v>0</v>
      </c>
      <c r="Y114" s="200">
        <f t="shared" si="70"/>
        <v>0</v>
      </c>
      <c r="AA114" s="201">
        <f t="shared" si="71"/>
        <v>0</v>
      </c>
      <c r="AB114" s="202">
        <f t="shared" si="72"/>
        <v>2.7944325219622534E-2</v>
      </c>
    </row>
    <row r="115" spans="1:28">
      <c r="A115" s="217" t="s">
        <v>239</v>
      </c>
      <c r="B115" s="219"/>
      <c r="C115" s="246"/>
      <c r="D115" s="146">
        <v>8</v>
      </c>
      <c r="F115" s="219">
        <f t="shared" si="29"/>
        <v>0</v>
      </c>
      <c r="G115" s="146">
        <v>52</v>
      </c>
      <c r="H115" s="153">
        <f>C115*D115</f>
        <v>0</v>
      </c>
      <c r="I115" s="220">
        <v>126.58</v>
      </c>
      <c r="J115" s="150">
        <f t="shared" si="61"/>
        <v>0</v>
      </c>
      <c r="K115" s="150">
        <f t="shared" si="62"/>
        <v>0</v>
      </c>
      <c r="L115" s="195">
        <f t="shared" si="63"/>
        <v>1160</v>
      </c>
      <c r="M115" s="147">
        <f t="shared" si="64"/>
        <v>1110.9826561089326</v>
      </c>
      <c r="N115" s="221">
        <f t="shared" si="65"/>
        <v>0</v>
      </c>
      <c r="O115" s="196">
        <f t="shared" si="66"/>
        <v>0</v>
      </c>
      <c r="P115" s="222"/>
      <c r="Q115" s="173">
        <f t="shared" si="67"/>
        <v>3.4607109737793196</v>
      </c>
      <c r="R115" s="197"/>
      <c r="S115" s="197">
        <f t="shared" si="58"/>
        <v>7.6481712520522965E-2</v>
      </c>
      <c r="T115" s="198">
        <f t="shared" si="59"/>
        <v>3.5371926862998424</v>
      </c>
      <c r="V115" s="197">
        <f t="shared" si="60"/>
        <v>130.11719268629983</v>
      </c>
      <c r="W115" s="199">
        <f t="shared" si="68"/>
        <v>0</v>
      </c>
      <c r="X115" s="199">
        <f t="shared" si="69"/>
        <v>0</v>
      </c>
      <c r="Y115" s="200">
        <f t="shared" si="70"/>
        <v>0</v>
      </c>
      <c r="AA115" s="201">
        <f t="shared" si="71"/>
        <v>0</v>
      </c>
      <c r="AB115" s="202">
        <f t="shared" si="72"/>
        <v>2.7944325219622534E-2</v>
      </c>
    </row>
    <row r="116" spans="1:28">
      <c r="A116" s="217" t="s">
        <v>303</v>
      </c>
      <c r="B116" s="219">
        <f t="shared" si="73"/>
        <v>1.3856812933025404</v>
      </c>
      <c r="C116" s="246">
        <f>H116/12</f>
        <v>6</v>
      </c>
      <c r="D116" s="146">
        <v>8</v>
      </c>
      <c r="F116" s="219">
        <f t="shared" si="29"/>
        <v>1.3856812933025404</v>
      </c>
      <c r="G116" s="146">
        <v>52</v>
      </c>
      <c r="H116" s="152">
        <v>72</v>
      </c>
      <c r="I116" s="220">
        <v>129.21</v>
      </c>
      <c r="J116" s="150">
        <f t="shared" si="61"/>
        <v>775.26</v>
      </c>
      <c r="K116" s="150">
        <f t="shared" si="62"/>
        <v>9303.119999999999</v>
      </c>
      <c r="L116" s="195">
        <f t="shared" si="63"/>
        <v>1160</v>
      </c>
      <c r="M116" s="147">
        <f t="shared" si="64"/>
        <v>1110.9826561089326</v>
      </c>
      <c r="N116" s="221">
        <f t="shared" si="65"/>
        <v>41.76</v>
      </c>
      <c r="O116" s="196">
        <f t="shared" si="66"/>
        <v>39.995375619921575</v>
      </c>
      <c r="P116" s="222"/>
      <c r="Q116" s="173">
        <f t="shared" si="67"/>
        <v>3.4607109737793196</v>
      </c>
      <c r="R116" s="197"/>
      <c r="S116" s="197">
        <f t="shared" si="58"/>
        <v>7.6481712520522965E-2</v>
      </c>
      <c r="T116" s="198">
        <f t="shared" si="59"/>
        <v>3.5371926862998424</v>
      </c>
      <c r="V116" s="197">
        <f t="shared" si="60"/>
        <v>132.74719268629985</v>
      </c>
      <c r="W116" s="199">
        <f t="shared" si="68"/>
        <v>796.48315611779913</v>
      </c>
      <c r="X116" s="199">
        <f t="shared" si="69"/>
        <v>21.223156117799135</v>
      </c>
      <c r="Y116" s="200">
        <f t="shared" si="70"/>
        <v>254.67787341358962</v>
      </c>
      <c r="AA116" s="201">
        <f t="shared" si="71"/>
        <v>249.17119011211099</v>
      </c>
      <c r="AB116" s="202">
        <f t="shared" si="72"/>
        <v>2.7375533521398099E-2</v>
      </c>
    </row>
    <row r="117" spans="1:28">
      <c r="A117" s="217" t="s">
        <v>310</v>
      </c>
      <c r="B117" s="219"/>
      <c r="C117" s="246"/>
      <c r="D117" s="146">
        <v>8</v>
      </c>
      <c r="F117" s="219">
        <f t="shared" si="29"/>
        <v>0</v>
      </c>
      <c r="G117" s="146">
        <v>52</v>
      </c>
      <c r="H117" s="153">
        <f t="shared" ref="H117:H129" si="74">C117*D117</f>
        <v>0</v>
      </c>
      <c r="I117" s="220">
        <v>129.21</v>
      </c>
      <c r="J117" s="150">
        <f t="shared" si="61"/>
        <v>0</v>
      </c>
      <c r="K117" s="150">
        <f t="shared" si="62"/>
        <v>0</v>
      </c>
      <c r="L117" s="195">
        <f t="shared" si="63"/>
        <v>1160</v>
      </c>
      <c r="M117" s="147">
        <f t="shared" si="64"/>
        <v>1110.9826561089326</v>
      </c>
      <c r="N117" s="221">
        <f t="shared" si="65"/>
        <v>0</v>
      </c>
      <c r="O117" s="196">
        <f t="shared" si="66"/>
        <v>0</v>
      </c>
      <c r="P117" s="222"/>
      <c r="Q117" s="173">
        <f t="shared" si="67"/>
        <v>3.4607109737793196</v>
      </c>
      <c r="R117" s="197"/>
      <c r="S117" s="197">
        <f t="shared" si="58"/>
        <v>7.6481712520522965E-2</v>
      </c>
      <c r="T117" s="198">
        <f t="shared" si="59"/>
        <v>3.5371926862998424</v>
      </c>
      <c r="V117" s="197">
        <f t="shared" si="60"/>
        <v>132.74719268629985</v>
      </c>
      <c r="W117" s="199">
        <f t="shared" si="68"/>
        <v>0</v>
      </c>
      <c r="X117" s="199">
        <f t="shared" si="69"/>
        <v>0</v>
      </c>
      <c r="Y117" s="200">
        <f t="shared" si="70"/>
        <v>0</v>
      </c>
      <c r="AA117" s="201">
        <f t="shared" si="71"/>
        <v>0</v>
      </c>
      <c r="AB117" s="202">
        <f t="shared" si="72"/>
        <v>2.7375533521398099E-2</v>
      </c>
    </row>
    <row r="118" spans="1:28">
      <c r="A118" s="144" t="s">
        <v>32</v>
      </c>
      <c r="B118" s="219"/>
      <c r="C118" s="246"/>
      <c r="D118" s="146">
        <v>1</v>
      </c>
      <c r="F118" s="219">
        <f t="shared" si="29"/>
        <v>0</v>
      </c>
      <c r="G118" s="146">
        <v>12</v>
      </c>
      <c r="H118" s="153">
        <f t="shared" si="74"/>
        <v>0</v>
      </c>
      <c r="I118" s="143">
        <v>14.32</v>
      </c>
      <c r="J118" s="150">
        <f t="shared" si="61"/>
        <v>0</v>
      </c>
      <c r="K118" s="150">
        <f t="shared" si="62"/>
        <v>0</v>
      </c>
      <c r="L118" s="195">
        <f t="shared" si="63"/>
        <v>145</v>
      </c>
      <c r="M118" s="147">
        <f t="shared" si="64"/>
        <v>138.87283201361657</v>
      </c>
      <c r="N118" s="221">
        <f t="shared" si="65"/>
        <v>0</v>
      </c>
      <c r="O118" s="196">
        <f t="shared" si="66"/>
        <v>0</v>
      </c>
      <c r="P118" s="222"/>
      <c r="Q118" s="173">
        <f t="shared" si="67"/>
        <v>0.43258887172241495</v>
      </c>
      <c r="R118" s="197"/>
      <c r="S118" s="197">
        <f t="shared" si="58"/>
        <v>9.5602140650653707E-3</v>
      </c>
      <c r="T118" s="198">
        <f t="shared" si="59"/>
        <v>0.4421490857874803</v>
      </c>
      <c r="V118" s="197">
        <f t="shared" si="60"/>
        <v>14.762149085787481</v>
      </c>
      <c r="W118" s="199">
        <f t="shared" si="68"/>
        <v>0</v>
      </c>
      <c r="X118" s="199">
        <f t="shared" si="69"/>
        <v>0</v>
      </c>
      <c r="Y118" s="200">
        <f t="shared" si="70"/>
        <v>0</v>
      </c>
      <c r="AA118" s="201">
        <f t="shared" si="71"/>
        <v>0</v>
      </c>
      <c r="AB118" s="202">
        <f t="shared" si="72"/>
        <v>3.0876332806388351E-2</v>
      </c>
    </row>
    <row r="119" spans="1:28">
      <c r="A119" s="217" t="s">
        <v>240</v>
      </c>
      <c r="B119" s="219"/>
      <c r="C119" s="246"/>
      <c r="D119" s="146">
        <v>1</v>
      </c>
      <c r="F119" s="219">
        <f t="shared" si="29"/>
        <v>0</v>
      </c>
      <c r="G119" s="146">
        <v>12</v>
      </c>
      <c r="H119" s="153">
        <f t="shared" si="74"/>
        <v>0</v>
      </c>
      <c r="I119" s="220"/>
      <c r="J119" s="150">
        <f t="shared" si="61"/>
        <v>0</v>
      </c>
      <c r="K119" s="150">
        <f t="shared" si="62"/>
        <v>0</v>
      </c>
      <c r="L119" s="195">
        <f t="shared" si="63"/>
        <v>145</v>
      </c>
      <c r="M119" s="147">
        <f t="shared" si="64"/>
        <v>138.87283201361657</v>
      </c>
      <c r="N119" s="221">
        <f t="shared" si="65"/>
        <v>0</v>
      </c>
      <c r="O119" s="196">
        <f t="shared" si="66"/>
        <v>0</v>
      </c>
      <c r="P119" s="222"/>
      <c r="Q119" s="173">
        <f t="shared" si="67"/>
        <v>0.43258887172241495</v>
      </c>
      <c r="R119" s="197"/>
      <c r="S119" s="197">
        <f t="shared" si="58"/>
        <v>9.5602140650653707E-3</v>
      </c>
      <c r="T119" s="198">
        <f t="shared" si="59"/>
        <v>0.4421490857874803</v>
      </c>
      <c r="V119" s="197">
        <f t="shared" si="60"/>
        <v>0.4421490857874803</v>
      </c>
      <c r="W119" s="199">
        <f t="shared" si="68"/>
        <v>0</v>
      </c>
      <c r="X119" s="199">
        <f t="shared" si="69"/>
        <v>0</v>
      </c>
      <c r="Y119" s="200">
        <f t="shared" si="70"/>
        <v>0</v>
      </c>
      <c r="AA119" s="201">
        <f t="shared" si="71"/>
        <v>0</v>
      </c>
      <c r="AB119" s="202" t="str">
        <f t="shared" si="72"/>
        <v/>
      </c>
    </row>
    <row r="120" spans="1:28">
      <c r="A120" s="217" t="s">
        <v>241</v>
      </c>
      <c r="B120" s="219"/>
      <c r="C120" s="246"/>
      <c r="D120" s="146">
        <v>1</v>
      </c>
      <c r="F120" s="219">
        <f t="shared" si="29"/>
        <v>0</v>
      </c>
      <c r="G120" s="146">
        <v>12</v>
      </c>
      <c r="H120" s="153">
        <f t="shared" si="74"/>
        <v>0</v>
      </c>
      <c r="I120" s="220"/>
      <c r="J120" s="150">
        <f t="shared" si="61"/>
        <v>0</v>
      </c>
      <c r="K120" s="150">
        <f t="shared" si="62"/>
        <v>0</v>
      </c>
      <c r="L120" s="195">
        <f t="shared" si="63"/>
        <v>145</v>
      </c>
      <c r="M120" s="147">
        <f t="shared" si="64"/>
        <v>138.87283201361657</v>
      </c>
      <c r="N120" s="221">
        <f t="shared" si="65"/>
        <v>0</v>
      </c>
      <c r="O120" s="196">
        <f t="shared" si="66"/>
        <v>0</v>
      </c>
      <c r="P120" s="222"/>
      <c r="Q120" s="173">
        <f t="shared" si="67"/>
        <v>0.43258887172241495</v>
      </c>
      <c r="R120" s="197"/>
      <c r="S120" s="197">
        <f t="shared" si="58"/>
        <v>9.5602140650653707E-3</v>
      </c>
      <c r="T120" s="198">
        <f t="shared" si="59"/>
        <v>0.4421490857874803</v>
      </c>
      <c r="V120" s="197">
        <f t="shared" si="60"/>
        <v>0.4421490857874803</v>
      </c>
      <c r="W120" s="199">
        <f t="shared" si="68"/>
        <v>0</v>
      </c>
      <c r="X120" s="199">
        <f t="shared" si="69"/>
        <v>0</v>
      </c>
      <c r="Y120" s="200">
        <f t="shared" si="70"/>
        <v>0</v>
      </c>
      <c r="AA120" s="201">
        <f t="shared" si="71"/>
        <v>0</v>
      </c>
      <c r="AB120" s="202" t="str">
        <f t="shared" si="72"/>
        <v/>
      </c>
    </row>
    <row r="121" spans="1:28">
      <c r="A121" s="217" t="s">
        <v>242</v>
      </c>
      <c r="B121" s="219"/>
      <c r="C121" s="246"/>
      <c r="D121" s="146">
        <v>1</v>
      </c>
      <c r="F121" s="219">
        <f t="shared" si="29"/>
        <v>0</v>
      </c>
      <c r="G121" s="146">
        <v>12</v>
      </c>
      <c r="H121" s="153">
        <f t="shared" si="74"/>
        <v>0</v>
      </c>
      <c r="I121" s="220"/>
      <c r="J121" s="150">
        <f t="shared" si="61"/>
        <v>0</v>
      </c>
      <c r="K121" s="150">
        <f t="shared" si="62"/>
        <v>0</v>
      </c>
      <c r="L121" s="195">
        <f t="shared" si="63"/>
        <v>145</v>
      </c>
      <c r="M121" s="147">
        <f t="shared" si="64"/>
        <v>138.87283201361657</v>
      </c>
      <c r="N121" s="221">
        <f t="shared" si="65"/>
        <v>0</v>
      </c>
      <c r="O121" s="196">
        <f t="shared" si="66"/>
        <v>0</v>
      </c>
      <c r="P121" s="222"/>
      <c r="Q121" s="173">
        <f t="shared" si="67"/>
        <v>0.43258887172241495</v>
      </c>
      <c r="R121" s="197"/>
      <c r="S121" s="197">
        <f t="shared" si="58"/>
        <v>9.5602140650653707E-3</v>
      </c>
      <c r="T121" s="198">
        <f t="shared" si="59"/>
        <v>0.4421490857874803</v>
      </c>
      <c r="V121" s="197">
        <f t="shared" si="60"/>
        <v>0.4421490857874803</v>
      </c>
      <c r="W121" s="199">
        <f t="shared" si="68"/>
        <v>0</v>
      </c>
      <c r="X121" s="199">
        <f t="shared" si="69"/>
        <v>0</v>
      </c>
      <c r="Y121" s="200">
        <f t="shared" si="70"/>
        <v>0</v>
      </c>
      <c r="AA121" s="201">
        <f t="shared" si="71"/>
        <v>0</v>
      </c>
      <c r="AB121" s="202" t="str">
        <f t="shared" si="72"/>
        <v/>
      </c>
    </row>
    <row r="122" spans="1:28">
      <c r="A122" s="217" t="s">
        <v>243</v>
      </c>
      <c r="B122" s="219"/>
      <c r="C122" s="246"/>
      <c r="D122" s="146">
        <v>1</v>
      </c>
      <c r="F122" s="219">
        <f t="shared" si="29"/>
        <v>0</v>
      </c>
      <c r="G122" s="146">
        <v>12</v>
      </c>
      <c r="H122" s="153">
        <f t="shared" si="74"/>
        <v>0</v>
      </c>
      <c r="I122" s="220"/>
      <c r="J122" s="150">
        <f t="shared" si="61"/>
        <v>0</v>
      </c>
      <c r="K122" s="150">
        <f t="shared" si="62"/>
        <v>0</v>
      </c>
      <c r="L122" s="195">
        <f t="shared" si="63"/>
        <v>145</v>
      </c>
      <c r="M122" s="147">
        <f t="shared" si="64"/>
        <v>138.87283201361657</v>
      </c>
      <c r="N122" s="221">
        <f t="shared" si="65"/>
        <v>0</v>
      </c>
      <c r="O122" s="196">
        <f t="shared" si="66"/>
        <v>0</v>
      </c>
      <c r="P122" s="222"/>
      <c r="Q122" s="173">
        <f t="shared" si="67"/>
        <v>0.43258887172241495</v>
      </c>
      <c r="R122" s="197"/>
      <c r="S122" s="197">
        <f t="shared" si="58"/>
        <v>9.5602140650653707E-3</v>
      </c>
      <c r="T122" s="198">
        <f t="shared" si="59"/>
        <v>0.4421490857874803</v>
      </c>
      <c r="V122" s="197">
        <f t="shared" si="60"/>
        <v>0.4421490857874803</v>
      </c>
      <c r="W122" s="199">
        <f t="shared" si="68"/>
        <v>0</v>
      </c>
      <c r="X122" s="199">
        <f t="shared" si="69"/>
        <v>0</v>
      </c>
      <c r="Y122" s="200">
        <f t="shared" si="70"/>
        <v>0</v>
      </c>
      <c r="AA122" s="201">
        <f t="shared" si="71"/>
        <v>0</v>
      </c>
      <c r="AB122" s="202" t="str">
        <f t="shared" si="72"/>
        <v/>
      </c>
    </row>
    <row r="123" spans="1:28">
      <c r="A123" s="217" t="s">
        <v>265</v>
      </c>
      <c r="B123" s="219"/>
      <c r="C123" s="246"/>
      <c r="D123" s="296">
        <v>1</v>
      </c>
      <c r="F123" s="219">
        <f t="shared" si="29"/>
        <v>0</v>
      </c>
      <c r="G123" s="146">
        <v>12</v>
      </c>
      <c r="H123" s="153">
        <f t="shared" si="74"/>
        <v>0</v>
      </c>
      <c r="I123" s="220"/>
      <c r="J123" s="150">
        <f t="shared" si="61"/>
        <v>0</v>
      </c>
      <c r="K123" s="150">
        <f t="shared" si="62"/>
        <v>0</v>
      </c>
      <c r="L123" s="195">
        <f t="shared" si="63"/>
        <v>145</v>
      </c>
      <c r="M123" s="147">
        <f t="shared" si="64"/>
        <v>138.87283201361657</v>
      </c>
      <c r="N123" s="221">
        <f t="shared" si="65"/>
        <v>0</v>
      </c>
      <c r="O123" s="196">
        <f t="shared" si="66"/>
        <v>0</v>
      </c>
      <c r="P123" s="222"/>
      <c r="Q123" s="173">
        <f t="shared" si="67"/>
        <v>0.43258887172241495</v>
      </c>
      <c r="R123" s="197"/>
      <c r="S123" s="197">
        <f t="shared" si="58"/>
        <v>9.5602140650653707E-3</v>
      </c>
      <c r="T123" s="198">
        <f t="shared" si="59"/>
        <v>0.4421490857874803</v>
      </c>
      <c r="V123" s="197">
        <f t="shared" si="60"/>
        <v>0.4421490857874803</v>
      </c>
      <c r="W123" s="199">
        <f t="shared" si="68"/>
        <v>0</v>
      </c>
      <c r="X123" s="199">
        <f t="shared" si="69"/>
        <v>0</v>
      </c>
      <c r="Y123" s="200">
        <f t="shared" si="70"/>
        <v>0</v>
      </c>
      <c r="AA123" s="201">
        <f t="shared" si="71"/>
        <v>0</v>
      </c>
      <c r="AB123" s="202" t="str">
        <f t="shared" si="72"/>
        <v/>
      </c>
    </row>
    <row r="124" spans="1:28">
      <c r="A124" s="217" t="s">
        <v>265</v>
      </c>
      <c r="B124" s="219"/>
      <c r="C124" s="246"/>
      <c r="D124" s="146">
        <v>1</v>
      </c>
      <c r="F124" s="219">
        <f t="shared" si="29"/>
        <v>0</v>
      </c>
      <c r="G124" s="146">
        <v>12</v>
      </c>
      <c r="H124" s="153">
        <f t="shared" si="74"/>
        <v>0</v>
      </c>
      <c r="I124" s="220"/>
      <c r="J124" s="150">
        <f t="shared" si="61"/>
        <v>0</v>
      </c>
      <c r="K124" s="150">
        <f t="shared" si="62"/>
        <v>0</v>
      </c>
      <c r="L124" s="195">
        <f t="shared" si="63"/>
        <v>145</v>
      </c>
      <c r="M124" s="147">
        <f t="shared" si="64"/>
        <v>138.87283201361657</v>
      </c>
      <c r="N124" s="221">
        <f t="shared" si="65"/>
        <v>0</v>
      </c>
      <c r="O124" s="196">
        <f t="shared" si="66"/>
        <v>0</v>
      </c>
      <c r="P124" s="222"/>
      <c r="Q124" s="173">
        <f t="shared" si="67"/>
        <v>0.43258887172241495</v>
      </c>
      <c r="R124" s="197"/>
      <c r="S124" s="197">
        <f t="shared" si="58"/>
        <v>9.5602140650653707E-3</v>
      </c>
      <c r="T124" s="198">
        <f t="shared" si="59"/>
        <v>0.4421490857874803</v>
      </c>
      <c r="V124" s="197">
        <f t="shared" si="60"/>
        <v>0.4421490857874803</v>
      </c>
      <c r="W124" s="199">
        <f t="shared" si="68"/>
        <v>0</v>
      </c>
      <c r="X124" s="199">
        <f t="shared" si="69"/>
        <v>0</v>
      </c>
      <c r="Y124" s="200">
        <f t="shared" si="70"/>
        <v>0</v>
      </c>
      <c r="AA124" s="201">
        <f t="shared" si="71"/>
        <v>0</v>
      </c>
      <c r="AB124" s="202" t="str">
        <f t="shared" si="72"/>
        <v/>
      </c>
    </row>
    <row r="125" spans="1:28">
      <c r="A125" s="217" t="s">
        <v>245</v>
      </c>
      <c r="B125" s="219"/>
      <c r="C125" s="246"/>
      <c r="D125" s="146">
        <v>1</v>
      </c>
      <c r="F125" s="219">
        <f t="shared" si="29"/>
        <v>0</v>
      </c>
      <c r="G125" s="146">
        <v>12</v>
      </c>
      <c r="H125" s="153">
        <f t="shared" si="74"/>
        <v>0</v>
      </c>
      <c r="I125" s="220"/>
      <c r="J125" s="150">
        <f t="shared" si="61"/>
        <v>0</v>
      </c>
      <c r="K125" s="150">
        <f t="shared" si="62"/>
        <v>0</v>
      </c>
      <c r="L125" s="195">
        <f t="shared" si="63"/>
        <v>145</v>
      </c>
      <c r="M125" s="147">
        <f t="shared" si="64"/>
        <v>138.87283201361657</v>
      </c>
      <c r="N125" s="221">
        <f t="shared" si="65"/>
        <v>0</v>
      </c>
      <c r="O125" s="196">
        <f t="shared" si="66"/>
        <v>0</v>
      </c>
      <c r="P125" s="222"/>
      <c r="Q125" s="173">
        <f t="shared" si="67"/>
        <v>0.43258887172241495</v>
      </c>
      <c r="R125" s="197"/>
      <c r="S125" s="197">
        <f t="shared" si="58"/>
        <v>9.5602140650653707E-3</v>
      </c>
      <c r="T125" s="198">
        <f t="shared" si="59"/>
        <v>0.4421490857874803</v>
      </c>
      <c r="V125" s="197">
        <f t="shared" si="60"/>
        <v>0.4421490857874803</v>
      </c>
      <c r="W125" s="199">
        <f t="shared" si="68"/>
        <v>0</v>
      </c>
      <c r="X125" s="199">
        <f t="shared" si="69"/>
        <v>0</v>
      </c>
      <c r="Y125" s="200">
        <f t="shared" si="70"/>
        <v>0</v>
      </c>
      <c r="AA125" s="201">
        <f t="shared" si="71"/>
        <v>0</v>
      </c>
      <c r="AB125" s="202" t="str">
        <f t="shared" si="72"/>
        <v/>
      </c>
    </row>
    <row r="126" spans="1:28">
      <c r="A126" s="217" t="s">
        <v>246</v>
      </c>
      <c r="B126" s="219"/>
      <c r="C126" s="246"/>
      <c r="D126" s="146">
        <v>1</v>
      </c>
      <c r="F126" s="219">
        <f t="shared" si="29"/>
        <v>0</v>
      </c>
      <c r="G126" s="146">
        <v>12</v>
      </c>
      <c r="H126" s="153">
        <f t="shared" si="74"/>
        <v>0</v>
      </c>
      <c r="I126" s="220"/>
      <c r="J126" s="150">
        <f t="shared" si="61"/>
        <v>0</v>
      </c>
      <c r="K126" s="150">
        <f t="shared" si="62"/>
        <v>0</v>
      </c>
      <c r="L126" s="195">
        <f t="shared" si="63"/>
        <v>145</v>
      </c>
      <c r="M126" s="147">
        <f t="shared" si="64"/>
        <v>138.87283201361657</v>
      </c>
      <c r="N126" s="221">
        <f t="shared" si="65"/>
        <v>0</v>
      </c>
      <c r="O126" s="196">
        <f t="shared" si="66"/>
        <v>0</v>
      </c>
      <c r="P126" s="222"/>
      <c r="Q126" s="173">
        <f t="shared" si="67"/>
        <v>0.43258887172241495</v>
      </c>
      <c r="R126" s="197"/>
      <c r="S126" s="197">
        <f t="shared" si="58"/>
        <v>9.5602140650653707E-3</v>
      </c>
      <c r="T126" s="198">
        <f t="shared" si="59"/>
        <v>0.4421490857874803</v>
      </c>
      <c r="V126" s="197">
        <f t="shared" si="60"/>
        <v>0.4421490857874803</v>
      </c>
      <c r="W126" s="199">
        <f t="shared" si="68"/>
        <v>0</v>
      </c>
      <c r="X126" s="199">
        <f t="shared" si="69"/>
        <v>0</v>
      </c>
      <c r="Y126" s="200">
        <f t="shared" si="70"/>
        <v>0</v>
      </c>
      <c r="AA126" s="201">
        <f t="shared" si="71"/>
        <v>0</v>
      </c>
      <c r="AB126" s="202" t="str">
        <f t="shared" si="72"/>
        <v/>
      </c>
    </row>
    <row r="127" spans="1:28">
      <c r="A127" s="217" t="s">
        <v>247</v>
      </c>
      <c r="B127" s="219"/>
      <c r="C127" s="246"/>
      <c r="D127" s="146">
        <v>1</v>
      </c>
      <c r="F127" s="219">
        <f t="shared" si="29"/>
        <v>0</v>
      </c>
      <c r="G127" s="146">
        <v>12</v>
      </c>
      <c r="H127" s="153">
        <f t="shared" si="74"/>
        <v>0</v>
      </c>
      <c r="I127" s="220"/>
      <c r="J127" s="150">
        <f t="shared" si="61"/>
        <v>0</v>
      </c>
      <c r="K127" s="150">
        <f t="shared" si="62"/>
        <v>0</v>
      </c>
      <c r="L127" s="195">
        <f t="shared" si="63"/>
        <v>145</v>
      </c>
      <c r="M127" s="147">
        <f t="shared" si="64"/>
        <v>138.87283201361657</v>
      </c>
      <c r="N127" s="221">
        <f t="shared" si="65"/>
        <v>0</v>
      </c>
      <c r="O127" s="196">
        <f t="shared" si="66"/>
        <v>0</v>
      </c>
      <c r="P127" s="222"/>
      <c r="Q127" s="173">
        <f t="shared" si="67"/>
        <v>0.43258887172241495</v>
      </c>
      <c r="R127" s="197"/>
      <c r="S127" s="197">
        <f t="shared" si="58"/>
        <v>9.5602140650653707E-3</v>
      </c>
      <c r="T127" s="198">
        <f t="shared" si="59"/>
        <v>0.4421490857874803</v>
      </c>
      <c r="V127" s="197">
        <f t="shared" si="60"/>
        <v>0.4421490857874803</v>
      </c>
      <c r="W127" s="199">
        <f t="shared" si="68"/>
        <v>0</v>
      </c>
      <c r="X127" s="199">
        <f t="shared" si="69"/>
        <v>0</v>
      </c>
      <c r="Y127" s="200">
        <f t="shared" si="70"/>
        <v>0</v>
      </c>
      <c r="AA127" s="201">
        <f t="shared" si="71"/>
        <v>0</v>
      </c>
      <c r="AB127" s="202" t="str">
        <f t="shared" si="72"/>
        <v/>
      </c>
    </row>
    <row r="128" spans="1:28">
      <c r="A128" s="217" t="s">
        <v>248</v>
      </c>
      <c r="B128" s="219"/>
      <c r="C128" s="246"/>
      <c r="D128" s="146">
        <v>1</v>
      </c>
      <c r="F128" s="219">
        <f t="shared" si="29"/>
        <v>0</v>
      </c>
      <c r="G128" s="146">
        <v>12</v>
      </c>
      <c r="H128" s="153">
        <f t="shared" si="74"/>
        <v>0</v>
      </c>
      <c r="I128" s="220"/>
      <c r="J128" s="150">
        <f t="shared" si="61"/>
        <v>0</v>
      </c>
      <c r="K128" s="150">
        <f t="shared" si="62"/>
        <v>0</v>
      </c>
      <c r="L128" s="195">
        <f t="shared" si="63"/>
        <v>145</v>
      </c>
      <c r="M128" s="147">
        <f t="shared" si="64"/>
        <v>138.87283201361657</v>
      </c>
      <c r="N128" s="221">
        <f t="shared" si="65"/>
        <v>0</v>
      </c>
      <c r="O128" s="196">
        <f t="shared" si="66"/>
        <v>0</v>
      </c>
      <c r="P128" s="222"/>
      <c r="Q128" s="173">
        <f t="shared" si="67"/>
        <v>0.43258887172241495</v>
      </c>
      <c r="R128" s="197"/>
      <c r="S128" s="197">
        <f t="shared" si="58"/>
        <v>9.5602140650653707E-3</v>
      </c>
      <c r="T128" s="198">
        <f t="shared" si="59"/>
        <v>0.4421490857874803</v>
      </c>
      <c r="V128" s="197">
        <f t="shared" si="60"/>
        <v>0.4421490857874803</v>
      </c>
      <c r="W128" s="199">
        <f t="shared" si="68"/>
        <v>0</v>
      </c>
      <c r="X128" s="199">
        <f t="shared" si="69"/>
        <v>0</v>
      </c>
      <c r="Y128" s="200">
        <f t="shared" si="70"/>
        <v>0</v>
      </c>
      <c r="AA128" s="201">
        <f t="shared" si="71"/>
        <v>0</v>
      </c>
      <c r="AB128" s="202" t="str">
        <f t="shared" si="72"/>
        <v/>
      </c>
    </row>
    <row r="129" spans="1:29">
      <c r="A129" s="217" t="s">
        <v>249</v>
      </c>
      <c r="B129" s="219"/>
      <c r="C129" s="246"/>
      <c r="D129" s="146">
        <v>1</v>
      </c>
      <c r="F129" s="219">
        <f t="shared" si="29"/>
        <v>0</v>
      </c>
      <c r="G129" s="146">
        <v>12</v>
      </c>
      <c r="H129" s="153">
        <f t="shared" si="74"/>
        <v>0</v>
      </c>
      <c r="I129" s="220"/>
      <c r="J129" s="150">
        <f t="shared" si="61"/>
        <v>0</v>
      </c>
      <c r="K129" s="150">
        <f t="shared" si="62"/>
        <v>0</v>
      </c>
      <c r="L129" s="195">
        <f t="shared" si="63"/>
        <v>145</v>
      </c>
      <c r="M129" s="147">
        <f t="shared" si="64"/>
        <v>138.87283201361657</v>
      </c>
      <c r="N129" s="221">
        <f t="shared" si="65"/>
        <v>0</v>
      </c>
      <c r="O129" s="196">
        <f t="shared" si="66"/>
        <v>0</v>
      </c>
      <c r="P129" s="222"/>
      <c r="Q129" s="173">
        <f t="shared" si="67"/>
        <v>0.43258887172241495</v>
      </c>
      <c r="R129" s="197"/>
      <c r="S129" s="197">
        <f t="shared" si="58"/>
        <v>9.5602140650653707E-3</v>
      </c>
      <c r="T129" s="198">
        <f t="shared" si="59"/>
        <v>0.4421490857874803</v>
      </c>
      <c r="V129" s="197">
        <f t="shared" si="60"/>
        <v>0.4421490857874803</v>
      </c>
      <c r="W129" s="199">
        <f t="shared" si="68"/>
        <v>0</v>
      </c>
      <c r="X129" s="199">
        <f t="shared" si="69"/>
        <v>0</v>
      </c>
      <c r="Y129" s="200">
        <f t="shared" si="70"/>
        <v>0</v>
      </c>
      <c r="AA129" s="201">
        <f t="shared" si="71"/>
        <v>0</v>
      </c>
      <c r="AB129" s="202" t="str">
        <f t="shared" si="72"/>
        <v/>
      </c>
    </row>
    <row r="130" spans="1:29">
      <c r="A130" s="224"/>
      <c r="B130" s="205"/>
      <c r="C130" s="225"/>
      <c r="F130" s="205"/>
      <c r="I130" s="226"/>
      <c r="J130" s="150"/>
      <c r="K130" s="150"/>
      <c r="L130" s="227"/>
      <c r="N130" s="150"/>
      <c r="O130" s="196"/>
      <c r="AA130" s="165"/>
    </row>
    <row r="131" spans="1:29">
      <c r="A131" s="228" t="s">
        <v>266</v>
      </c>
      <c r="B131" s="205"/>
      <c r="C131" s="225"/>
      <c r="E131" s="154"/>
      <c r="F131" s="205"/>
      <c r="H131" s="223">
        <f>SUM(H42:H130)</f>
        <v>31081</v>
      </c>
      <c r="I131" s="206"/>
      <c r="J131" s="150">
        <f>SUM(J42:J129)</f>
        <v>113298.42750000001</v>
      </c>
      <c r="K131" s="150">
        <f>SUM(K42:K129)</f>
        <v>1359581.1300000001</v>
      </c>
      <c r="L131" s="150"/>
      <c r="M131" s="150"/>
      <c r="N131" s="150">
        <f>SUM(N42:N129)</f>
        <v>5462.6500000000005</v>
      </c>
      <c r="O131" s="150">
        <f>SUM(O42:O129)</f>
        <v>5231.8184537874668</v>
      </c>
      <c r="W131" s="199">
        <f>SUM(W42:W130)</f>
        <v>116074.6373210595</v>
      </c>
      <c r="X131" s="199">
        <f>SUM(X42:X130)</f>
        <v>2776.2098210594963</v>
      </c>
      <c r="Y131" s="199">
        <f>SUM(Y42:Y130)</f>
        <v>33314.517852713951</v>
      </c>
      <c r="AA131" s="208">
        <f>SUM(AA42:AA130)</f>
        <v>32594.22896709586</v>
      </c>
    </row>
    <row r="132" spans="1:29">
      <c r="A132" s="228"/>
      <c r="B132" s="205"/>
      <c r="C132" s="225"/>
      <c r="F132" s="205"/>
      <c r="I132" s="206"/>
      <c r="J132" s="150"/>
      <c r="K132" s="150"/>
      <c r="L132" s="227"/>
      <c r="N132" s="150"/>
      <c r="O132" s="196"/>
      <c r="AA132" s="229">
        <f>Y131/AA131-1</f>
        <v>2.2098663120555084E-2</v>
      </c>
    </row>
    <row r="133" spans="1:29">
      <c r="A133" s="230" t="s">
        <v>267</v>
      </c>
      <c r="B133" s="205"/>
      <c r="C133" s="225"/>
      <c r="F133" s="205"/>
      <c r="I133" s="206"/>
      <c r="J133" s="150"/>
      <c r="K133" s="150"/>
      <c r="L133" s="227"/>
      <c r="N133" s="150"/>
      <c r="O133" s="196"/>
      <c r="AA133" s="165"/>
    </row>
    <row r="134" spans="1:29">
      <c r="A134" s="231"/>
      <c r="B134" s="205"/>
      <c r="C134" s="225"/>
      <c r="F134" s="205"/>
      <c r="I134" s="206"/>
      <c r="J134" s="150"/>
      <c r="K134" s="150"/>
      <c r="L134" s="227"/>
      <c r="N134" s="150"/>
      <c r="O134" s="196"/>
      <c r="AA134" s="165"/>
    </row>
    <row r="135" spans="1:29">
      <c r="A135" s="247" t="s">
        <v>291</v>
      </c>
      <c r="B135" s="205"/>
      <c r="C135" s="249">
        <f t="shared" ref="C135:C196" si="75">B135</f>
        <v>0</v>
      </c>
      <c r="D135" s="146">
        <v>0.1</v>
      </c>
      <c r="F135" s="205"/>
      <c r="G135" s="146">
        <v>52</v>
      </c>
      <c r="H135" s="153">
        <f>C135*D135</f>
        <v>0</v>
      </c>
      <c r="I135" s="248">
        <v>4.16</v>
      </c>
      <c r="J135" s="150">
        <f t="shared" ref="J135:J136" si="76">+C135*I135</f>
        <v>0</v>
      </c>
      <c r="K135" s="150">
        <f t="shared" ref="K135:K136" si="77">J135*12</f>
        <v>0</v>
      </c>
      <c r="L135" s="195">
        <f t="shared" ref="L135:L136" si="78">+D135*L$16</f>
        <v>14.5</v>
      </c>
      <c r="M135" s="147">
        <f t="shared" ref="M135:M136" si="79">L135*$O$5</f>
        <v>13.887283201361658</v>
      </c>
      <c r="N135" s="221">
        <f t="shared" ref="N135:N136" si="80">ROUND((C135*L135*12)/2000,2)</f>
        <v>0</v>
      </c>
      <c r="O135" s="196">
        <f t="shared" ref="O135:O136" si="81">$O$5*N135</f>
        <v>0</v>
      </c>
      <c r="Q135" s="173">
        <f t="shared" ref="Q135:Q136" si="82">M135*$R$12</f>
        <v>4.3258887172241495E-2</v>
      </c>
      <c r="R135" s="197"/>
      <c r="S135" s="197">
        <f t="shared" ref="S135:S166" si="83">Q135*$U$12</f>
        <v>9.5602140650653713E-4</v>
      </c>
      <c r="T135" s="198">
        <f t="shared" ref="T135:T166" si="84">+Q135+S135</f>
        <v>4.4214908578748033E-2</v>
      </c>
      <c r="V135" s="197">
        <f t="shared" ref="V135:V166" si="85">I135+T135</f>
        <v>4.2042149085787486</v>
      </c>
      <c r="W135" s="199">
        <f t="shared" ref="W135:W136" si="86">C135*V135</f>
        <v>0</v>
      </c>
      <c r="X135" s="199">
        <f t="shared" ref="X135:X136" si="87">W135-J135</f>
        <v>0</v>
      </c>
      <c r="Y135" s="200">
        <f t="shared" ref="Y135:Y136" si="88">X135*12</f>
        <v>0</v>
      </c>
      <c r="AA135" s="201">
        <f t="shared" ref="AA135:AA136" si="89">O135*$R$11</f>
        <v>0</v>
      </c>
      <c r="AB135" s="202">
        <f t="shared" ref="AB135:AB136" si="90">IF(I135=0,"",V135/I135-1)</f>
        <v>1.0628583792968271E-2</v>
      </c>
      <c r="AC135" s="148">
        <f t="shared" ref="AC135:AC136" si="91">8.72*(1+AB135)</f>
        <v>8.8126812506746841</v>
      </c>
    </row>
    <row r="136" spans="1:29">
      <c r="A136" s="247" t="s">
        <v>292</v>
      </c>
      <c r="B136" s="205"/>
      <c r="C136" s="249">
        <f t="shared" si="75"/>
        <v>0</v>
      </c>
      <c r="D136" s="146">
        <v>0.1</v>
      </c>
      <c r="F136" s="205"/>
      <c r="G136" s="146">
        <v>52</v>
      </c>
      <c r="H136" s="153">
        <f>C136*D136</f>
        <v>0</v>
      </c>
      <c r="I136" s="248">
        <v>8.83</v>
      </c>
      <c r="J136" s="150">
        <f t="shared" si="76"/>
        <v>0</v>
      </c>
      <c r="K136" s="150">
        <f t="shared" si="77"/>
        <v>0</v>
      </c>
      <c r="L136" s="195">
        <f t="shared" si="78"/>
        <v>14.5</v>
      </c>
      <c r="M136" s="147">
        <f t="shared" si="79"/>
        <v>13.887283201361658</v>
      </c>
      <c r="N136" s="221">
        <f t="shared" si="80"/>
        <v>0</v>
      </c>
      <c r="O136" s="196">
        <f t="shared" si="81"/>
        <v>0</v>
      </c>
      <c r="Q136" s="173">
        <f t="shared" si="82"/>
        <v>4.3258887172241495E-2</v>
      </c>
      <c r="R136" s="197"/>
      <c r="S136" s="197">
        <f t="shared" si="83"/>
        <v>9.5602140650653713E-4</v>
      </c>
      <c r="T136" s="198">
        <f t="shared" si="84"/>
        <v>4.4214908578748033E-2</v>
      </c>
      <c r="V136" s="197">
        <f t="shared" si="85"/>
        <v>8.8742149085787485</v>
      </c>
      <c r="W136" s="199">
        <f t="shared" si="86"/>
        <v>0</v>
      </c>
      <c r="X136" s="199">
        <f t="shared" si="87"/>
        <v>0</v>
      </c>
      <c r="Y136" s="200">
        <f t="shared" si="88"/>
        <v>0</v>
      </c>
      <c r="AA136" s="201">
        <f t="shared" si="89"/>
        <v>0</v>
      </c>
      <c r="AB136" s="202">
        <f t="shared" si="90"/>
        <v>5.0073509149204387E-3</v>
      </c>
      <c r="AC136" s="148">
        <f t="shared" si="91"/>
        <v>8.7636640999781061</v>
      </c>
    </row>
    <row r="137" spans="1:29">
      <c r="A137" s="247" t="s">
        <v>125</v>
      </c>
      <c r="B137" s="302">
        <f t="shared" ref="B137:B138" si="92">C137/4.33</f>
        <v>246.17013086989994</v>
      </c>
      <c r="C137" s="249">
        <f>H137/12</f>
        <v>1065.9166666666667</v>
      </c>
      <c r="D137" s="146">
        <v>0.158</v>
      </c>
      <c r="F137" s="301">
        <f>B137</f>
        <v>246.17013086989994</v>
      </c>
      <c r="G137" s="146">
        <v>52</v>
      </c>
      <c r="H137" s="152">
        <v>12791</v>
      </c>
      <c r="I137" s="248">
        <v>4.24</v>
      </c>
      <c r="J137" s="150">
        <f t="shared" ref="J137" si="93">+C137*I137</f>
        <v>4519.4866666666676</v>
      </c>
      <c r="K137" s="150">
        <f t="shared" ref="K137:K209" si="94">J137*12</f>
        <v>54233.840000000011</v>
      </c>
      <c r="L137" s="195">
        <f t="shared" ref="L137" si="95">+D137*L$16</f>
        <v>22.91</v>
      </c>
      <c r="M137" s="147">
        <f>L137*$O$5</f>
        <v>21.94190745815142</v>
      </c>
      <c r="N137" s="221">
        <f>ROUND((C137*L137*12)/2000,2)</f>
        <v>146.52000000000001</v>
      </c>
      <c r="O137" s="196">
        <f>$O$5*N137</f>
        <v>140.32860239058692</v>
      </c>
      <c r="Q137" s="173">
        <f t="shared" ref="Q137" si="96">M137*$R$12</f>
        <v>6.8349041732141555E-2</v>
      </c>
      <c r="R137" s="197"/>
      <c r="S137" s="197">
        <f t="shared" si="83"/>
        <v>1.5105138222803285E-3</v>
      </c>
      <c r="T137" s="198">
        <f t="shared" si="84"/>
        <v>6.9859555554421887E-2</v>
      </c>
      <c r="V137" s="197">
        <f t="shared" si="85"/>
        <v>4.3098595555544224</v>
      </c>
      <c r="W137" s="199">
        <f>C137*V137</f>
        <v>4593.9511312580516</v>
      </c>
      <c r="X137" s="199">
        <f>W137-J137</f>
        <v>74.464464591384058</v>
      </c>
      <c r="Y137" s="200">
        <f t="shared" ref="Y137" si="97">X137*12</f>
        <v>893.57357509660869</v>
      </c>
      <c r="AA137" s="201">
        <f>O137*$R$11</f>
        <v>874.24719289335508</v>
      </c>
      <c r="AB137" s="202">
        <f t="shared" ref="AB137" si="98">IF(I137=0,"",V137/I137-1)</f>
        <v>1.6476310272269368E-2</v>
      </c>
      <c r="AC137" s="148">
        <f>8.72*(1+AB137)</f>
        <v>8.8636734255741896</v>
      </c>
    </row>
    <row r="138" spans="1:29">
      <c r="A138" s="247" t="s">
        <v>293</v>
      </c>
      <c r="B138" s="302">
        <f t="shared" si="92"/>
        <v>57.544264819091609</v>
      </c>
      <c r="C138" s="249">
        <f>H138/12</f>
        <v>249.16666666666666</v>
      </c>
      <c r="D138" s="146">
        <v>0.158</v>
      </c>
      <c r="F138" s="301">
        <f>B138</f>
        <v>57.544264819091609</v>
      </c>
      <c r="G138" s="146">
        <v>52</v>
      </c>
      <c r="H138" s="152">
        <v>2990</v>
      </c>
      <c r="I138" s="248">
        <v>8.91</v>
      </c>
      <c r="J138" s="150">
        <f t="shared" ref="J138:J199" si="99">+C138*I138</f>
        <v>2220.0749999999998</v>
      </c>
      <c r="K138" s="150">
        <f t="shared" ref="K138:K199" si="100">J138*12</f>
        <v>26640.899999999998</v>
      </c>
      <c r="L138" s="195">
        <f t="shared" ref="L138:L199" si="101">+D138*L$16</f>
        <v>22.91</v>
      </c>
      <c r="M138" s="147">
        <f t="shared" ref="M138:M199" si="102">L138*$O$5</f>
        <v>21.94190745815142</v>
      </c>
      <c r="N138" s="221">
        <f t="shared" ref="N138:N199" si="103">ROUND((C138*L138*12)/2000,2)</f>
        <v>34.25</v>
      </c>
      <c r="O138" s="196">
        <f t="shared" ref="O138:O199" si="104">$O$5*N138</f>
        <v>32.802720665285293</v>
      </c>
      <c r="Q138" s="173">
        <f t="shared" ref="Q138:Q199" si="105">M138*$R$12</f>
        <v>6.8349041732141555E-2</v>
      </c>
      <c r="R138" s="197"/>
      <c r="S138" s="197">
        <f t="shared" si="83"/>
        <v>1.5105138222803285E-3</v>
      </c>
      <c r="T138" s="198">
        <f t="shared" si="84"/>
        <v>6.9859555554421887E-2</v>
      </c>
      <c r="V138" s="197">
        <f t="shared" si="85"/>
        <v>8.9798595555544214</v>
      </c>
      <c r="W138" s="199">
        <f t="shared" ref="W138:W199" si="106">C138*V138</f>
        <v>2237.4816725923101</v>
      </c>
      <c r="X138" s="199">
        <f t="shared" ref="X138:X199" si="107">W138-J138</f>
        <v>17.406672592310315</v>
      </c>
      <c r="Y138" s="200">
        <f t="shared" ref="Y138:Y199" si="108">X138*12</f>
        <v>208.88007110772378</v>
      </c>
      <c r="AA138" s="201">
        <f t="shared" ref="AA138:AA199" si="109">O138*$R$11</f>
        <v>204.36094974472704</v>
      </c>
      <c r="AB138" s="202">
        <f t="shared" ref="AB138:AB199" si="110">IF(I138=0,"",V138/I138-1)</f>
        <v>7.840578625636585E-3</v>
      </c>
    </row>
    <row r="139" spans="1:29">
      <c r="A139" s="247" t="s">
        <v>126</v>
      </c>
      <c r="B139" s="302"/>
      <c r="C139" s="249">
        <f t="shared" si="75"/>
        <v>0</v>
      </c>
      <c r="D139" s="146">
        <v>0.316</v>
      </c>
      <c r="F139" s="301">
        <f t="shared" ref="F139:F209" si="111">B139</f>
        <v>0</v>
      </c>
      <c r="G139" s="146">
        <v>52</v>
      </c>
      <c r="H139" s="152">
        <f>C139*D139</f>
        <v>0</v>
      </c>
      <c r="I139" s="248">
        <v>6.97</v>
      </c>
      <c r="J139" s="150">
        <f t="shared" si="99"/>
        <v>0</v>
      </c>
      <c r="K139" s="150">
        <f t="shared" si="100"/>
        <v>0</v>
      </c>
      <c r="L139" s="195">
        <f t="shared" si="101"/>
        <v>45.82</v>
      </c>
      <c r="M139" s="147">
        <f t="shared" si="102"/>
        <v>43.883814916302839</v>
      </c>
      <c r="N139" s="221">
        <f t="shared" si="103"/>
        <v>0</v>
      </c>
      <c r="O139" s="196">
        <f t="shared" si="104"/>
        <v>0</v>
      </c>
      <c r="Q139" s="173">
        <f t="shared" si="105"/>
        <v>0.13669808346428311</v>
      </c>
      <c r="R139" s="197"/>
      <c r="S139" s="197">
        <f t="shared" si="83"/>
        <v>3.0210276445606569E-3</v>
      </c>
      <c r="T139" s="198">
        <f t="shared" si="84"/>
        <v>0.13971911110884377</v>
      </c>
      <c r="V139" s="197">
        <f t="shared" si="85"/>
        <v>7.1097191111088431</v>
      </c>
      <c r="W139" s="199">
        <f t="shared" si="106"/>
        <v>0</v>
      </c>
      <c r="X139" s="199">
        <f t="shared" si="107"/>
        <v>0</v>
      </c>
      <c r="Y139" s="200">
        <f t="shared" si="108"/>
        <v>0</v>
      </c>
      <c r="AA139" s="201">
        <f t="shared" si="109"/>
        <v>0</v>
      </c>
      <c r="AB139" s="202">
        <f t="shared" si="110"/>
        <v>2.0045783516333238E-2</v>
      </c>
      <c r="AC139" s="148">
        <f>10.09*(1+AB139)</f>
        <v>10.292261955679802</v>
      </c>
    </row>
    <row r="140" spans="1:29">
      <c r="A140" s="247" t="s">
        <v>296</v>
      </c>
      <c r="B140" s="302"/>
      <c r="C140" s="249">
        <f t="shared" si="75"/>
        <v>0</v>
      </c>
      <c r="D140" s="146">
        <v>0.316</v>
      </c>
      <c r="F140" s="301"/>
      <c r="G140" s="146">
        <v>52</v>
      </c>
      <c r="H140" s="152">
        <f>C140*D140</f>
        <v>0</v>
      </c>
      <c r="I140" s="248">
        <v>10.35</v>
      </c>
      <c r="J140" s="150">
        <f t="shared" si="99"/>
        <v>0</v>
      </c>
      <c r="K140" s="150">
        <f t="shared" si="100"/>
        <v>0</v>
      </c>
      <c r="L140" s="195">
        <f t="shared" si="101"/>
        <v>45.82</v>
      </c>
      <c r="M140" s="147">
        <f t="shared" si="102"/>
        <v>43.883814916302839</v>
      </c>
      <c r="N140" s="221">
        <f t="shared" si="103"/>
        <v>0</v>
      </c>
      <c r="O140" s="196">
        <f t="shared" si="104"/>
        <v>0</v>
      </c>
      <c r="Q140" s="173">
        <f t="shared" si="105"/>
        <v>0.13669808346428311</v>
      </c>
      <c r="R140" s="197"/>
      <c r="S140" s="197">
        <f t="shared" si="83"/>
        <v>3.0210276445606569E-3</v>
      </c>
      <c r="T140" s="198">
        <f t="shared" si="84"/>
        <v>0.13971911110884377</v>
      </c>
      <c r="V140" s="197">
        <f t="shared" si="85"/>
        <v>10.489719111108844</v>
      </c>
      <c r="W140" s="199">
        <f t="shared" si="106"/>
        <v>0</v>
      </c>
      <c r="X140" s="199">
        <f t="shared" si="107"/>
        <v>0</v>
      </c>
      <c r="Y140" s="200">
        <f t="shared" si="108"/>
        <v>0</v>
      </c>
      <c r="AA140" s="201">
        <f t="shared" si="109"/>
        <v>0</v>
      </c>
      <c r="AB140" s="202">
        <f t="shared" si="110"/>
        <v>1.3499431025009168E-2</v>
      </c>
    </row>
    <row r="141" spans="1:29">
      <c r="A141" s="247" t="s">
        <v>127</v>
      </c>
      <c r="B141" s="302">
        <f t="shared" ref="B141" si="112">C141/4.33</f>
        <v>117.59045419553503</v>
      </c>
      <c r="C141" s="249">
        <f>H141/12</f>
        <v>509.16666666666669</v>
      </c>
      <c r="D141" s="146">
        <v>0.47399999999999998</v>
      </c>
      <c r="F141" s="301">
        <f t="shared" si="111"/>
        <v>117.59045419553503</v>
      </c>
      <c r="G141" s="146">
        <v>52</v>
      </c>
      <c r="H141" s="152">
        <v>6110</v>
      </c>
      <c r="I141" s="248">
        <v>10.37</v>
      </c>
      <c r="J141" s="150">
        <f t="shared" si="99"/>
        <v>5280.0583333333334</v>
      </c>
      <c r="K141" s="150">
        <f t="shared" si="100"/>
        <v>63360.7</v>
      </c>
      <c r="L141" s="195">
        <f t="shared" si="101"/>
        <v>68.72999999999999</v>
      </c>
      <c r="M141" s="147">
        <f t="shared" si="102"/>
        <v>65.825722374454244</v>
      </c>
      <c r="N141" s="221">
        <f t="shared" si="103"/>
        <v>209.97</v>
      </c>
      <c r="O141" s="196">
        <f t="shared" si="104"/>
        <v>201.0974381924074</v>
      </c>
      <c r="Q141" s="173">
        <f t="shared" si="105"/>
        <v>0.20504712519642465</v>
      </c>
      <c r="R141" s="197"/>
      <c r="S141" s="197">
        <f t="shared" si="83"/>
        <v>4.5315414668409852E-3</v>
      </c>
      <c r="T141" s="198">
        <f t="shared" si="84"/>
        <v>0.20957866666326563</v>
      </c>
      <c r="V141" s="197">
        <f t="shared" si="85"/>
        <v>10.579578666663265</v>
      </c>
      <c r="W141" s="199">
        <f t="shared" si="106"/>
        <v>5386.7688044427123</v>
      </c>
      <c r="X141" s="199">
        <f t="shared" si="107"/>
        <v>106.71047110937889</v>
      </c>
      <c r="Y141" s="200">
        <f t="shared" si="108"/>
        <v>1280.5256533125466</v>
      </c>
      <c r="AA141" s="201">
        <f t="shared" si="109"/>
        <v>1252.8370399386961</v>
      </c>
      <c r="AB141" s="202">
        <f t="shared" si="110"/>
        <v>2.021009321728684E-2</v>
      </c>
      <c r="AC141" s="148">
        <f>12.5*(1+AB141)</f>
        <v>12.752626165216085</v>
      </c>
    </row>
    <row r="142" spans="1:29">
      <c r="A142" s="247" t="s">
        <v>295</v>
      </c>
      <c r="B142" s="302"/>
      <c r="C142" s="249">
        <f t="shared" si="75"/>
        <v>0</v>
      </c>
      <c r="D142" s="146">
        <v>0.47399999999999998</v>
      </c>
      <c r="F142" s="301"/>
      <c r="G142" s="146">
        <v>52</v>
      </c>
      <c r="H142" s="152">
        <f>C142*D142</f>
        <v>0</v>
      </c>
      <c r="I142" s="248">
        <v>12.87</v>
      </c>
      <c r="J142" s="150">
        <f t="shared" si="99"/>
        <v>0</v>
      </c>
      <c r="K142" s="150">
        <f t="shared" si="100"/>
        <v>0</v>
      </c>
      <c r="L142" s="195">
        <f t="shared" si="101"/>
        <v>68.72999999999999</v>
      </c>
      <c r="M142" s="147">
        <f t="shared" si="102"/>
        <v>65.825722374454244</v>
      </c>
      <c r="N142" s="221">
        <f t="shared" si="103"/>
        <v>0</v>
      </c>
      <c r="O142" s="196">
        <f t="shared" si="104"/>
        <v>0</v>
      </c>
      <c r="Q142" s="173">
        <f t="shared" si="105"/>
        <v>0.20504712519642465</v>
      </c>
      <c r="R142" s="197"/>
      <c r="S142" s="197">
        <f t="shared" si="83"/>
        <v>4.5315414668409852E-3</v>
      </c>
      <c r="T142" s="198">
        <f t="shared" si="84"/>
        <v>0.20957866666326563</v>
      </c>
      <c r="V142" s="197">
        <f t="shared" si="85"/>
        <v>13.079578666663265</v>
      </c>
      <c r="W142" s="199">
        <f t="shared" si="106"/>
        <v>0</v>
      </c>
      <c r="X142" s="199">
        <f t="shared" si="107"/>
        <v>0</v>
      </c>
      <c r="Y142" s="200">
        <f t="shared" si="108"/>
        <v>0</v>
      </c>
      <c r="AA142" s="201">
        <f t="shared" si="109"/>
        <v>0</v>
      </c>
      <c r="AB142" s="202">
        <f t="shared" si="110"/>
        <v>1.6284278684014497E-2</v>
      </c>
    </row>
    <row r="143" spans="1:29">
      <c r="A143" s="247" t="s">
        <v>318</v>
      </c>
      <c r="B143" s="302"/>
      <c r="C143" s="249">
        <f t="shared" si="75"/>
        <v>0</v>
      </c>
      <c r="D143" s="146">
        <v>3.5</v>
      </c>
      <c r="F143" s="301"/>
      <c r="G143" s="146">
        <v>52</v>
      </c>
      <c r="H143" s="152">
        <f>C143*D143</f>
        <v>0</v>
      </c>
      <c r="I143" s="248">
        <v>122.46</v>
      </c>
      <c r="J143" s="150">
        <f t="shared" si="99"/>
        <v>0</v>
      </c>
      <c r="K143" s="150">
        <f t="shared" si="100"/>
        <v>0</v>
      </c>
      <c r="L143" s="195">
        <f t="shared" si="101"/>
        <v>507.5</v>
      </c>
      <c r="M143" s="147">
        <f t="shared" si="102"/>
        <v>486.05491204765804</v>
      </c>
      <c r="N143" s="221">
        <f t="shared" si="103"/>
        <v>0</v>
      </c>
      <c r="O143" s="196">
        <f t="shared" si="104"/>
        <v>0</v>
      </c>
      <c r="Q143" s="173">
        <f t="shared" si="105"/>
        <v>1.5140610510284522</v>
      </c>
      <c r="R143" s="197"/>
      <c r="S143" s="197">
        <f t="shared" si="83"/>
        <v>3.3460749227728799E-2</v>
      </c>
      <c r="T143" s="198">
        <f t="shared" si="84"/>
        <v>1.547521800256181</v>
      </c>
      <c r="V143" s="197">
        <f t="shared" si="85"/>
        <v>124.00752180025617</v>
      </c>
      <c r="W143" s="199">
        <f t="shared" si="106"/>
        <v>0</v>
      </c>
      <c r="X143" s="199">
        <f t="shared" si="107"/>
        <v>0</v>
      </c>
      <c r="Y143" s="200">
        <f t="shared" si="108"/>
        <v>0</v>
      </c>
      <c r="AA143" s="201">
        <f t="shared" si="109"/>
        <v>0</v>
      </c>
      <c r="AB143" s="202">
        <f t="shared" si="110"/>
        <v>1.2636957375928182E-2</v>
      </c>
    </row>
    <row r="144" spans="1:29">
      <c r="A144" s="247" t="s">
        <v>319</v>
      </c>
      <c r="B144" s="302"/>
      <c r="C144" s="249">
        <f t="shared" si="75"/>
        <v>0</v>
      </c>
      <c r="D144" s="146">
        <v>5</v>
      </c>
      <c r="F144" s="301"/>
      <c r="G144" s="146">
        <v>52</v>
      </c>
      <c r="H144" s="152">
        <f>C144*D144</f>
        <v>0</v>
      </c>
      <c r="I144" s="248">
        <v>136</v>
      </c>
      <c r="J144" s="150">
        <f t="shared" si="99"/>
        <v>0</v>
      </c>
      <c r="K144" s="150">
        <f t="shared" si="100"/>
        <v>0</v>
      </c>
      <c r="L144" s="195">
        <f t="shared" si="101"/>
        <v>725</v>
      </c>
      <c r="M144" s="147">
        <f t="shared" si="102"/>
        <v>694.36416006808292</v>
      </c>
      <c r="N144" s="221">
        <f t="shared" si="103"/>
        <v>0</v>
      </c>
      <c r="O144" s="196">
        <f t="shared" si="104"/>
        <v>0</v>
      </c>
      <c r="Q144" s="173">
        <f t="shared" si="105"/>
        <v>2.1629443586120747</v>
      </c>
      <c r="R144" s="197"/>
      <c r="S144" s="197">
        <f t="shared" si="83"/>
        <v>4.7801070325326857E-2</v>
      </c>
      <c r="T144" s="198">
        <f t="shared" si="84"/>
        <v>2.2107454289374013</v>
      </c>
      <c r="V144" s="197">
        <f t="shared" si="85"/>
        <v>138.2107454289374</v>
      </c>
      <c r="W144" s="199">
        <f t="shared" si="106"/>
        <v>0</v>
      </c>
      <c r="X144" s="199">
        <f t="shared" si="107"/>
        <v>0</v>
      </c>
      <c r="Y144" s="200">
        <f t="shared" si="108"/>
        <v>0</v>
      </c>
      <c r="AA144" s="201">
        <f t="shared" si="109"/>
        <v>0</v>
      </c>
      <c r="AB144" s="202">
        <f t="shared" si="110"/>
        <v>1.6255481095127866E-2</v>
      </c>
    </row>
    <row r="145" spans="1:29">
      <c r="A145" s="247" t="s">
        <v>128</v>
      </c>
      <c r="B145" s="302">
        <f t="shared" ref="B145" si="113">C145/4.33</f>
        <v>3.2525019245573521</v>
      </c>
      <c r="C145" s="249">
        <f>H145/12</f>
        <v>14.083333333333334</v>
      </c>
      <c r="D145" s="146">
        <v>1</v>
      </c>
      <c r="F145" s="301">
        <f t="shared" si="111"/>
        <v>3.2525019245573521</v>
      </c>
      <c r="G145" s="146">
        <v>52</v>
      </c>
      <c r="H145" s="152">
        <v>169</v>
      </c>
      <c r="I145" s="248">
        <v>22.18</v>
      </c>
      <c r="J145" s="150">
        <f t="shared" si="99"/>
        <v>312.36833333333334</v>
      </c>
      <c r="K145" s="150">
        <f t="shared" si="100"/>
        <v>3748.42</v>
      </c>
      <c r="L145" s="195">
        <f t="shared" si="101"/>
        <v>145</v>
      </c>
      <c r="M145" s="147">
        <f t="shared" si="102"/>
        <v>138.87283201361657</v>
      </c>
      <c r="N145" s="221">
        <f t="shared" si="103"/>
        <v>12.25</v>
      </c>
      <c r="O145" s="196">
        <f t="shared" si="104"/>
        <v>11.732359945977953</v>
      </c>
      <c r="Q145" s="173">
        <f t="shared" si="105"/>
        <v>0.43258887172241495</v>
      </c>
      <c r="R145" s="197"/>
      <c r="S145" s="197">
        <f t="shared" si="83"/>
        <v>9.5602140650653707E-3</v>
      </c>
      <c r="T145" s="198">
        <f t="shared" si="84"/>
        <v>0.4421490857874803</v>
      </c>
      <c r="V145" s="197">
        <f t="shared" si="85"/>
        <v>22.622149085787481</v>
      </c>
      <c r="W145" s="199">
        <f t="shared" si="106"/>
        <v>318.59526629150702</v>
      </c>
      <c r="X145" s="199">
        <f t="shared" si="107"/>
        <v>6.226932958173677</v>
      </c>
      <c r="Y145" s="200">
        <f t="shared" si="108"/>
        <v>74.723195498084124</v>
      </c>
      <c r="AA145" s="201">
        <f t="shared" si="109"/>
        <v>73.092602463442532</v>
      </c>
      <c r="AB145" s="202">
        <f t="shared" si="110"/>
        <v>1.9934584571121849E-2</v>
      </c>
      <c r="AC145" s="148">
        <f>22.72*(1+AB145)</f>
        <v>23.172913761455888</v>
      </c>
    </row>
    <row r="146" spans="1:29">
      <c r="A146" s="247" t="s">
        <v>297</v>
      </c>
      <c r="B146" s="302"/>
      <c r="C146" s="249">
        <f t="shared" si="75"/>
        <v>0</v>
      </c>
      <c r="D146" s="146">
        <v>1</v>
      </c>
      <c r="F146" s="301"/>
      <c r="G146" s="146">
        <v>52</v>
      </c>
      <c r="H146" s="152">
        <f>C146*D146</f>
        <v>0</v>
      </c>
      <c r="I146" s="248">
        <v>23.68</v>
      </c>
      <c r="J146" s="150">
        <f t="shared" si="99"/>
        <v>0</v>
      </c>
      <c r="K146" s="150">
        <f t="shared" si="100"/>
        <v>0</v>
      </c>
      <c r="L146" s="195">
        <f t="shared" si="101"/>
        <v>145</v>
      </c>
      <c r="M146" s="147">
        <f t="shared" si="102"/>
        <v>138.87283201361657</v>
      </c>
      <c r="N146" s="221">
        <f t="shared" si="103"/>
        <v>0</v>
      </c>
      <c r="O146" s="196">
        <f t="shared" si="104"/>
        <v>0</v>
      </c>
      <c r="Q146" s="173">
        <f t="shared" si="105"/>
        <v>0.43258887172241495</v>
      </c>
      <c r="R146" s="197"/>
      <c r="S146" s="197">
        <f t="shared" si="83"/>
        <v>9.5602140650653707E-3</v>
      </c>
      <c r="T146" s="198">
        <f t="shared" si="84"/>
        <v>0.4421490857874803</v>
      </c>
      <c r="V146" s="197">
        <f t="shared" si="85"/>
        <v>24.122149085787481</v>
      </c>
      <c r="W146" s="199">
        <f t="shared" si="106"/>
        <v>0</v>
      </c>
      <c r="X146" s="199">
        <f t="shared" si="107"/>
        <v>0</v>
      </c>
      <c r="Y146" s="200">
        <f t="shared" si="108"/>
        <v>0</v>
      </c>
      <c r="AA146" s="201">
        <f t="shared" si="109"/>
        <v>0</v>
      </c>
      <c r="AB146" s="202">
        <f t="shared" si="110"/>
        <v>1.8671836393052477E-2</v>
      </c>
    </row>
    <row r="147" spans="1:29">
      <c r="A147" s="247" t="s">
        <v>304</v>
      </c>
      <c r="B147" s="302"/>
      <c r="C147" s="249">
        <f t="shared" si="75"/>
        <v>0</v>
      </c>
      <c r="D147" s="146">
        <v>1</v>
      </c>
      <c r="F147" s="301"/>
      <c r="G147" s="146">
        <v>52</v>
      </c>
      <c r="H147" s="152">
        <f>C147*D147</f>
        <v>0</v>
      </c>
      <c r="I147" s="248">
        <v>23.68</v>
      </c>
      <c r="J147" s="150">
        <f t="shared" si="99"/>
        <v>0</v>
      </c>
      <c r="K147" s="150">
        <f t="shared" si="100"/>
        <v>0</v>
      </c>
      <c r="L147" s="195">
        <f t="shared" si="101"/>
        <v>145</v>
      </c>
      <c r="M147" s="147">
        <f t="shared" si="102"/>
        <v>138.87283201361657</v>
      </c>
      <c r="N147" s="221">
        <f t="shared" si="103"/>
        <v>0</v>
      </c>
      <c r="O147" s="196">
        <f t="shared" si="104"/>
        <v>0</v>
      </c>
      <c r="Q147" s="173">
        <f t="shared" si="105"/>
        <v>0.43258887172241495</v>
      </c>
      <c r="R147" s="197"/>
      <c r="S147" s="197">
        <f t="shared" si="83"/>
        <v>9.5602140650653707E-3</v>
      </c>
      <c r="T147" s="198">
        <f t="shared" si="84"/>
        <v>0.4421490857874803</v>
      </c>
      <c r="V147" s="197">
        <f t="shared" si="85"/>
        <v>24.122149085787481</v>
      </c>
      <c r="W147" s="199">
        <f t="shared" si="106"/>
        <v>0</v>
      </c>
      <c r="X147" s="199">
        <f t="shared" si="107"/>
        <v>0</v>
      </c>
      <c r="Y147" s="200">
        <f t="shared" si="108"/>
        <v>0</v>
      </c>
      <c r="AA147" s="201">
        <f t="shared" si="109"/>
        <v>0</v>
      </c>
      <c r="AB147" s="202">
        <f t="shared" si="110"/>
        <v>1.8671836393052477E-2</v>
      </c>
    </row>
    <row r="148" spans="1:29">
      <c r="A148" s="247" t="s">
        <v>268</v>
      </c>
      <c r="B148" s="302"/>
      <c r="C148" s="249">
        <f t="shared" si="75"/>
        <v>0</v>
      </c>
      <c r="D148" s="146">
        <v>1.5</v>
      </c>
      <c r="F148" s="301">
        <f t="shared" si="111"/>
        <v>0</v>
      </c>
      <c r="G148" s="146">
        <v>52</v>
      </c>
      <c r="H148" s="152">
        <f>C148*D148</f>
        <v>0</v>
      </c>
      <c r="I148" s="248">
        <v>31.93</v>
      </c>
      <c r="J148" s="150">
        <f t="shared" si="99"/>
        <v>0</v>
      </c>
      <c r="K148" s="150">
        <f t="shared" si="100"/>
        <v>0</v>
      </c>
      <c r="L148" s="195">
        <f t="shared" si="101"/>
        <v>217.5</v>
      </c>
      <c r="M148" s="147">
        <f t="shared" si="102"/>
        <v>208.30924802042486</v>
      </c>
      <c r="N148" s="221">
        <f t="shared" si="103"/>
        <v>0</v>
      </c>
      <c r="O148" s="196">
        <f t="shared" si="104"/>
        <v>0</v>
      </c>
      <c r="Q148" s="173">
        <f t="shared" si="105"/>
        <v>0.64888330758362234</v>
      </c>
      <c r="R148" s="197"/>
      <c r="S148" s="197">
        <f t="shared" si="83"/>
        <v>1.4340321097598054E-2</v>
      </c>
      <c r="T148" s="198">
        <f t="shared" si="84"/>
        <v>0.66322362868122042</v>
      </c>
      <c r="V148" s="197">
        <f t="shared" si="85"/>
        <v>32.593223628681223</v>
      </c>
      <c r="W148" s="199">
        <f t="shared" si="106"/>
        <v>0</v>
      </c>
      <c r="X148" s="199">
        <f t="shared" si="107"/>
        <v>0</v>
      </c>
      <c r="Y148" s="200">
        <f t="shared" si="108"/>
        <v>0</v>
      </c>
      <c r="AA148" s="201">
        <f t="shared" si="109"/>
        <v>0</v>
      </c>
      <c r="AB148" s="202">
        <f t="shared" si="110"/>
        <v>2.0771175342349624E-2</v>
      </c>
    </row>
    <row r="149" spans="1:29">
      <c r="A149" s="247" t="s">
        <v>220</v>
      </c>
      <c r="B149" s="302">
        <f t="shared" ref="B149" si="114">C149/4.33</f>
        <v>1.0007698229407236</v>
      </c>
      <c r="C149" s="249">
        <f>H149/12</f>
        <v>4.333333333333333</v>
      </c>
      <c r="D149" s="146">
        <v>1.5</v>
      </c>
      <c r="F149" s="301">
        <f t="shared" si="111"/>
        <v>1.0007698229407236</v>
      </c>
      <c r="G149" s="146">
        <v>52</v>
      </c>
      <c r="H149" s="152">
        <v>52</v>
      </c>
      <c r="I149" s="248">
        <v>30.08</v>
      </c>
      <c r="J149" s="150">
        <f t="shared" si="99"/>
        <v>130.34666666666666</v>
      </c>
      <c r="K149" s="150">
        <f t="shared" si="100"/>
        <v>1564.1599999999999</v>
      </c>
      <c r="L149" s="195">
        <f t="shared" si="101"/>
        <v>217.5</v>
      </c>
      <c r="M149" s="147">
        <f t="shared" si="102"/>
        <v>208.30924802042486</v>
      </c>
      <c r="N149" s="221">
        <f t="shared" si="103"/>
        <v>5.66</v>
      </c>
      <c r="O149" s="196">
        <f t="shared" si="104"/>
        <v>5.4208291668763433</v>
      </c>
      <c r="Q149" s="173">
        <f t="shared" si="105"/>
        <v>0.64888330758362234</v>
      </c>
      <c r="R149" s="197"/>
      <c r="S149" s="197">
        <f t="shared" si="83"/>
        <v>1.4340321097598054E-2</v>
      </c>
      <c r="T149" s="198">
        <f t="shared" si="84"/>
        <v>0.66322362868122042</v>
      </c>
      <c r="V149" s="197">
        <f t="shared" si="85"/>
        <v>30.743223628681218</v>
      </c>
      <c r="W149" s="199">
        <f t="shared" si="106"/>
        <v>133.22063572428527</v>
      </c>
      <c r="X149" s="199">
        <f t="shared" si="107"/>
        <v>2.8739690576186092</v>
      </c>
      <c r="Y149" s="200">
        <f t="shared" si="108"/>
        <v>34.487628691423311</v>
      </c>
      <c r="AA149" s="201">
        <f t="shared" si="109"/>
        <v>33.77176570963956</v>
      </c>
      <c r="AB149" s="202">
        <f t="shared" si="110"/>
        <v>2.2048657868391608E-2</v>
      </c>
    </row>
    <row r="150" spans="1:29">
      <c r="A150" s="247" t="s">
        <v>221</v>
      </c>
      <c r="B150" s="302"/>
      <c r="C150" s="249">
        <f t="shared" si="75"/>
        <v>0</v>
      </c>
      <c r="D150" s="146">
        <v>1.5</v>
      </c>
      <c r="F150" s="301">
        <f t="shared" si="111"/>
        <v>0</v>
      </c>
      <c r="G150" s="146">
        <v>52</v>
      </c>
      <c r="H150" s="152">
        <f t="shared" ref="H150:H156" si="115">C150*D150</f>
        <v>0</v>
      </c>
      <c r="I150" s="248">
        <v>30.08</v>
      </c>
      <c r="J150" s="150">
        <f t="shared" si="99"/>
        <v>0</v>
      </c>
      <c r="K150" s="150">
        <f t="shared" si="100"/>
        <v>0</v>
      </c>
      <c r="L150" s="195">
        <f t="shared" si="101"/>
        <v>217.5</v>
      </c>
      <c r="M150" s="147">
        <f t="shared" si="102"/>
        <v>208.30924802042486</v>
      </c>
      <c r="N150" s="221">
        <f t="shared" si="103"/>
        <v>0</v>
      </c>
      <c r="O150" s="196">
        <f t="shared" si="104"/>
        <v>0</v>
      </c>
      <c r="Q150" s="173">
        <f t="shared" si="105"/>
        <v>0.64888330758362234</v>
      </c>
      <c r="R150" s="197"/>
      <c r="S150" s="197">
        <f t="shared" si="83"/>
        <v>1.4340321097598054E-2</v>
      </c>
      <c r="T150" s="198">
        <f t="shared" si="84"/>
        <v>0.66322362868122042</v>
      </c>
      <c r="V150" s="197">
        <f t="shared" si="85"/>
        <v>30.743223628681218</v>
      </c>
      <c r="W150" s="199">
        <f t="shared" si="106"/>
        <v>0</v>
      </c>
      <c r="X150" s="199">
        <f t="shared" si="107"/>
        <v>0</v>
      </c>
      <c r="Y150" s="200">
        <f t="shared" si="108"/>
        <v>0</v>
      </c>
      <c r="AA150" s="201">
        <f t="shared" si="109"/>
        <v>0</v>
      </c>
      <c r="AB150" s="202">
        <f t="shared" si="110"/>
        <v>2.2048657868391608E-2</v>
      </c>
    </row>
    <row r="151" spans="1:29">
      <c r="A151" s="247" t="s">
        <v>222</v>
      </c>
      <c r="B151" s="302"/>
      <c r="C151" s="249">
        <f t="shared" si="75"/>
        <v>0</v>
      </c>
      <c r="D151" s="146">
        <v>1.5</v>
      </c>
      <c r="F151" s="301">
        <f t="shared" si="111"/>
        <v>0</v>
      </c>
      <c r="G151" s="146">
        <v>52</v>
      </c>
      <c r="H151" s="152">
        <f t="shared" si="115"/>
        <v>0</v>
      </c>
      <c r="I151" s="248">
        <v>30.08</v>
      </c>
      <c r="J151" s="150">
        <f t="shared" si="99"/>
        <v>0</v>
      </c>
      <c r="K151" s="150">
        <f t="shared" si="100"/>
        <v>0</v>
      </c>
      <c r="L151" s="195">
        <f t="shared" si="101"/>
        <v>217.5</v>
      </c>
      <c r="M151" s="147">
        <f t="shared" si="102"/>
        <v>208.30924802042486</v>
      </c>
      <c r="N151" s="221">
        <f t="shared" si="103"/>
        <v>0</v>
      </c>
      <c r="O151" s="196">
        <f t="shared" si="104"/>
        <v>0</v>
      </c>
      <c r="Q151" s="173">
        <f t="shared" si="105"/>
        <v>0.64888330758362234</v>
      </c>
      <c r="R151" s="197"/>
      <c r="S151" s="197">
        <f t="shared" si="83"/>
        <v>1.4340321097598054E-2</v>
      </c>
      <c r="T151" s="198">
        <f t="shared" si="84"/>
        <v>0.66322362868122042</v>
      </c>
      <c r="V151" s="197">
        <f t="shared" si="85"/>
        <v>30.743223628681218</v>
      </c>
      <c r="W151" s="199">
        <f t="shared" si="106"/>
        <v>0</v>
      </c>
      <c r="X151" s="199">
        <f t="shared" si="107"/>
        <v>0</v>
      </c>
      <c r="Y151" s="200">
        <f t="shared" si="108"/>
        <v>0</v>
      </c>
      <c r="AA151" s="201">
        <f t="shared" si="109"/>
        <v>0</v>
      </c>
      <c r="AB151" s="202">
        <f t="shared" si="110"/>
        <v>2.2048657868391608E-2</v>
      </c>
    </row>
    <row r="152" spans="1:29">
      <c r="A152" s="247" t="s">
        <v>298</v>
      </c>
      <c r="B152" s="302"/>
      <c r="C152" s="249">
        <f t="shared" si="75"/>
        <v>0</v>
      </c>
      <c r="D152" s="146">
        <v>1.5</v>
      </c>
      <c r="F152" s="301"/>
      <c r="G152" s="146">
        <v>52</v>
      </c>
      <c r="H152" s="152">
        <f t="shared" si="115"/>
        <v>0</v>
      </c>
      <c r="I152" s="248">
        <v>31.93</v>
      </c>
      <c r="J152" s="150">
        <f t="shared" si="99"/>
        <v>0</v>
      </c>
      <c r="K152" s="150">
        <f t="shared" si="100"/>
        <v>0</v>
      </c>
      <c r="L152" s="195">
        <f t="shared" si="101"/>
        <v>217.5</v>
      </c>
      <c r="M152" s="147">
        <f t="shared" si="102"/>
        <v>208.30924802042486</v>
      </c>
      <c r="N152" s="221">
        <f t="shared" si="103"/>
        <v>0</v>
      </c>
      <c r="O152" s="196">
        <f t="shared" si="104"/>
        <v>0</v>
      </c>
      <c r="Q152" s="173">
        <f t="shared" si="105"/>
        <v>0.64888330758362234</v>
      </c>
      <c r="R152" s="197"/>
      <c r="S152" s="197">
        <f t="shared" si="83"/>
        <v>1.4340321097598054E-2</v>
      </c>
      <c r="T152" s="198">
        <f t="shared" si="84"/>
        <v>0.66322362868122042</v>
      </c>
      <c r="V152" s="197">
        <f t="shared" si="85"/>
        <v>32.593223628681223</v>
      </c>
      <c r="W152" s="199">
        <f t="shared" si="106"/>
        <v>0</v>
      </c>
      <c r="X152" s="199">
        <f t="shared" si="107"/>
        <v>0</v>
      </c>
      <c r="Y152" s="200">
        <f t="shared" si="108"/>
        <v>0</v>
      </c>
      <c r="AA152" s="201">
        <f t="shared" si="109"/>
        <v>0</v>
      </c>
      <c r="AB152" s="202">
        <f t="shared" si="110"/>
        <v>2.0771175342349624E-2</v>
      </c>
    </row>
    <row r="153" spans="1:29">
      <c r="A153" s="247" t="s">
        <v>305</v>
      </c>
      <c r="B153" s="302"/>
      <c r="C153" s="249">
        <f t="shared" si="75"/>
        <v>0</v>
      </c>
      <c r="D153" s="146">
        <v>1.5</v>
      </c>
      <c r="F153" s="301"/>
      <c r="G153" s="146">
        <v>52</v>
      </c>
      <c r="H153" s="152">
        <f t="shared" si="115"/>
        <v>0</v>
      </c>
      <c r="I153" s="248">
        <v>31.93</v>
      </c>
      <c r="J153" s="150">
        <f t="shared" si="99"/>
        <v>0</v>
      </c>
      <c r="K153" s="150">
        <f t="shared" si="100"/>
        <v>0</v>
      </c>
      <c r="L153" s="195">
        <f t="shared" si="101"/>
        <v>217.5</v>
      </c>
      <c r="M153" s="147">
        <f t="shared" si="102"/>
        <v>208.30924802042486</v>
      </c>
      <c r="N153" s="221">
        <f t="shared" si="103"/>
        <v>0</v>
      </c>
      <c r="O153" s="196">
        <f t="shared" si="104"/>
        <v>0</v>
      </c>
      <c r="Q153" s="173">
        <f t="shared" si="105"/>
        <v>0.64888330758362234</v>
      </c>
      <c r="R153" s="197"/>
      <c r="S153" s="197">
        <f t="shared" si="83"/>
        <v>1.4340321097598054E-2</v>
      </c>
      <c r="T153" s="198">
        <f t="shared" si="84"/>
        <v>0.66322362868122042</v>
      </c>
      <c r="V153" s="197">
        <f t="shared" si="85"/>
        <v>32.593223628681223</v>
      </c>
      <c r="W153" s="199">
        <f t="shared" si="106"/>
        <v>0</v>
      </c>
      <c r="X153" s="199">
        <f t="shared" si="107"/>
        <v>0</v>
      </c>
      <c r="Y153" s="200">
        <f t="shared" si="108"/>
        <v>0</v>
      </c>
      <c r="AA153" s="201">
        <f t="shared" si="109"/>
        <v>0</v>
      </c>
      <c r="AB153" s="202">
        <f t="shared" si="110"/>
        <v>2.0771175342349624E-2</v>
      </c>
    </row>
    <row r="154" spans="1:29">
      <c r="A154" s="247" t="s">
        <v>263</v>
      </c>
      <c r="B154" s="302"/>
      <c r="C154" s="249">
        <f t="shared" si="75"/>
        <v>0</v>
      </c>
      <c r="D154" s="146">
        <f>2*3.5</f>
        <v>7</v>
      </c>
      <c r="F154" s="301">
        <f t="shared" si="111"/>
        <v>0</v>
      </c>
      <c r="G154" s="146">
        <v>52</v>
      </c>
      <c r="H154" s="152">
        <f t="shared" si="115"/>
        <v>0</v>
      </c>
      <c r="I154" s="248">
        <v>173.45</v>
      </c>
      <c r="J154" s="150">
        <f t="shared" si="99"/>
        <v>0</v>
      </c>
      <c r="K154" s="150">
        <f t="shared" si="100"/>
        <v>0</v>
      </c>
      <c r="L154" s="195">
        <f t="shared" si="101"/>
        <v>1015</v>
      </c>
      <c r="M154" s="147">
        <f t="shared" si="102"/>
        <v>972.10982409531607</v>
      </c>
      <c r="N154" s="221">
        <f t="shared" si="103"/>
        <v>0</v>
      </c>
      <c r="O154" s="196">
        <f t="shared" si="104"/>
        <v>0</v>
      </c>
      <c r="Q154" s="173">
        <f t="shared" si="105"/>
        <v>3.0281221020569045</v>
      </c>
      <c r="R154" s="197"/>
      <c r="S154" s="197">
        <f t="shared" si="83"/>
        <v>6.6921498455457598E-2</v>
      </c>
      <c r="T154" s="198">
        <f t="shared" si="84"/>
        <v>3.095043600512362</v>
      </c>
      <c r="V154" s="197">
        <f t="shared" si="85"/>
        <v>176.54504360051234</v>
      </c>
      <c r="W154" s="199">
        <f t="shared" si="106"/>
        <v>0</v>
      </c>
      <c r="X154" s="199">
        <f t="shared" si="107"/>
        <v>0</v>
      </c>
      <c r="Y154" s="200">
        <f t="shared" si="108"/>
        <v>0</v>
      </c>
      <c r="AA154" s="201">
        <f t="shared" si="109"/>
        <v>0</v>
      </c>
      <c r="AB154" s="202">
        <f t="shared" si="110"/>
        <v>1.7844010380584363E-2</v>
      </c>
    </row>
    <row r="155" spans="1:29">
      <c r="A155" s="247" t="s">
        <v>223</v>
      </c>
      <c r="B155" s="302"/>
      <c r="C155" s="249">
        <f t="shared" si="75"/>
        <v>0</v>
      </c>
      <c r="D155" s="146">
        <f>2*5</f>
        <v>10</v>
      </c>
      <c r="F155" s="301">
        <f t="shared" si="111"/>
        <v>0</v>
      </c>
      <c r="G155" s="146">
        <v>52</v>
      </c>
      <c r="H155" s="152">
        <f t="shared" si="115"/>
        <v>0</v>
      </c>
      <c r="I155" s="248">
        <v>208.6</v>
      </c>
      <c r="J155" s="150">
        <f t="shared" si="99"/>
        <v>0</v>
      </c>
      <c r="K155" s="150">
        <f t="shared" si="100"/>
        <v>0</v>
      </c>
      <c r="L155" s="195">
        <f t="shared" si="101"/>
        <v>1450</v>
      </c>
      <c r="M155" s="147">
        <f t="shared" si="102"/>
        <v>1388.7283201361658</v>
      </c>
      <c r="N155" s="221">
        <f t="shared" si="103"/>
        <v>0</v>
      </c>
      <c r="O155" s="196">
        <f t="shared" si="104"/>
        <v>0</v>
      </c>
      <c r="Q155" s="173">
        <f t="shared" si="105"/>
        <v>4.3258887172241494</v>
      </c>
      <c r="R155" s="197"/>
      <c r="S155" s="197">
        <f t="shared" si="83"/>
        <v>9.5602140650653714E-2</v>
      </c>
      <c r="T155" s="198">
        <f t="shared" si="84"/>
        <v>4.4214908578748027</v>
      </c>
      <c r="V155" s="197">
        <f t="shared" si="85"/>
        <v>213.0214908578748</v>
      </c>
      <c r="W155" s="199">
        <f t="shared" si="106"/>
        <v>0</v>
      </c>
      <c r="X155" s="199">
        <f t="shared" si="107"/>
        <v>0</v>
      </c>
      <c r="Y155" s="200">
        <f t="shared" si="108"/>
        <v>0</v>
      </c>
      <c r="AA155" s="201">
        <f t="shared" si="109"/>
        <v>0</v>
      </c>
      <c r="AB155" s="202">
        <f t="shared" si="110"/>
        <v>2.1196025205535873E-2</v>
      </c>
    </row>
    <row r="156" spans="1:29">
      <c r="A156" s="247" t="s">
        <v>129</v>
      </c>
      <c r="B156" s="302"/>
      <c r="C156" s="249">
        <f t="shared" si="75"/>
        <v>0</v>
      </c>
      <c r="D156" s="146">
        <v>2</v>
      </c>
      <c r="F156" s="301">
        <f t="shared" si="111"/>
        <v>0</v>
      </c>
      <c r="G156" s="146">
        <v>52</v>
      </c>
      <c r="H156" s="152">
        <f t="shared" si="115"/>
        <v>0</v>
      </c>
      <c r="I156" s="248">
        <v>45.05</v>
      </c>
      <c r="J156" s="150">
        <f t="shared" si="99"/>
        <v>0</v>
      </c>
      <c r="K156" s="150">
        <f t="shared" si="100"/>
        <v>0</v>
      </c>
      <c r="L156" s="195">
        <f t="shared" si="101"/>
        <v>290</v>
      </c>
      <c r="M156" s="147">
        <f t="shared" si="102"/>
        <v>277.74566402723315</v>
      </c>
      <c r="N156" s="221">
        <f t="shared" si="103"/>
        <v>0</v>
      </c>
      <c r="O156" s="196">
        <f t="shared" si="104"/>
        <v>0</v>
      </c>
      <c r="Q156" s="173">
        <f t="shared" si="105"/>
        <v>0.86517774344482989</v>
      </c>
      <c r="R156" s="197"/>
      <c r="S156" s="197">
        <f t="shared" si="83"/>
        <v>1.9120428130130741E-2</v>
      </c>
      <c r="T156" s="198">
        <f t="shared" si="84"/>
        <v>0.8842981715749606</v>
      </c>
      <c r="V156" s="197">
        <f t="shared" si="85"/>
        <v>45.934298171574959</v>
      </c>
      <c r="W156" s="199">
        <f t="shared" si="106"/>
        <v>0</v>
      </c>
      <c r="X156" s="199">
        <f t="shared" si="107"/>
        <v>0</v>
      </c>
      <c r="Y156" s="200">
        <f t="shared" si="108"/>
        <v>0</v>
      </c>
      <c r="AA156" s="201">
        <f t="shared" si="109"/>
        <v>0</v>
      </c>
      <c r="AB156" s="202">
        <f t="shared" si="110"/>
        <v>1.9629260190343167E-2</v>
      </c>
    </row>
    <row r="157" spans="1:29">
      <c r="A157" s="247" t="s">
        <v>130</v>
      </c>
      <c r="B157" s="302">
        <f t="shared" ref="B157" si="116">C157/4.33</f>
        <v>3.5026943802925325</v>
      </c>
      <c r="C157" s="249">
        <f>H157/12</f>
        <v>15.166666666666666</v>
      </c>
      <c r="D157" s="146">
        <v>2</v>
      </c>
      <c r="F157" s="301">
        <f t="shared" si="111"/>
        <v>3.5026943802925325</v>
      </c>
      <c r="G157" s="146">
        <v>52</v>
      </c>
      <c r="H157" s="152">
        <v>182</v>
      </c>
      <c r="I157" s="248">
        <v>41.6</v>
      </c>
      <c r="J157" s="150">
        <f t="shared" si="99"/>
        <v>630.93333333333328</v>
      </c>
      <c r="K157" s="150">
        <f t="shared" si="100"/>
        <v>7571.1999999999989</v>
      </c>
      <c r="L157" s="195">
        <f t="shared" si="101"/>
        <v>290</v>
      </c>
      <c r="M157" s="147">
        <f t="shared" si="102"/>
        <v>277.74566402723315</v>
      </c>
      <c r="N157" s="221">
        <f t="shared" si="103"/>
        <v>26.39</v>
      </c>
      <c r="O157" s="196">
        <f t="shared" si="104"/>
        <v>25.274855426478219</v>
      </c>
      <c r="Q157" s="173">
        <f t="shared" si="105"/>
        <v>0.86517774344482989</v>
      </c>
      <c r="R157" s="197"/>
      <c r="S157" s="197">
        <f t="shared" si="83"/>
        <v>1.9120428130130741E-2</v>
      </c>
      <c r="T157" s="198">
        <f t="shared" si="84"/>
        <v>0.8842981715749606</v>
      </c>
      <c r="V157" s="197">
        <f t="shared" si="85"/>
        <v>42.484298171574963</v>
      </c>
      <c r="W157" s="199">
        <f t="shared" si="106"/>
        <v>644.34518893555355</v>
      </c>
      <c r="X157" s="199">
        <f t="shared" si="107"/>
        <v>13.411855602220271</v>
      </c>
      <c r="Y157" s="200">
        <f t="shared" si="108"/>
        <v>160.94226722664325</v>
      </c>
      <c r="AA157" s="201">
        <f t="shared" si="109"/>
        <v>157.46234930695906</v>
      </c>
      <c r="AB157" s="202">
        <f t="shared" si="110"/>
        <v>2.1257167585936543E-2</v>
      </c>
    </row>
    <row r="158" spans="1:29">
      <c r="A158" s="247" t="s">
        <v>131</v>
      </c>
      <c r="B158" s="302"/>
      <c r="C158" s="249">
        <f t="shared" si="75"/>
        <v>0</v>
      </c>
      <c r="D158" s="146">
        <v>2</v>
      </c>
      <c r="F158" s="301">
        <f t="shared" si="111"/>
        <v>0</v>
      </c>
      <c r="G158" s="146">
        <v>52</v>
      </c>
      <c r="H158" s="152">
        <f t="shared" ref="H158:H165" si="117">C158*D158</f>
        <v>0</v>
      </c>
      <c r="I158" s="248">
        <v>41.6</v>
      </c>
      <c r="J158" s="150">
        <f t="shared" si="99"/>
        <v>0</v>
      </c>
      <c r="K158" s="150">
        <f t="shared" si="100"/>
        <v>0</v>
      </c>
      <c r="L158" s="195">
        <f t="shared" si="101"/>
        <v>290</v>
      </c>
      <c r="M158" s="147">
        <f t="shared" si="102"/>
        <v>277.74566402723315</v>
      </c>
      <c r="N158" s="221">
        <f t="shared" si="103"/>
        <v>0</v>
      </c>
      <c r="O158" s="196">
        <f t="shared" si="104"/>
        <v>0</v>
      </c>
      <c r="Q158" s="173">
        <f t="shared" si="105"/>
        <v>0.86517774344482989</v>
      </c>
      <c r="R158" s="197"/>
      <c r="S158" s="197">
        <f t="shared" si="83"/>
        <v>1.9120428130130741E-2</v>
      </c>
      <c r="T158" s="198">
        <f t="shared" si="84"/>
        <v>0.8842981715749606</v>
      </c>
      <c r="V158" s="197">
        <f t="shared" si="85"/>
        <v>42.484298171574963</v>
      </c>
      <c r="W158" s="199">
        <f t="shared" si="106"/>
        <v>0</v>
      </c>
      <c r="X158" s="199">
        <f t="shared" si="107"/>
        <v>0</v>
      </c>
      <c r="Y158" s="200">
        <f t="shared" si="108"/>
        <v>0</v>
      </c>
      <c r="AA158" s="201">
        <f t="shared" si="109"/>
        <v>0</v>
      </c>
      <c r="AB158" s="202">
        <f t="shared" si="110"/>
        <v>2.1257167585936543E-2</v>
      </c>
    </row>
    <row r="159" spans="1:29">
      <c r="A159" s="247" t="s">
        <v>224</v>
      </c>
      <c r="B159" s="302"/>
      <c r="C159" s="249">
        <f t="shared" si="75"/>
        <v>0</v>
      </c>
      <c r="D159" s="146">
        <v>2</v>
      </c>
      <c r="F159" s="301">
        <f t="shared" si="111"/>
        <v>0</v>
      </c>
      <c r="G159" s="146">
        <v>52</v>
      </c>
      <c r="H159" s="152">
        <f t="shared" si="117"/>
        <v>0</v>
      </c>
      <c r="I159" s="248">
        <v>41.6</v>
      </c>
      <c r="J159" s="150">
        <f t="shared" si="99"/>
        <v>0</v>
      </c>
      <c r="K159" s="150">
        <f t="shared" si="100"/>
        <v>0</v>
      </c>
      <c r="L159" s="195">
        <f t="shared" si="101"/>
        <v>290</v>
      </c>
      <c r="M159" s="147">
        <f t="shared" si="102"/>
        <v>277.74566402723315</v>
      </c>
      <c r="N159" s="221">
        <f t="shared" si="103"/>
        <v>0</v>
      </c>
      <c r="O159" s="196">
        <f t="shared" si="104"/>
        <v>0</v>
      </c>
      <c r="Q159" s="173">
        <f t="shared" si="105"/>
        <v>0.86517774344482989</v>
      </c>
      <c r="R159" s="197"/>
      <c r="S159" s="197">
        <f t="shared" si="83"/>
        <v>1.9120428130130741E-2</v>
      </c>
      <c r="T159" s="198">
        <f t="shared" si="84"/>
        <v>0.8842981715749606</v>
      </c>
      <c r="V159" s="197">
        <f t="shared" si="85"/>
        <v>42.484298171574963</v>
      </c>
      <c r="W159" s="199">
        <f t="shared" si="106"/>
        <v>0</v>
      </c>
      <c r="X159" s="199">
        <f t="shared" si="107"/>
        <v>0</v>
      </c>
      <c r="Y159" s="200">
        <f t="shared" si="108"/>
        <v>0</v>
      </c>
      <c r="AA159" s="201">
        <f t="shared" si="109"/>
        <v>0</v>
      </c>
      <c r="AB159" s="202">
        <f t="shared" si="110"/>
        <v>2.1257167585936543E-2</v>
      </c>
    </row>
    <row r="160" spans="1:29">
      <c r="A160" s="247" t="s">
        <v>225</v>
      </c>
      <c r="B160" s="302"/>
      <c r="C160" s="249">
        <f t="shared" si="75"/>
        <v>0</v>
      </c>
      <c r="D160" s="146">
        <v>2</v>
      </c>
      <c r="F160" s="301">
        <f t="shared" si="111"/>
        <v>0</v>
      </c>
      <c r="G160" s="146">
        <v>52</v>
      </c>
      <c r="H160" s="152">
        <f t="shared" si="117"/>
        <v>0</v>
      </c>
      <c r="I160" s="248">
        <v>41.6</v>
      </c>
      <c r="J160" s="150">
        <f t="shared" si="99"/>
        <v>0</v>
      </c>
      <c r="K160" s="150">
        <f t="shared" si="100"/>
        <v>0</v>
      </c>
      <c r="L160" s="195">
        <f t="shared" si="101"/>
        <v>290</v>
      </c>
      <c r="M160" s="147">
        <f t="shared" si="102"/>
        <v>277.74566402723315</v>
      </c>
      <c r="N160" s="221">
        <f t="shared" si="103"/>
        <v>0</v>
      </c>
      <c r="O160" s="196">
        <f t="shared" si="104"/>
        <v>0</v>
      </c>
      <c r="Q160" s="173">
        <f t="shared" si="105"/>
        <v>0.86517774344482989</v>
      </c>
      <c r="R160" s="197"/>
      <c r="S160" s="197">
        <f t="shared" si="83"/>
        <v>1.9120428130130741E-2</v>
      </c>
      <c r="T160" s="198">
        <f t="shared" si="84"/>
        <v>0.8842981715749606</v>
      </c>
      <c r="V160" s="197">
        <f t="shared" si="85"/>
        <v>42.484298171574963</v>
      </c>
      <c r="W160" s="199">
        <f t="shared" si="106"/>
        <v>0</v>
      </c>
      <c r="X160" s="199">
        <f t="shared" si="107"/>
        <v>0</v>
      </c>
      <c r="Y160" s="200">
        <f t="shared" si="108"/>
        <v>0</v>
      </c>
      <c r="AA160" s="201">
        <f t="shared" si="109"/>
        <v>0</v>
      </c>
      <c r="AB160" s="202">
        <f t="shared" si="110"/>
        <v>2.1257167585936543E-2</v>
      </c>
    </row>
    <row r="161" spans="1:28">
      <c r="A161" s="247" t="s">
        <v>299</v>
      </c>
      <c r="B161" s="302"/>
      <c r="C161" s="249">
        <f t="shared" si="75"/>
        <v>0</v>
      </c>
      <c r="D161" s="146">
        <v>2</v>
      </c>
      <c r="F161" s="301"/>
      <c r="G161" s="146">
        <v>52</v>
      </c>
      <c r="H161" s="152">
        <f t="shared" si="117"/>
        <v>0</v>
      </c>
      <c r="I161" s="248">
        <v>45.05</v>
      </c>
      <c r="J161" s="150">
        <f t="shared" si="99"/>
        <v>0</v>
      </c>
      <c r="K161" s="150">
        <f t="shared" si="100"/>
        <v>0</v>
      </c>
      <c r="L161" s="195">
        <f t="shared" si="101"/>
        <v>290</v>
      </c>
      <c r="M161" s="147">
        <f t="shared" si="102"/>
        <v>277.74566402723315</v>
      </c>
      <c r="N161" s="221">
        <f t="shared" si="103"/>
        <v>0</v>
      </c>
      <c r="O161" s="196">
        <f t="shared" si="104"/>
        <v>0</v>
      </c>
      <c r="Q161" s="173">
        <f t="shared" si="105"/>
        <v>0.86517774344482989</v>
      </c>
      <c r="R161" s="197"/>
      <c r="S161" s="197">
        <f t="shared" si="83"/>
        <v>1.9120428130130741E-2</v>
      </c>
      <c r="T161" s="198">
        <f t="shared" si="84"/>
        <v>0.8842981715749606</v>
      </c>
      <c r="V161" s="197">
        <f t="shared" si="85"/>
        <v>45.934298171574959</v>
      </c>
      <c r="W161" s="199">
        <f t="shared" si="106"/>
        <v>0</v>
      </c>
      <c r="X161" s="199">
        <f t="shared" si="107"/>
        <v>0</v>
      </c>
      <c r="Y161" s="200">
        <f t="shared" si="108"/>
        <v>0</v>
      </c>
      <c r="AA161" s="201">
        <f t="shared" si="109"/>
        <v>0</v>
      </c>
      <c r="AB161" s="202">
        <f t="shared" si="110"/>
        <v>1.9629260190343167E-2</v>
      </c>
    </row>
    <row r="162" spans="1:28">
      <c r="A162" s="247" t="s">
        <v>307</v>
      </c>
      <c r="B162" s="302"/>
      <c r="C162" s="249">
        <f t="shared" si="75"/>
        <v>0</v>
      </c>
      <c r="D162" s="146">
        <v>2</v>
      </c>
      <c r="F162" s="301"/>
      <c r="G162" s="146">
        <v>52</v>
      </c>
      <c r="H162" s="152">
        <f t="shared" si="117"/>
        <v>0</v>
      </c>
      <c r="I162" s="248">
        <v>45.05</v>
      </c>
      <c r="J162" s="150">
        <f t="shared" si="99"/>
        <v>0</v>
      </c>
      <c r="K162" s="150">
        <f t="shared" si="100"/>
        <v>0</v>
      </c>
      <c r="L162" s="195">
        <f t="shared" si="101"/>
        <v>290</v>
      </c>
      <c r="M162" s="147">
        <f t="shared" si="102"/>
        <v>277.74566402723315</v>
      </c>
      <c r="N162" s="221">
        <f t="shared" si="103"/>
        <v>0</v>
      </c>
      <c r="O162" s="196">
        <f t="shared" si="104"/>
        <v>0</v>
      </c>
      <c r="Q162" s="173">
        <f t="shared" si="105"/>
        <v>0.86517774344482989</v>
      </c>
      <c r="R162" s="197"/>
      <c r="S162" s="197">
        <f t="shared" si="83"/>
        <v>1.9120428130130741E-2</v>
      </c>
      <c r="T162" s="198">
        <f t="shared" si="84"/>
        <v>0.8842981715749606</v>
      </c>
      <c r="V162" s="197">
        <f t="shared" si="85"/>
        <v>45.934298171574959</v>
      </c>
      <c r="W162" s="199">
        <f t="shared" si="106"/>
        <v>0</v>
      </c>
      <c r="X162" s="199">
        <f t="shared" si="107"/>
        <v>0</v>
      </c>
      <c r="Y162" s="200">
        <f t="shared" si="108"/>
        <v>0</v>
      </c>
      <c r="AA162" s="201">
        <f t="shared" si="109"/>
        <v>0</v>
      </c>
      <c r="AB162" s="202">
        <f t="shared" si="110"/>
        <v>1.9629260190343167E-2</v>
      </c>
    </row>
    <row r="163" spans="1:28">
      <c r="A163" s="247" t="s">
        <v>226</v>
      </c>
      <c r="B163" s="302"/>
      <c r="C163" s="249">
        <f t="shared" si="75"/>
        <v>0</v>
      </c>
      <c r="D163" s="146">
        <f>3*3.5</f>
        <v>10.5</v>
      </c>
      <c r="F163" s="301">
        <f t="shared" si="111"/>
        <v>0</v>
      </c>
      <c r="G163" s="146">
        <v>52</v>
      </c>
      <c r="H163" s="152">
        <f t="shared" si="117"/>
        <v>0</v>
      </c>
      <c r="I163" s="248">
        <v>216.27</v>
      </c>
      <c r="J163" s="150">
        <f t="shared" si="99"/>
        <v>0</v>
      </c>
      <c r="K163" s="150">
        <f t="shared" si="100"/>
        <v>0</v>
      </c>
      <c r="L163" s="195">
        <f t="shared" si="101"/>
        <v>1522.5</v>
      </c>
      <c r="M163" s="147">
        <f t="shared" si="102"/>
        <v>1458.1647361429741</v>
      </c>
      <c r="N163" s="221">
        <f t="shared" si="103"/>
        <v>0</v>
      </c>
      <c r="O163" s="196">
        <f t="shared" si="104"/>
        <v>0</v>
      </c>
      <c r="Q163" s="173">
        <f t="shared" si="105"/>
        <v>4.5421831530853574</v>
      </c>
      <c r="R163" s="197"/>
      <c r="S163" s="197">
        <f t="shared" si="83"/>
        <v>0.1003822476831864</v>
      </c>
      <c r="T163" s="198">
        <f t="shared" si="84"/>
        <v>4.642565400768544</v>
      </c>
      <c r="V163" s="197">
        <f t="shared" si="85"/>
        <v>220.91256540076856</v>
      </c>
      <c r="W163" s="199">
        <f t="shared" si="106"/>
        <v>0</v>
      </c>
      <c r="X163" s="199">
        <f t="shared" si="107"/>
        <v>0</v>
      </c>
      <c r="Y163" s="200">
        <f t="shared" si="108"/>
        <v>0</v>
      </c>
      <c r="AA163" s="201">
        <f t="shared" si="109"/>
        <v>0</v>
      </c>
      <c r="AB163" s="202">
        <f t="shared" si="110"/>
        <v>2.1466525180415807E-2</v>
      </c>
    </row>
    <row r="164" spans="1:28">
      <c r="A164" s="247" t="s">
        <v>227</v>
      </c>
      <c r="B164" s="302"/>
      <c r="C164" s="249">
        <f t="shared" si="75"/>
        <v>0</v>
      </c>
      <c r="D164" s="146">
        <f>3*5</f>
        <v>15</v>
      </c>
      <c r="F164" s="301">
        <f t="shared" si="111"/>
        <v>0</v>
      </c>
      <c r="G164" s="146">
        <v>52</v>
      </c>
      <c r="H164" s="152">
        <f t="shared" si="117"/>
        <v>0</v>
      </c>
      <c r="I164" s="248">
        <v>265.77999999999997</v>
      </c>
      <c r="J164" s="150">
        <f t="shared" si="99"/>
        <v>0</v>
      </c>
      <c r="K164" s="150">
        <f t="shared" si="100"/>
        <v>0</v>
      </c>
      <c r="L164" s="195">
        <f t="shared" si="101"/>
        <v>2175</v>
      </c>
      <c r="M164" s="147">
        <f t="shared" si="102"/>
        <v>2083.0924802042487</v>
      </c>
      <c r="N164" s="221">
        <f t="shared" si="103"/>
        <v>0</v>
      </c>
      <c r="O164" s="196">
        <f t="shared" si="104"/>
        <v>0</v>
      </c>
      <c r="Q164" s="173">
        <f t="shared" si="105"/>
        <v>6.488833075836224</v>
      </c>
      <c r="R164" s="197"/>
      <c r="S164" s="197">
        <f t="shared" si="83"/>
        <v>0.14340321097598055</v>
      </c>
      <c r="T164" s="198">
        <f t="shared" si="84"/>
        <v>6.6322362868122049</v>
      </c>
      <c r="V164" s="197">
        <f t="shared" si="85"/>
        <v>272.41223628681217</v>
      </c>
      <c r="W164" s="199">
        <f t="shared" si="106"/>
        <v>0</v>
      </c>
      <c r="X164" s="199">
        <f t="shared" si="107"/>
        <v>0</v>
      </c>
      <c r="Y164" s="200">
        <f t="shared" si="108"/>
        <v>0</v>
      </c>
      <c r="AA164" s="201">
        <f t="shared" si="109"/>
        <v>0</v>
      </c>
      <c r="AB164" s="202">
        <f t="shared" si="110"/>
        <v>2.4953857652239453E-2</v>
      </c>
    </row>
    <row r="165" spans="1:28">
      <c r="A165" s="247" t="s">
        <v>132</v>
      </c>
      <c r="B165" s="302"/>
      <c r="C165" s="249">
        <f t="shared" si="75"/>
        <v>0</v>
      </c>
      <c r="D165" s="146">
        <v>3</v>
      </c>
      <c r="F165" s="301">
        <f t="shared" si="111"/>
        <v>0</v>
      </c>
      <c r="G165" s="146">
        <v>52</v>
      </c>
      <c r="H165" s="152">
        <f t="shared" si="117"/>
        <v>0</v>
      </c>
      <c r="I165" s="248">
        <v>62.72</v>
      </c>
      <c r="J165" s="150">
        <f t="shared" si="99"/>
        <v>0</v>
      </c>
      <c r="K165" s="150">
        <f t="shared" si="100"/>
        <v>0</v>
      </c>
      <c r="L165" s="195">
        <f t="shared" si="101"/>
        <v>435</v>
      </c>
      <c r="M165" s="147">
        <f t="shared" si="102"/>
        <v>416.61849604084972</v>
      </c>
      <c r="N165" s="221">
        <f t="shared" si="103"/>
        <v>0</v>
      </c>
      <c r="O165" s="196">
        <f t="shared" si="104"/>
        <v>0</v>
      </c>
      <c r="Q165" s="173">
        <f t="shared" si="105"/>
        <v>1.2977666151672447</v>
      </c>
      <c r="R165" s="197"/>
      <c r="S165" s="197">
        <f t="shared" si="83"/>
        <v>2.8680642195196109E-2</v>
      </c>
      <c r="T165" s="198">
        <f t="shared" si="84"/>
        <v>1.3264472573624408</v>
      </c>
      <c r="V165" s="197">
        <f t="shared" si="85"/>
        <v>64.046447257362445</v>
      </c>
      <c r="W165" s="199">
        <f t="shared" si="106"/>
        <v>0</v>
      </c>
      <c r="X165" s="199">
        <f t="shared" si="107"/>
        <v>0</v>
      </c>
      <c r="Y165" s="200">
        <f t="shared" si="108"/>
        <v>0</v>
      </c>
      <c r="AA165" s="201">
        <f t="shared" si="109"/>
        <v>0</v>
      </c>
      <c r="AB165" s="202">
        <f t="shared" si="110"/>
        <v>2.114871264927376E-2</v>
      </c>
    </row>
    <row r="166" spans="1:28">
      <c r="A166" s="247" t="s">
        <v>133</v>
      </c>
      <c r="B166" s="302">
        <f t="shared" ref="B166" si="118">C166/4.33</f>
        <v>7.0053887605850651</v>
      </c>
      <c r="C166" s="249">
        <f>H166/12</f>
        <v>30.333333333333332</v>
      </c>
      <c r="D166" s="146">
        <v>3</v>
      </c>
      <c r="F166" s="301">
        <f t="shared" si="111"/>
        <v>7.0053887605850651</v>
      </c>
      <c r="G166" s="146">
        <v>52</v>
      </c>
      <c r="H166" s="152">
        <v>364</v>
      </c>
      <c r="I166" s="248">
        <v>59.38</v>
      </c>
      <c r="J166" s="150">
        <f t="shared" si="99"/>
        <v>1801.1933333333334</v>
      </c>
      <c r="K166" s="150">
        <f t="shared" si="100"/>
        <v>21614.32</v>
      </c>
      <c r="L166" s="195">
        <f t="shared" si="101"/>
        <v>435</v>
      </c>
      <c r="M166" s="147">
        <f t="shared" si="102"/>
        <v>416.61849604084972</v>
      </c>
      <c r="N166" s="221">
        <f t="shared" si="103"/>
        <v>79.17</v>
      </c>
      <c r="O166" s="196">
        <f t="shared" si="104"/>
        <v>75.824566279434649</v>
      </c>
      <c r="Q166" s="173">
        <f t="shared" si="105"/>
        <v>1.2977666151672447</v>
      </c>
      <c r="R166" s="197"/>
      <c r="S166" s="197">
        <f t="shared" si="83"/>
        <v>2.8680642195196109E-2</v>
      </c>
      <c r="T166" s="198">
        <f t="shared" si="84"/>
        <v>1.3264472573624408</v>
      </c>
      <c r="V166" s="197">
        <f t="shared" si="85"/>
        <v>60.706447257362441</v>
      </c>
      <c r="W166" s="199">
        <f t="shared" si="106"/>
        <v>1841.4289001399941</v>
      </c>
      <c r="X166" s="199">
        <f t="shared" si="107"/>
        <v>40.2355668066607</v>
      </c>
      <c r="Y166" s="200">
        <f t="shared" si="108"/>
        <v>482.82680167992839</v>
      </c>
      <c r="AA166" s="201">
        <f t="shared" si="109"/>
        <v>472.38704792087708</v>
      </c>
      <c r="AB166" s="202">
        <f t="shared" si="110"/>
        <v>2.233828321593867E-2</v>
      </c>
    </row>
    <row r="167" spans="1:28">
      <c r="A167" s="247" t="s">
        <v>134</v>
      </c>
      <c r="B167" s="302"/>
      <c r="C167" s="249">
        <f t="shared" si="75"/>
        <v>0</v>
      </c>
      <c r="D167" s="146">
        <v>3</v>
      </c>
      <c r="F167" s="301">
        <f t="shared" si="111"/>
        <v>0</v>
      </c>
      <c r="G167" s="146">
        <v>52</v>
      </c>
      <c r="H167" s="152">
        <f t="shared" ref="H167:H173" si="119">C167*D167</f>
        <v>0</v>
      </c>
      <c r="I167" s="248">
        <v>59.38</v>
      </c>
      <c r="J167" s="150">
        <f t="shared" si="99"/>
        <v>0</v>
      </c>
      <c r="K167" s="150">
        <f t="shared" si="100"/>
        <v>0</v>
      </c>
      <c r="L167" s="195">
        <f t="shared" si="101"/>
        <v>435</v>
      </c>
      <c r="M167" s="147">
        <f t="shared" si="102"/>
        <v>416.61849604084972</v>
      </c>
      <c r="N167" s="221">
        <f t="shared" si="103"/>
        <v>0</v>
      </c>
      <c r="O167" s="196">
        <f t="shared" si="104"/>
        <v>0</v>
      </c>
      <c r="Q167" s="173">
        <f t="shared" si="105"/>
        <v>1.2977666151672447</v>
      </c>
      <c r="R167" s="197"/>
      <c r="S167" s="197">
        <f t="shared" ref="S167:S199" si="120">Q167*$U$12</f>
        <v>2.8680642195196109E-2</v>
      </c>
      <c r="T167" s="198">
        <f t="shared" ref="T167:T198" si="121">+Q167+S167</f>
        <v>1.3264472573624408</v>
      </c>
      <c r="V167" s="197">
        <f t="shared" ref="V167:V199" si="122">I167+T167</f>
        <v>60.706447257362441</v>
      </c>
      <c r="W167" s="199">
        <f t="shared" si="106"/>
        <v>0</v>
      </c>
      <c r="X167" s="199">
        <f t="shared" si="107"/>
        <v>0</v>
      </c>
      <c r="Y167" s="200">
        <f t="shared" si="108"/>
        <v>0</v>
      </c>
      <c r="AA167" s="201">
        <f t="shared" si="109"/>
        <v>0</v>
      </c>
      <c r="AB167" s="202">
        <f t="shared" si="110"/>
        <v>2.233828321593867E-2</v>
      </c>
    </row>
    <row r="168" spans="1:28">
      <c r="A168" s="247" t="s">
        <v>135</v>
      </c>
      <c r="B168" s="302"/>
      <c r="C168" s="249">
        <f t="shared" si="75"/>
        <v>0</v>
      </c>
      <c r="D168" s="146">
        <v>3</v>
      </c>
      <c r="F168" s="301">
        <f t="shared" si="111"/>
        <v>0</v>
      </c>
      <c r="G168" s="146">
        <v>52</v>
      </c>
      <c r="H168" s="152">
        <f t="shared" si="119"/>
        <v>0</v>
      </c>
      <c r="I168" s="248">
        <v>59.38</v>
      </c>
      <c r="J168" s="150">
        <f t="shared" si="99"/>
        <v>0</v>
      </c>
      <c r="K168" s="150">
        <f t="shared" si="100"/>
        <v>0</v>
      </c>
      <c r="L168" s="195">
        <f t="shared" si="101"/>
        <v>435</v>
      </c>
      <c r="M168" s="147">
        <f t="shared" si="102"/>
        <v>416.61849604084972</v>
      </c>
      <c r="N168" s="221">
        <f t="shared" si="103"/>
        <v>0</v>
      </c>
      <c r="O168" s="196">
        <f t="shared" si="104"/>
        <v>0</v>
      </c>
      <c r="Q168" s="173">
        <f t="shared" si="105"/>
        <v>1.2977666151672447</v>
      </c>
      <c r="R168" s="197"/>
      <c r="S168" s="197">
        <f t="shared" si="120"/>
        <v>2.8680642195196109E-2</v>
      </c>
      <c r="T168" s="198">
        <f t="shared" si="121"/>
        <v>1.3264472573624408</v>
      </c>
      <c r="V168" s="197">
        <f t="shared" si="122"/>
        <v>60.706447257362441</v>
      </c>
      <c r="W168" s="199">
        <f t="shared" si="106"/>
        <v>0</v>
      </c>
      <c r="X168" s="199">
        <f t="shared" si="107"/>
        <v>0</v>
      </c>
      <c r="Y168" s="200">
        <f t="shared" si="108"/>
        <v>0</v>
      </c>
      <c r="AA168" s="201">
        <f t="shared" si="109"/>
        <v>0</v>
      </c>
      <c r="AB168" s="202">
        <f t="shared" si="110"/>
        <v>2.233828321593867E-2</v>
      </c>
    </row>
    <row r="169" spans="1:28">
      <c r="A169" s="247" t="s">
        <v>300</v>
      </c>
      <c r="B169" s="302"/>
      <c r="C169" s="249">
        <f t="shared" si="75"/>
        <v>0</v>
      </c>
      <c r="D169" s="146">
        <v>3</v>
      </c>
      <c r="F169" s="301"/>
      <c r="G169" s="146">
        <v>52</v>
      </c>
      <c r="H169" s="152">
        <f t="shared" si="119"/>
        <v>0</v>
      </c>
      <c r="I169" s="248">
        <v>62.72</v>
      </c>
      <c r="J169" s="150">
        <f t="shared" si="99"/>
        <v>0</v>
      </c>
      <c r="K169" s="150">
        <f t="shared" si="100"/>
        <v>0</v>
      </c>
      <c r="L169" s="195">
        <f t="shared" si="101"/>
        <v>435</v>
      </c>
      <c r="M169" s="147">
        <f t="shared" si="102"/>
        <v>416.61849604084972</v>
      </c>
      <c r="N169" s="221">
        <f t="shared" si="103"/>
        <v>0</v>
      </c>
      <c r="O169" s="196">
        <f t="shared" si="104"/>
        <v>0</v>
      </c>
      <c r="Q169" s="173">
        <f t="shared" si="105"/>
        <v>1.2977666151672447</v>
      </c>
      <c r="R169" s="197"/>
      <c r="S169" s="197">
        <f t="shared" si="120"/>
        <v>2.8680642195196109E-2</v>
      </c>
      <c r="T169" s="198">
        <f t="shared" si="121"/>
        <v>1.3264472573624408</v>
      </c>
      <c r="V169" s="197">
        <f t="shared" si="122"/>
        <v>64.046447257362445</v>
      </c>
      <c r="W169" s="199">
        <f t="shared" si="106"/>
        <v>0</v>
      </c>
      <c r="X169" s="199">
        <f t="shared" si="107"/>
        <v>0</v>
      </c>
      <c r="Y169" s="200">
        <f t="shared" si="108"/>
        <v>0</v>
      </c>
      <c r="AA169" s="201">
        <f t="shared" si="109"/>
        <v>0</v>
      </c>
      <c r="AB169" s="202">
        <f t="shared" si="110"/>
        <v>2.114871264927376E-2</v>
      </c>
    </row>
    <row r="170" spans="1:28">
      <c r="A170" s="247" t="s">
        <v>306</v>
      </c>
      <c r="B170" s="302"/>
      <c r="C170" s="249">
        <f t="shared" si="75"/>
        <v>0</v>
      </c>
      <c r="D170" s="146">
        <v>3</v>
      </c>
      <c r="F170" s="301"/>
      <c r="G170" s="146">
        <v>52</v>
      </c>
      <c r="H170" s="152">
        <f t="shared" si="119"/>
        <v>0</v>
      </c>
      <c r="I170" s="248">
        <v>62.72</v>
      </c>
      <c r="J170" s="150">
        <f t="shared" si="99"/>
        <v>0</v>
      </c>
      <c r="K170" s="150">
        <f t="shared" si="100"/>
        <v>0</v>
      </c>
      <c r="L170" s="195">
        <f t="shared" si="101"/>
        <v>435</v>
      </c>
      <c r="M170" s="147">
        <f t="shared" si="102"/>
        <v>416.61849604084972</v>
      </c>
      <c r="N170" s="221">
        <f t="shared" si="103"/>
        <v>0</v>
      </c>
      <c r="O170" s="196">
        <f t="shared" si="104"/>
        <v>0</v>
      </c>
      <c r="Q170" s="173">
        <f t="shared" si="105"/>
        <v>1.2977666151672447</v>
      </c>
      <c r="R170" s="197"/>
      <c r="S170" s="197">
        <f t="shared" si="120"/>
        <v>2.8680642195196109E-2</v>
      </c>
      <c r="T170" s="198">
        <f t="shared" si="121"/>
        <v>1.3264472573624408</v>
      </c>
      <c r="V170" s="197">
        <f t="shared" si="122"/>
        <v>64.046447257362445</v>
      </c>
      <c r="W170" s="199">
        <f t="shared" si="106"/>
        <v>0</v>
      </c>
      <c r="X170" s="199">
        <f t="shared" si="107"/>
        <v>0</v>
      </c>
      <c r="Y170" s="200">
        <f t="shared" si="108"/>
        <v>0</v>
      </c>
      <c r="AA170" s="201">
        <f t="shared" si="109"/>
        <v>0</v>
      </c>
      <c r="AB170" s="202">
        <f t="shared" si="110"/>
        <v>2.114871264927376E-2</v>
      </c>
    </row>
    <row r="171" spans="1:28">
      <c r="A171" s="247" t="s">
        <v>228</v>
      </c>
      <c r="B171" s="302"/>
      <c r="C171" s="249">
        <f t="shared" si="75"/>
        <v>0</v>
      </c>
      <c r="D171" s="146">
        <f>4*3.5</f>
        <v>14</v>
      </c>
      <c r="F171" s="301">
        <f t="shared" si="111"/>
        <v>0</v>
      </c>
      <c r="G171" s="146">
        <v>52</v>
      </c>
      <c r="H171" s="152">
        <f t="shared" si="119"/>
        <v>0</v>
      </c>
      <c r="I171" s="248">
        <v>256.45</v>
      </c>
      <c r="J171" s="150">
        <f t="shared" si="99"/>
        <v>0</v>
      </c>
      <c r="K171" s="150">
        <f t="shared" si="100"/>
        <v>0</v>
      </c>
      <c r="L171" s="195">
        <f t="shared" si="101"/>
        <v>2030</v>
      </c>
      <c r="M171" s="147">
        <f t="shared" si="102"/>
        <v>1944.2196481906321</v>
      </c>
      <c r="N171" s="221">
        <f t="shared" si="103"/>
        <v>0</v>
      </c>
      <c r="O171" s="196">
        <f t="shared" si="104"/>
        <v>0</v>
      </c>
      <c r="Q171" s="173">
        <f t="shared" si="105"/>
        <v>6.0562442041138089</v>
      </c>
      <c r="R171" s="197"/>
      <c r="S171" s="197">
        <f t="shared" si="120"/>
        <v>0.1338429969109152</v>
      </c>
      <c r="T171" s="198">
        <f t="shared" si="121"/>
        <v>6.1900872010247241</v>
      </c>
      <c r="V171" s="197">
        <f t="shared" si="122"/>
        <v>262.6400872010247</v>
      </c>
      <c r="W171" s="199">
        <f t="shared" si="106"/>
        <v>0</v>
      </c>
      <c r="X171" s="199">
        <f t="shared" si="107"/>
        <v>0</v>
      </c>
      <c r="Y171" s="200">
        <f t="shared" si="108"/>
        <v>0</v>
      </c>
      <c r="AA171" s="201">
        <f t="shared" si="109"/>
        <v>0</v>
      </c>
      <c r="AB171" s="202">
        <f t="shared" si="110"/>
        <v>2.4137598756189149E-2</v>
      </c>
    </row>
    <row r="172" spans="1:28">
      <c r="A172" s="247" t="s">
        <v>229</v>
      </c>
      <c r="B172" s="302"/>
      <c r="C172" s="249">
        <f t="shared" si="75"/>
        <v>0</v>
      </c>
      <c r="D172" s="146">
        <f>4*5</f>
        <v>20</v>
      </c>
      <c r="F172" s="301">
        <f t="shared" si="111"/>
        <v>0</v>
      </c>
      <c r="G172" s="146">
        <v>52</v>
      </c>
      <c r="H172" s="152">
        <f t="shared" si="119"/>
        <v>0</v>
      </c>
      <c r="I172" s="248">
        <v>322.85000000000002</v>
      </c>
      <c r="J172" s="150">
        <f t="shared" si="99"/>
        <v>0</v>
      </c>
      <c r="K172" s="150">
        <f t="shared" si="100"/>
        <v>0</v>
      </c>
      <c r="L172" s="195">
        <f t="shared" si="101"/>
        <v>2900</v>
      </c>
      <c r="M172" s="147">
        <f t="shared" si="102"/>
        <v>2777.4566402723317</v>
      </c>
      <c r="N172" s="221">
        <f t="shared" si="103"/>
        <v>0</v>
      </c>
      <c r="O172" s="196">
        <f t="shared" si="104"/>
        <v>0</v>
      </c>
      <c r="Q172" s="173">
        <f t="shared" si="105"/>
        <v>8.6517774344482987</v>
      </c>
      <c r="R172" s="197"/>
      <c r="S172" s="197">
        <f t="shared" si="120"/>
        <v>0.19120428130130743</v>
      </c>
      <c r="T172" s="198">
        <f t="shared" si="121"/>
        <v>8.8429817157496053</v>
      </c>
      <c r="V172" s="197">
        <f t="shared" si="122"/>
        <v>331.69298171574962</v>
      </c>
      <c r="W172" s="199">
        <f t="shared" si="106"/>
        <v>0</v>
      </c>
      <c r="X172" s="199">
        <f t="shared" si="107"/>
        <v>0</v>
      </c>
      <c r="Y172" s="200">
        <f t="shared" si="108"/>
        <v>0</v>
      </c>
      <c r="AA172" s="201">
        <f t="shared" si="109"/>
        <v>0</v>
      </c>
      <c r="AB172" s="202">
        <f t="shared" si="110"/>
        <v>2.739037235790498E-2</v>
      </c>
    </row>
    <row r="173" spans="1:28">
      <c r="A173" s="247" t="s">
        <v>136</v>
      </c>
      <c r="B173" s="302"/>
      <c r="C173" s="249">
        <f t="shared" si="75"/>
        <v>0</v>
      </c>
      <c r="D173" s="146">
        <v>4</v>
      </c>
      <c r="F173" s="301">
        <f t="shared" si="111"/>
        <v>0</v>
      </c>
      <c r="G173" s="146">
        <v>52</v>
      </c>
      <c r="H173" s="152">
        <f t="shared" si="119"/>
        <v>0</v>
      </c>
      <c r="I173" s="248">
        <v>77.73</v>
      </c>
      <c r="J173" s="150">
        <f t="shared" si="99"/>
        <v>0</v>
      </c>
      <c r="K173" s="150">
        <f t="shared" si="100"/>
        <v>0</v>
      </c>
      <c r="L173" s="195">
        <f t="shared" si="101"/>
        <v>580</v>
      </c>
      <c r="M173" s="147">
        <f t="shared" si="102"/>
        <v>555.49132805446629</v>
      </c>
      <c r="N173" s="221">
        <f t="shared" si="103"/>
        <v>0</v>
      </c>
      <c r="O173" s="196">
        <f t="shared" si="104"/>
        <v>0</v>
      </c>
      <c r="Q173" s="173">
        <f t="shared" si="105"/>
        <v>1.7303554868896598</v>
      </c>
      <c r="R173" s="197"/>
      <c r="S173" s="197">
        <f t="shared" si="120"/>
        <v>3.8240856260261483E-2</v>
      </c>
      <c r="T173" s="198">
        <f t="shared" si="121"/>
        <v>1.7685963431499212</v>
      </c>
      <c r="V173" s="197">
        <f t="shared" si="122"/>
        <v>79.498596343149927</v>
      </c>
      <c r="W173" s="199">
        <f t="shared" si="106"/>
        <v>0</v>
      </c>
      <c r="X173" s="199">
        <f t="shared" si="107"/>
        <v>0</v>
      </c>
      <c r="Y173" s="200">
        <f t="shared" si="108"/>
        <v>0</v>
      </c>
      <c r="AA173" s="201">
        <f t="shared" si="109"/>
        <v>0</v>
      </c>
      <c r="AB173" s="202">
        <f t="shared" si="110"/>
        <v>2.2753072728031842E-2</v>
      </c>
    </row>
    <row r="174" spans="1:28">
      <c r="A174" s="247" t="s">
        <v>137</v>
      </c>
      <c r="B174" s="302">
        <f t="shared" ref="B174" si="123">C174/4.33</f>
        <v>5.0038491147036179</v>
      </c>
      <c r="C174" s="249">
        <f>H174/12</f>
        <v>21.666666666666668</v>
      </c>
      <c r="D174" s="146">
        <v>4</v>
      </c>
      <c r="F174" s="301">
        <f t="shared" si="111"/>
        <v>5.0038491147036179</v>
      </c>
      <c r="G174" s="146">
        <v>52</v>
      </c>
      <c r="H174" s="152">
        <v>260</v>
      </c>
      <c r="I174" s="248">
        <v>74.56</v>
      </c>
      <c r="J174" s="150">
        <f t="shared" si="99"/>
        <v>1615.4666666666667</v>
      </c>
      <c r="K174" s="150">
        <f t="shared" si="100"/>
        <v>19385.599999999999</v>
      </c>
      <c r="L174" s="195">
        <f t="shared" si="101"/>
        <v>580</v>
      </c>
      <c r="M174" s="147">
        <f t="shared" si="102"/>
        <v>555.49132805446629</v>
      </c>
      <c r="N174" s="221">
        <f t="shared" si="103"/>
        <v>75.400000000000006</v>
      </c>
      <c r="O174" s="196">
        <f t="shared" si="104"/>
        <v>72.21387264708062</v>
      </c>
      <c r="Q174" s="173">
        <f t="shared" si="105"/>
        <v>1.7303554868896598</v>
      </c>
      <c r="R174" s="197"/>
      <c r="S174" s="197">
        <f t="shared" si="120"/>
        <v>3.8240856260261483E-2</v>
      </c>
      <c r="T174" s="198">
        <f t="shared" si="121"/>
        <v>1.7685963431499212</v>
      </c>
      <c r="V174" s="197">
        <f t="shared" si="122"/>
        <v>76.328596343149925</v>
      </c>
      <c r="W174" s="199">
        <f t="shared" si="106"/>
        <v>1653.7862541015818</v>
      </c>
      <c r="X174" s="199">
        <f t="shared" si="107"/>
        <v>38.319587434915093</v>
      </c>
      <c r="Y174" s="200">
        <f t="shared" si="108"/>
        <v>459.83504921898111</v>
      </c>
      <c r="AA174" s="201">
        <f t="shared" si="109"/>
        <v>449.89242659131151</v>
      </c>
      <c r="AB174" s="202">
        <f t="shared" si="110"/>
        <v>2.3720444516495798E-2</v>
      </c>
    </row>
    <row r="175" spans="1:28">
      <c r="A175" s="247" t="s">
        <v>138</v>
      </c>
      <c r="B175" s="302"/>
      <c r="C175" s="249">
        <f t="shared" si="75"/>
        <v>0</v>
      </c>
      <c r="D175" s="146">
        <v>4</v>
      </c>
      <c r="F175" s="301">
        <f t="shared" si="111"/>
        <v>0</v>
      </c>
      <c r="G175" s="146">
        <v>52</v>
      </c>
      <c r="H175" s="152">
        <f t="shared" ref="H175:H184" si="124">C175*D175</f>
        <v>0</v>
      </c>
      <c r="I175" s="248">
        <v>74.56</v>
      </c>
      <c r="J175" s="150">
        <f t="shared" si="99"/>
        <v>0</v>
      </c>
      <c r="K175" s="150">
        <f t="shared" si="100"/>
        <v>0</v>
      </c>
      <c r="L175" s="195">
        <f t="shared" si="101"/>
        <v>580</v>
      </c>
      <c r="M175" s="147">
        <f t="shared" si="102"/>
        <v>555.49132805446629</v>
      </c>
      <c r="N175" s="221">
        <f t="shared" si="103"/>
        <v>0</v>
      </c>
      <c r="O175" s="196">
        <f t="shared" si="104"/>
        <v>0</v>
      </c>
      <c r="Q175" s="173">
        <f t="shared" si="105"/>
        <v>1.7303554868896598</v>
      </c>
      <c r="R175" s="197"/>
      <c r="S175" s="197">
        <f t="shared" si="120"/>
        <v>3.8240856260261483E-2</v>
      </c>
      <c r="T175" s="198">
        <f t="shared" si="121"/>
        <v>1.7685963431499212</v>
      </c>
      <c r="V175" s="197">
        <f t="shared" si="122"/>
        <v>76.328596343149925</v>
      </c>
      <c r="W175" s="199">
        <f t="shared" si="106"/>
        <v>0</v>
      </c>
      <c r="X175" s="199">
        <f t="shared" si="107"/>
        <v>0</v>
      </c>
      <c r="Y175" s="200">
        <f t="shared" si="108"/>
        <v>0</v>
      </c>
      <c r="AA175" s="201">
        <f t="shared" si="109"/>
        <v>0</v>
      </c>
      <c r="AB175" s="202">
        <f t="shared" si="110"/>
        <v>2.3720444516495798E-2</v>
      </c>
    </row>
    <row r="176" spans="1:28">
      <c r="A176" s="247" t="s">
        <v>139</v>
      </c>
      <c r="B176" s="302"/>
      <c r="C176" s="249">
        <f t="shared" si="75"/>
        <v>0</v>
      </c>
      <c r="D176" s="146">
        <v>4</v>
      </c>
      <c r="F176" s="301">
        <f t="shared" si="111"/>
        <v>0</v>
      </c>
      <c r="G176" s="146">
        <v>52</v>
      </c>
      <c r="H176" s="152">
        <f t="shared" si="124"/>
        <v>0</v>
      </c>
      <c r="I176" s="248">
        <v>74.56</v>
      </c>
      <c r="J176" s="150">
        <f t="shared" si="99"/>
        <v>0</v>
      </c>
      <c r="K176" s="150">
        <f t="shared" si="100"/>
        <v>0</v>
      </c>
      <c r="L176" s="195">
        <f t="shared" si="101"/>
        <v>580</v>
      </c>
      <c r="M176" s="147">
        <f t="shared" si="102"/>
        <v>555.49132805446629</v>
      </c>
      <c r="N176" s="221">
        <f t="shared" si="103"/>
        <v>0</v>
      </c>
      <c r="O176" s="196">
        <f t="shared" si="104"/>
        <v>0</v>
      </c>
      <c r="Q176" s="173">
        <f t="shared" si="105"/>
        <v>1.7303554868896598</v>
      </c>
      <c r="R176" s="197"/>
      <c r="S176" s="197">
        <f t="shared" si="120"/>
        <v>3.8240856260261483E-2</v>
      </c>
      <c r="T176" s="198">
        <f t="shared" si="121"/>
        <v>1.7685963431499212</v>
      </c>
      <c r="V176" s="197">
        <f t="shared" si="122"/>
        <v>76.328596343149925</v>
      </c>
      <c r="W176" s="199">
        <f t="shared" si="106"/>
        <v>0</v>
      </c>
      <c r="X176" s="199">
        <f t="shared" si="107"/>
        <v>0</v>
      </c>
      <c r="Y176" s="200">
        <f t="shared" si="108"/>
        <v>0</v>
      </c>
      <c r="AA176" s="201">
        <f t="shared" si="109"/>
        <v>0</v>
      </c>
      <c r="AB176" s="202">
        <f t="shared" si="110"/>
        <v>2.3720444516495798E-2</v>
      </c>
    </row>
    <row r="177" spans="1:28">
      <c r="A177" s="247" t="s">
        <v>230</v>
      </c>
      <c r="B177" s="302"/>
      <c r="C177" s="249">
        <f t="shared" si="75"/>
        <v>0</v>
      </c>
      <c r="D177" s="146">
        <v>4</v>
      </c>
      <c r="F177" s="301">
        <f t="shared" si="111"/>
        <v>0</v>
      </c>
      <c r="G177" s="146">
        <v>52</v>
      </c>
      <c r="H177" s="152">
        <f t="shared" si="124"/>
        <v>0</v>
      </c>
      <c r="I177" s="248">
        <v>74.56</v>
      </c>
      <c r="J177" s="150">
        <f t="shared" si="99"/>
        <v>0</v>
      </c>
      <c r="K177" s="150">
        <f t="shared" si="100"/>
        <v>0</v>
      </c>
      <c r="L177" s="195">
        <f t="shared" si="101"/>
        <v>580</v>
      </c>
      <c r="M177" s="147">
        <f t="shared" si="102"/>
        <v>555.49132805446629</v>
      </c>
      <c r="N177" s="221">
        <f t="shared" si="103"/>
        <v>0</v>
      </c>
      <c r="O177" s="196">
        <f t="shared" si="104"/>
        <v>0</v>
      </c>
      <c r="Q177" s="173">
        <f t="shared" si="105"/>
        <v>1.7303554868896598</v>
      </c>
      <c r="R177" s="197"/>
      <c r="S177" s="197">
        <f t="shared" si="120"/>
        <v>3.8240856260261483E-2</v>
      </c>
      <c r="T177" s="198">
        <f t="shared" si="121"/>
        <v>1.7685963431499212</v>
      </c>
      <c r="V177" s="197">
        <f t="shared" si="122"/>
        <v>76.328596343149925</v>
      </c>
      <c r="W177" s="199">
        <f t="shared" si="106"/>
        <v>0</v>
      </c>
      <c r="X177" s="199">
        <f t="shared" si="107"/>
        <v>0</v>
      </c>
      <c r="Y177" s="200">
        <f t="shared" si="108"/>
        <v>0</v>
      </c>
      <c r="AA177" s="201">
        <f t="shared" si="109"/>
        <v>0</v>
      </c>
      <c r="AB177" s="202">
        <f t="shared" si="110"/>
        <v>2.3720444516495798E-2</v>
      </c>
    </row>
    <row r="178" spans="1:28">
      <c r="A178" s="247" t="s">
        <v>301</v>
      </c>
      <c r="B178" s="302"/>
      <c r="C178" s="249">
        <f t="shared" si="75"/>
        <v>0</v>
      </c>
      <c r="D178" s="146">
        <v>4</v>
      </c>
      <c r="F178" s="301"/>
      <c r="G178" s="146">
        <v>52</v>
      </c>
      <c r="H178" s="152">
        <f t="shared" si="124"/>
        <v>0</v>
      </c>
      <c r="I178" s="248">
        <v>77.73</v>
      </c>
      <c r="J178" s="150">
        <f t="shared" si="99"/>
        <v>0</v>
      </c>
      <c r="K178" s="150">
        <f t="shared" si="100"/>
        <v>0</v>
      </c>
      <c r="L178" s="195">
        <f t="shared" si="101"/>
        <v>580</v>
      </c>
      <c r="M178" s="147">
        <f t="shared" si="102"/>
        <v>555.49132805446629</v>
      </c>
      <c r="N178" s="221">
        <f t="shared" si="103"/>
        <v>0</v>
      </c>
      <c r="O178" s="196">
        <f t="shared" si="104"/>
        <v>0</v>
      </c>
      <c r="Q178" s="173">
        <f t="shared" si="105"/>
        <v>1.7303554868896598</v>
      </c>
      <c r="R178" s="197"/>
      <c r="S178" s="197">
        <f t="shared" si="120"/>
        <v>3.8240856260261483E-2</v>
      </c>
      <c r="T178" s="198">
        <f t="shared" si="121"/>
        <v>1.7685963431499212</v>
      </c>
      <c r="V178" s="197">
        <f t="shared" si="122"/>
        <v>79.498596343149927</v>
      </c>
      <c r="W178" s="199">
        <f t="shared" si="106"/>
        <v>0</v>
      </c>
      <c r="X178" s="199">
        <f t="shared" si="107"/>
        <v>0</v>
      </c>
      <c r="Y178" s="200">
        <f t="shared" si="108"/>
        <v>0</v>
      </c>
      <c r="AA178" s="201">
        <f t="shared" si="109"/>
        <v>0</v>
      </c>
      <c r="AB178" s="202">
        <f t="shared" si="110"/>
        <v>2.2753072728031842E-2</v>
      </c>
    </row>
    <row r="179" spans="1:28">
      <c r="A179" s="247" t="s">
        <v>308</v>
      </c>
      <c r="B179" s="302"/>
      <c r="C179" s="249">
        <f t="shared" si="75"/>
        <v>0</v>
      </c>
      <c r="D179" s="146">
        <v>4</v>
      </c>
      <c r="F179" s="301"/>
      <c r="G179" s="146">
        <v>52</v>
      </c>
      <c r="H179" s="152">
        <f t="shared" si="124"/>
        <v>0</v>
      </c>
      <c r="I179" s="248">
        <v>77.73</v>
      </c>
      <c r="J179" s="150">
        <f t="shared" si="99"/>
        <v>0</v>
      </c>
      <c r="K179" s="150">
        <f t="shared" si="100"/>
        <v>0</v>
      </c>
      <c r="L179" s="195">
        <f t="shared" si="101"/>
        <v>580</v>
      </c>
      <c r="M179" s="147">
        <f t="shared" si="102"/>
        <v>555.49132805446629</v>
      </c>
      <c r="N179" s="221">
        <f t="shared" si="103"/>
        <v>0</v>
      </c>
      <c r="O179" s="196">
        <f t="shared" si="104"/>
        <v>0</v>
      </c>
      <c r="Q179" s="173">
        <f t="shared" si="105"/>
        <v>1.7303554868896598</v>
      </c>
      <c r="R179" s="197"/>
      <c r="S179" s="197">
        <f t="shared" si="120"/>
        <v>3.8240856260261483E-2</v>
      </c>
      <c r="T179" s="198">
        <f t="shared" si="121"/>
        <v>1.7685963431499212</v>
      </c>
      <c r="V179" s="197">
        <f t="shared" si="122"/>
        <v>79.498596343149927</v>
      </c>
      <c r="W179" s="199">
        <f t="shared" si="106"/>
        <v>0</v>
      </c>
      <c r="X179" s="199">
        <f t="shared" si="107"/>
        <v>0</v>
      </c>
      <c r="Y179" s="200">
        <f t="shared" si="108"/>
        <v>0</v>
      </c>
      <c r="AA179" s="201">
        <f t="shared" si="109"/>
        <v>0</v>
      </c>
      <c r="AB179" s="202">
        <f t="shared" si="110"/>
        <v>2.2753072728031842E-2</v>
      </c>
    </row>
    <row r="180" spans="1:28">
      <c r="A180" s="247" t="s">
        <v>231</v>
      </c>
      <c r="B180" s="302"/>
      <c r="C180" s="249">
        <f t="shared" si="75"/>
        <v>0</v>
      </c>
      <c r="D180" s="146">
        <f>5*3.5</f>
        <v>17.5</v>
      </c>
      <c r="F180" s="301">
        <f t="shared" si="111"/>
        <v>0</v>
      </c>
      <c r="G180" s="146">
        <v>52</v>
      </c>
      <c r="H180" s="152">
        <f t="shared" si="124"/>
        <v>0</v>
      </c>
      <c r="I180" s="248">
        <v>297.07</v>
      </c>
      <c r="J180" s="150">
        <f t="shared" si="99"/>
        <v>0</v>
      </c>
      <c r="K180" s="150">
        <f t="shared" si="100"/>
        <v>0</v>
      </c>
      <c r="L180" s="195">
        <f t="shared" si="101"/>
        <v>2537.5</v>
      </c>
      <c r="M180" s="147">
        <f t="shared" si="102"/>
        <v>2430.2745602382902</v>
      </c>
      <c r="N180" s="221">
        <f t="shared" si="103"/>
        <v>0</v>
      </c>
      <c r="O180" s="196">
        <f t="shared" si="104"/>
        <v>0</v>
      </c>
      <c r="Q180" s="173">
        <f t="shared" si="105"/>
        <v>7.5703052551422614</v>
      </c>
      <c r="R180" s="197"/>
      <c r="S180" s="197">
        <f t="shared" si="120"/>
        <v>0.16730374613864399</v>
      </c>
      <c r="T180" s="198">
        <f t="shared" si="121"/>
        <v>7.7376090012809051</v>
      </c>
      <c r="V180" s="197">
        <f t="shared" si="122"/>
        <v>304.80760900128092</v>
      </c>
      <c r="W180" s="199">
        <f t="shared" si="106"/>
        <v>0</v>
      </c>
      <c r="X180" s="199">
        <f t="shared" si="107"/>
        <v>0</v>
      </c>
      <c r="Y180" s="200">
        <f t="shared" si="108"/>
        <v>0</v>
      </c>
      <c r="AA180" s="201">
        <f t="shared" si="109"/>
        <v>0</v>
      </c>
      <c r="AB180" s="202">
        <f t="shared" si="110"/>
        <v>2.6046416673783712E-2</v>
      </c>
    </row>
    <row r="181" spans="1:28">
      <c r="A181" s="247" t="s">
        <v>232</v>
      </c>
      <c r="B181" s="302"/>
      <c r="C181" s="249">
        <f t="shared" si="75"/>
        <v>0</v>
      </c>
      <c r="D181" s="146">
        <f>5*5</f>
        <v>25</v>
      </c>
      <c r="F181" s="301">
        <f t="shared" si="111"/>
        <v>0</v>
      </c>
      <c r="G181" s="146">
        <v>52</v>
      </c>
      <c r="H181" s="152">
        <f t="shared" si="124"/>
        <v>0</v>
      </c>
      <c r="I181" s="248">
        <v>379.78</v>
      </c>
      <c r="J181" s="150">
        <f t="shared" si="99"/>
        <v>0</v>
      </c>
      <c r="K181" s="150">
        <f t="shared" si="100"/>
        <v>0</v>
      </c>
      <c r="L181" s="195">
        <f t="shared" si="101"/>
        <v>3625</v>
      </c>
      <c r="M181" s="147">
        <f t="shared" si="102"/>
        <v>3471.8208003404143</v>
      </c>
      <c r="N181" s="221">
        <f t="shared" si="103"/>
        <v>0</v>
      </c>
      <c r="O181" s="196">
        <f t="shared" si="104"/>
        <v>0</v>
      </c>
      <c r="Q181" s="173">
        <f t="shared" si="105"/>
        <v>10.814721793060373</v>
      </c>
      <c r="R181" s="197"/>
      <c r="S181" s="197">
        <f t="shared" si="120"/>
        <v>0.23900535162663428</v>
      </c>
      <c r="T181" s="198">
        <f t="shared" si="121"/>
        <v>11.053727144687008</v>
      </c>
      <c r="V181" s="197">
        <f t="shared" si="122"/>
        <v>390.83372714468697</v>
      </c>
      <c r="W181" s="199">
        <f t="shared" si="106"/>
        <v>0</v>
      </c>
      <c r="X181" s="199">
        <f t="shared" si="107"/>
        <v>0</v>
      </c>
      <c r="Y181" s="200">
        <f t="shared" si="108"/>
        <v>0</v>
      </c>
      <c r="AA181" s="201">
        <f t="shared" si="109"/>
        <v>0</v>
      </c>
      <c r="AB181" s="202">
        <f t="shared" si="110"/>
        <v>2.9105606258062577E-2</v>
      </c>
    </row>
    <row r="182" spans="1:28">
      <c r="A182" s="247" t="s">
        <v>233</v>
      </c>
      <c r="B182" s="302"/>
      <c r="C182" s="249">
        <f t="shared" si="75"/>
        <v>0</v>
      </c>
      <c r="D182" s="146">
        <f>6*3.5</f>
        <v>21</v>
      </c>
      <c r="F182" s="301">
        <f t="shared" si="111"/>
        <v>0</v>
      </c>
      <c r="G182" s="146">
        <v>52</v>
      </c>
      <c r="H182" s="152">
        <f t="shared" si="124"/>
        <v>0</v>
      </c>
      <c r="I182" s="248">
        <v>374.4</v>
      </c>
      <c r="J182" s="150">
        <f t="shared" si="99"/>
        <v>0</v>
      </c>
      <c r="K182" s="150">
        <f t="shared" si="100"/>
        <v>0</v>
      </c>
      <c r="L182" s="195">
        <f t="shared" si="101"/>
        <v>3045</v>
      </c>
      <c r="M182" s="147">
        <f t="shared" si="102"/>
        <v>2916.3294722859482</v>
      </c>
      <c r="N182" s="221">
        <f t="shared" si="103"/>
        <v>0</v>
      </c>
      <c r="O182" s="196">
        <f t="shared" si="104"/>
        <v>0</v>
      </c>
      <c r="Q182" s="173">
        <f t="shared" si="105"/>
        <v>9.0843663061707147</v>
      </c>
      <c r="R182" s="197"/>
      <c r="S182" s="197">
        <f t="shared" si="120"/>
        <v>0.20076449536637281</v>
      </c>
      <c r="T182" s="198">
        <f t="shared" si="121"/>
        <v>9.2851308015370879</v>
      </c>
      <c r="V182" s="197">
        <f t="shared" si="122"/>
        <v>383.68513080153707</v>
      </c>
      <c r="W182" s="199">
        <f t="shared" si="106"/>
        <v>0</v>
      </c>
      <c r="X182" s="199">
        <f t="shared" si="107"/>
        <v>0</v>
      </c>
      <c r="Y182" s="200">
        <f t="shared" si="108"/>
        <v>0</v>
      </c>
      <c r="AA182" s="201">
        <f t="shared" si="109"/>
        <v>0</v>
      </c>
      <c r="AB182" s="202">
        <f t="shared" si="110"/>
        <v>2.4800028850259226E-2</v>
      </c>
    </row>
    <row r="183" spans="1:28">
      <c r="A183" s="247" t="s">
        <v>234</v>
      </c>
      <c r="B183" s="302"/>
      <c r="C183" s="249">
        <f t="shared" si="75"/>
        <v>0</v>
      </c>
      <c r="D183" s="146">
        <f>6*5</f>
        <v>30</v>
      </c>
      <c r="F183" s="301">
        <f t="shared" si="111"/>
        <v>0</v>
      </c>
      <c r="G183" s="146">
        <v>52</v>
      </c>
      <c r="H183" s="152">
        <f t="shared" si="124"/>
        <v>0</v>
      </c>
      <c r="I183" s="248">
        <v>436.16</v>
      </c>
      <c r="J183" s="150">
        <f t="shared" si="99"/>
        <v>0</v>
      </c>
      <c r="K183" s="150">
        <f t="shared" si="100"/>
        <v>0</v>
      </c>
      <c r="L183" s="195">
        <f t="shared" si="101"/>
        <v>4350</v>
      </c>
      <c r="M183" s="147">
        <f t="shared" si="102"/>
        <v>4166.1849604084973</v>
      </c>
      <c r="N183" s="221">
        <f t="shared" si="103"/>
        <v>0</v>
      </c>
      <c r="O183" s="196">
        <f t="shared" si="104"/>
        <v>0</v>
      </c>
      <c r="Q183" s="173">
        <f t="shared" si="105"/>
        <v>12.977666151672448</v>
      </c>
      <c r="R183" s="197"/>
      <c r="S183" s="197">
        <f t="shared" si="120"/>
        <v>0.2868064219519611</v>
      </c>
      <c r="T183" s="198">
        <f t="shared" si="121"/>
        <v>13.26447257362441</v>
      </c>
      <c r="V183" s="197">
        <f t="shared" si="122"/>
        <v>449.42447257362443</v>
      </c>
      <c r="W183" s="199">
        <f t="shared" si="106"/>
        <v>0</v>
      </c>
      <c r="X183" s="199">
        <f t="shared" si="107"/>
        <v>0</v>
      </c>
      <c r="Y183" s="200">
        <f t="shared" si="108"/>
        <v>0</v>
      </c>
      <c r="AA183" s="201">
        <f t="shared" si="109"/>
        <v>0</v>
      </c>
      <c r="AB183" s="202">
        <f t="shared" si="110"/>
        <v>3.0411941887436678E-2</v>
      </c>
    </row>
    <row r="184" spans="1:28">
      <c r="A184" s="247" t="s">
        <v>119</v>
      </c>
      <c r="B184" s="302"/>
      <c r="C184" s="249">
        <f t="shared" si="75"/>
        <v>0</v>
      </c>
      <c r="D184" s="146">
        <v>6</v>
      </c>
      <c r="F184" s="301">
        <f t="shared" si="111"/>
        <v>0</v>
      </c>
      <c r="G184" s="146">
        <v>52</v>
      </c>
      <c r="H184" s="152">
        <f t="shared" si="124"/>
        <v>0</v>
      </c>
      <c r="I184" s="248">
        <v>116.74</v>
      </c>
      <c r="J184" s="150">
        <f t="shared" si="99"/>
        <v>0</v>
      </c>
      <c r="K184" s="150">
        <f t="shared" si="100"/>
        <v>0</v>
      </c>
      <c r="L184" s="195">
        <f t="shared" si="101"/>
        <v>870</v>
      </c>
      <c r="M184" s="147">
        <f t="shared" si="102"/>
        <v>833.23699208169944</v>
      </c>
      <c r="N184" s="221">
        <f t="shared" si="103"/>
        <v>0</v>
      </c>
      <c r="O184" s="196">
        <f t="shared" si="104"/>
        <v>0</v>
      </c>
      <c r="Q184" s="173">
        <f t="shared" si="105"/>
        <v>2.5955332303344893</v>
      </c>
      <c r="R184" s="197"/>
      <c r="S184" s="197">
        <f t="shared" si="120"/>
        <v>5.7361284390392217E-2</v>
      </c>
      <c r="T184" s="198">
        <f t="shared" si="121"/>
        <v>2.6528945147248817</v>
      </c>
      <c r="V184" s="197">
        <f t="shared" si="122"/>
        <v>119.39289451472487</v>
      </c>
      <c r="W184" s="199">
        <f t="shared" si="106"/>
        <v>0</v>
      </c>
      <c r="X184" s="199">
        <f t="shared" si="107"/>
        <v>0</v>
      </c>
      <c r="Y184" s="200">
        <f t="shared" si="108"/>
        <v>0</v>
      </c>
      <c r="AA184" s="201">
        <f t="shared" si="109"/>
        <v>0</v>
      </c>
      <c r="AB184" s="202">
        <f t="shared" si="110"/>
        <v>2.2724811673161538E-2</v>
      </c>
    </row>
    <row r="185" spans="1:28">
      <c r="A185" s="247" t="s">
        <v>120</v>
      </c>
      <c r="B185" s="302">
        <v>5.0038491147036179</v>
      </c>
      <c r="C185" s="249">
        <v>21.666666666666668</v>
      </c>
      <c r="D185" s="146">
        <v>6</v>
      </c>
      <c r="F185" s="301">
        <f t="shared" si="111"/>
        <v>5.0038491147036179</v>
      </c>
      <c r="G185" s="146">
        <v>52</v>
      </c>
      <c r="H185" s="152">
        <v>260</v>
      </c>
      <c r="I185" s="248">
        <v>110.93</v>
      </c>
      <c r="J185" s="150">
        <f t="shared" si="99"/>
        <v>2403.4833333333336</v>
      </c>
      <c r="K185" s="150">
        <f t="shared" si="100"/>
        <v>28841.800000000003</v>
      </c>
      <c r="L185" s="195">
        <f t="shared" si="101"/>
        <v>870</v>
      </c>
      <c r="M185" s="147">
        <f t="shared" si="102"/>
        <v>833.23699208169944</v>
      </c>
      <c r="N185" s="221">
        <f t="shared" si="103"/>
        <v>113.1</v>
      </c>
      <c r="O185" s="196">
        <f t="shared" si="104"/>
        <v>108.32080897062092</v>
      </c>
      <c r="Q185" s="173">
        <f t="shared" si="105"/>
        <v>2.5955332303344893</v>
      </c>
      <c r="R185" s="197"/>
      <c r="S185" s="197">
        <f t="shared" si="120"/>
        <v>5.7361284390392217E-2</v>
      </c>
      <c r="T185" s="198">
        <f t="shared" si="121"/>
        <v>2.6528945147248817</v>
      </c>
      <c r="V185" s="197">
        <f t="shared" si="122"/>
        <v>113.58289451472488</v>
      </c>
      <c r="W185" s="199">
        <f t="shared" si="106"/>
        <v>2460.9627144857059</v>
      </c>
      <c r="X185" s="199">
        <f t="shared" si="107"/>
        <v>57.479381152372298</v>
      </c>
      <c r="Y185" s="200">
        <f t="shared" si="108"/>
        <v>689.75257382846758</v>
      </c>
      <c r="AA185" s="201">
        <f t="shared" si="109"/>
        <v>674.83863988696726</v>
      </c>
      <c r="AB185" s="202">
        <f t="shared" si="110"/>
        <v>2.3915032134903758E-2</v>
      </c>
    </row>
    <row r="186" spans="1:28">
      <c r="A186" s="247" t="s">
        <v>121</v>
      </c>
      <c r="B186" s="302"/>
      <c r="C186" s="249">
        <f t="shared" si="75"/>
        <v>0</v>
      </c>
      <c r="D186" s="146">
        <v>6</v>
      </c>
      <c r="F186" s="301">
        <f t="shared" si="111"/>
        <v>0</v>
      </c>
      <c r="G186" s="146">
        <v>52</v>
      </c>
      <c r="H186" s="152">
        <f>C186*D186</f>
        <v>0</v>
      </c>
      <c r="I186" s="248">
        <v>110.93</v>
      </c>
      <c r="J186" s="150">
        <f t="shared" si="99"/>
        <v>0</v>
      </c>
      <c r="K186" s="150">
        <f t="shared" si="100"/>
        <v>0</v>
      </c>
      <c r="L186" s="195">
        <f t="shared" si="101"/>
        <v>870</v>
      </c>
      <c r="M186" s="147">
        <f t="shared" si="102"/>
        <v>833.23699208169944</v>
      </c>
      <c r="N186" s="221">
        <f t="shared" si="103"/>
        <v>0</v>
      </c>
      <c r="O186" s="196">
        <f t="shared" si="104"/>
        <v>0</v>
      </c>
      <c r="Q186" s="173">
        <f t="shared" si="105"/>
        <v>2.5955332303344893</v>
      </c>
      <c r="R186" s="197"/>
      <c r="S186" s="197">
        <f t="shared" si="120"/>
        <v>5.7361284390392217E-2</v>
      </c>
      <c r="T186" s="198">
        <f t="shared" si="121"/>
        <v>2.6528945147248817</v>
      </c>
      <c r="V186" s="197">
        <f t="shared" si="122"/>
        <v>113.58289451472488</v>
      </c>
      <c r="W186" s="199">
        <f t="shared" si="106"/>
        <v>0</v>
      </c>
      <c r="X186" s="199">
        <f t="shared" si="107"/>
        <v>0</v>
      </c>
      <c r="Y186" s="200">
        <f t="shared" si="108"/>
        <v>0</v>
      </c>
      <c r="AA186" s="201">
        <f t="shared" si="109"/>
        <v>0</v>
      </c>
      <c r="AB186" s="202">
        <f t="shared" si="110"/>
        <v>2.3915032134903758E-2</v>
      </c>
    </row>
    <row r="187" spans="1:28">
      <c r="A187" s="247" t="s">
        <v>235</v>
      </c>
      <c r="B187" s="302"/>
      <c r="C187" s="249">
        <f t="shared" si="75"/>
        <v>0</v>
      </c>
      <c r="D187" s="146">
        <v>6</v>
      </c>
      <c r="F187" s="301">
        <f t="shared" si="111"/>
        <v>0</v>
      </c>
      <c r="G187" s="146">
        <v>52</v>
      </c>
      <c r="H187" s="152">
        <f>C187*D187</f>
        <v>0</v>
      </c>
      <c r="I187" s="248">
        <v>110.93</v>
      </c>
      <c r="J187" s="150">
        <f t="shared" si="99"/>
        <v>0</v>
      </c>
      <c r="K187" s="150">
        <f t="shared" si="100"/>
        <v>0</v>
      </c>
      <c r="L187" s="195">
        <f t="shared" si="101"/>
        <v>870</v>
      </c>
      <c r="M187" s="147">
        <f t="shared" si="102"/>
        <v>833.23699208169944</v>
      </c>
      <c r="N187" s="221">
        <f t="shared" si="103"/>
        <v>0</v>
      </c>
      <c r="O187" s="196">
        <f t="shared" si="104"/>
        <v>0</v>
      </c>
      <c r="Q187" s="173">
        <f t="shared" si="105"/>
        <v>2.5955332303344893</v>
      </c>
      <c r="R187" s="197"/>
      <c r="S187" s="197">
        <f t="shared" si="120"/>
        <v>5.7361284390392217E-2</v>
      </c>
      <c r="T187" s="198">
        <f t="shared" si="121"/>
        <v>2.6528945147248817</v>
      </c>
      <c r="V187" s="197">
        <f t="shared" si="122"/>
        <v>113.58289451472488</v>
      </c>
      <c r="W187" s="199">
        <f t="shared" si="106"/>
        <v>0</v>
      </c>
      <c r="X187" s="199">
        <f t="shared" si="107"/>
        <v>0</v>
      </c>
      <c r="Y187" s="200">
        <f t="shared" si="108"/>
        <v>0</v>
      </c>
      <c r="AA187" s="201">
        <f t="shared" si="109"/>
        <v>0</v>
      </c>
      <c r="AB187" s="202">
        <f t="shared" si="110"/>
        <v>2.3915032134903758E-2</v>
      </c>
    </row>
    <row r="188" spans="1:28">
      <c r="A188" s="247" t="s">
        <v>302</v>
      </c>
      <c r="B188" s="302"/>
      <c r="C188" s="249">
        <f t="shared" si="75"/>
        <v>0</v>
      </c>
      <c r="D188" s="146">
        <v>6</v>
      </c>
      <c r="F188" s="301"/>
      <c r="G188" s="146">
        <v>52</v>
      </c>
      <c r="H188" s="152">
        <f>C188*D188</f>
        <v>0</v>
      </c>
      <c r="I188" s="248">
        <v>116.74</v>
      </c>
      <c r="J188" s="150">
        <f t="shared" si="99"/>
        <v>0</v>
      </c>
      <c r="K188" s="150">
        <f t="shared" si="100"/>
        <v>0</v>
      </c>
      <c r="L188" s="195">
        <f t="shared" si="101"/>
        <v>870</v>
      </c>
      <c r="M188" s="147">
        <f t="shared" si="102"/>
        <v>833.23699208169944</v>
      </c>
      <c r="N188" s="221">
        <f t="shared" si="103"/>
        <v>0</v>
      </c>
      <c r="O188" s="196">
        <f t="shared" si="104"/>
        <v>0</v>
      </c>
      <c r="Q188" s="173">
        <f t="shared" si="105"/>
        <v>2.5955332303344893</v>
      </c>
      <c r="R188" s="197"/>
      <c r="S188" s="197">
        <f t="shared" si="120"/>
        <v>5.7361284390392217E-2</v>
      </c>
      <c r="T188" s="198">
        <f t="shared" si="121"/>
        <v>2.6528945147248817</v>
      </c>
      <c r="V188" s="197">
        <f t="shared" si="122"/>
        <v>119.39289451472487</v>
      </c>
      <c r="W188" s="199">
        <f t="shared" si="106"/>
        <v>0</v>
      </c>
      <c r="X188" s="199">
        <f t="shared" si="107"/>
        <v>0</v>
      </c>
      <c r="Y188" s="200">
        <f t="shared" si="108"/>
        <v>0</v>
      </c>
      <c r="AA188" s="201">
        <f t="shared" si="109"/>
        <v>0</v>
      </c>
      <c r="AB188" s="202">
        <f t="shared" si="110"/>
        <v>2.2724811673161538E-2</v>
      </c>
    </row>
    <row r="189" spans="1:28">
      <c r="A189" s="247" t="s">
        <v>309</v>
      </c>
      <c r="B189" s="302"/>
      <c r="C189" s="249">
        <f t="shared" si="75"/>
        <v>0</v>
      </c>
      <c r="D189" s="146">
        <v>6</v>
      </c>
      <c r="F189" s="301"/>
      <c r="G189" s="146">
        <v>52</v>
      </c>
      <c r="H189" s="152">
        <f>C189*D189</f>
        <v>0</v>
      </c>
      <c r="I189" s="248">
        <v>116.74</v>
      </c>
      <c r="J189" s="150">
        <f t="shared" si="99"/>
        <v>0</v>
      </c>
      <c r="K189" s="150">
        <f t="shared" si="100"/>
        <v>0</v>
      </c>
      <c r="L189" s="195">
        <f t="shared" si="101"/>
        <v>870</v>
      </c>
      <c r="M189" s="147">
        <f t="shared" si="102"/>
        <v>833.23699208169944</v>
      </c>
      <c r="N189" s="221">
        <f t="shared" si="103"/>
        <v>0</v>
      </c>
      <c r="O189" s="196">
        <f t="shared" si="104"/>
        <v>0</v>
      </c>
      <c r="Q189" s="173">
        <f t="shared" si="105"/>
        <v>2.5955332303344893</v>
      </c>
      <c r="R189" s="197"/>
      <c r="S189" s="197">
        <f t="shared" si="120"/>
        <v>5.7361284390392217E-2</v>
      </c>
      <c r="T189" s="198">
        <f t="shared" si="121"/>
        <v>2.6528945147248817</v>
      </c>
      <c r="V189" s="197">
        <f t="shared" si="122"/>
        <v>119.39289451472487</v>
      </c>
      <c r="W189" s="199">
        <f t="shared" si="106"/>
        <v>0</v>
      </c>
      <c r="X189" s="199">
        <f t="shared" si="107"/>
        <v>0</v>
      </c>
      <c r="Y189" s="200">
        <f t="shared" si="108"/>
        <v>0</v>
      </c>
      <c r="AA189" s="201">
        <f t="shared" si="109"/>
        <v>0</v>
      </c>
      <c r="AB189" s="202">
        <f t="shared" si="110"/>
        <v>2.2724811673161538E-2</v>
      </c>
    </row>
    <row r="190" spans="1:28">
      <c r="A190" s="247" t="s">
        <v>122</v>
      </c>
      <c r="B190" s="302"/>
      <c r="C190" s="249">
        <f t="shared" si="75"/>
        <v>0</v>
      </c>
      <c r="D190" s="146">
        <v>8</v>
      </c>
      <c r="F190" s="301">
        <f>B190</f>
        <v>0</v>
      </c>
      <c r="G190" s="146">
        <v>52</v>
      </c>
      <c r="H190" s="152">
        <f>C190*D190</f>
        <v>0</v>
      </c>
      <c r="I190" s="248">
        <v>143.09</v>
      </c>
      <c r="J190" s="150">
        <f t="shared" si="99"/>
        <v>0</v>
      </c>
      <c r="K190" s="150">
        <f t="shared" si="100"/>
        <v>0</v>
      </c>
      <c r="L190" s="195">
        <f t="shared" si="101"/>
        <v>1160</v>
      </c>
      <c r="M190" s="147">
        <f t="shared" si="102"/>
        <v>1110.9826561089326</v>
      </c>
      <c r="N190" s="221">
        <f t="shared" si="103"/>
        <v>0</v>
      </c>
      <c r="O190" s="196">
        <f t="shared" si="104"/>
        <v>0</v>
      </c>
      <c r="Q190" s="173">
        <f t="shared" si="105"/>
        <v>3.4607109737793196</v>
      </c>
      <c r="R190" s="197"/>
      <c r="S190" s="197">
        <f t="shared" si="120"/>
        <v>7.6481712520522965E-2</v>
      </c>
      <c r="T190" s="198">
        <f t="shared" si="121"/>
        <v>3.5371926862998424</v>
      </c>
      <c r="V190" s="197">
        <f t="shared" si="122"/>
        <v>146.62719268629985</v>
      </c>
      <c r="W190" s="199">
        <f t="shared" si="106"/>
        <v>0</v>
      </c>
      <c r="X190" s="199">
        <f t="shared" si="107"/>
        <v>0</v>
      </c>
      <c r="Y190" s="200">
        <f t="shared" si="108"/>
        <v>0</v>
      </c>
      <c r="AA190" s="201">
        <f t="shared" si="109"/>
        <v>0</v>
      </c>
      <c r="AB190" s="202">
        <f t="shared" si="110"/>
        <v>2.4720055114262784E-2</v>
      </c>
    </row>
    <row r="191" spans="1:28">
      <c r="A191" s="247" t="s">
        <v>123</v>
      </c>
      <c r="B191" s="302">
        <v>5.0038491147036179</v>
      </c>
      <c r="C191" s="249">
        <v>21.666666666666668</v>
      </c>
      <c r="D191" s="146">
        <v>8</v>
      </c>
      <c r="F191" s="301">
        <f>B191</f>
        <v>5.0038491147036179</v>
      </c>
      <c r="G191" s="146">
        <v>52</v>
      </c>
      <c r="H191" s="152">
        <v>104</v>
      </c>
      <c r="I191" s="248">
        <v>140.44999999999999</v>
      </c>
      <c r="J191" s="150">
        <f t="shared" si="99"/>
        <v>3043.083333333333</v>
      </c>
      <c r="K191" s="150">
        <f t="shared" si="100"/>
        <v>36517</v>
      </c>
      <c r="L191" s="195">
        <f t="shared" si="101"/>
        <v>1160</v>
      </c>
      <c r="M191" s="147">
        <f t="shared" si="102"/>
        <v>1110.9826561089326</v>
      </c>
      <c r="N191" s="221">
        <f t="shared" si="103"/>
        <v>150.80000000000001</v>
      </c>
      <c r="O191" s="196">
        <f t="shared" si="104"/>
        <v>144.42774529416124</v>
      </c>
      <c r="Q191" s="173">
        <f t="shared" si="105"/>
        <v>3.4607109737793196</v>
      </c>
      <c r="R191" s="197"/>
      <c r="S191" s="197">
        <f t="shared" si="120"/>
        <v>7.6481712520522965E-2</v>
      </c>
      <c r="T191" s="198">
        <f t="shared" si="121"/>
        <v>3.5371926862998424</v>
      </c>
      <c r="V191" s="197">
        <f t="shared" si="122"/>
        <v>143.98719268629984</v>
      </c>
      <c r="W191" s="199">
        <f t="shared" si="106"/>
        <v>3119.7225082031632</v>
      </c>
      <c r="X191" s="199">
        <f t="shared" si="107"/>
        <v>76.639174869830185</v>
      </c>
      <c r="Y191" s="200">
        <f t="shared" si="108"/>
        <v>919.67009843796222</v>
      </c>
      <c r="AA191" s="201">
        <f t="shared" si="109"/>
        <v>899.78485318262301</v>
      </c>
      <c r="AB191" s="202">
        <f t="shared" si="110"/>
        <v>2.5184711187610231E-2</v>
      </c>
    </row>
    <row r="192" spans="1:28">
      <c r="A192" s="247" t="s">
        <v>124</v>
      </c>
      <c r="B192" s="302"/>
      <c r="C192" s="249">
        <f t="shared" si="75"/>
        <v>0</v>
      </c>
      <c r="D192" s="146">
        <v>8</v>
      </c>
      <c r="F192" s="301">
        <f>B192</f>
        <v>0</v>
      </c>
      <c r="G192" s="146">
        <v>52</v>
      </c>
      <c r="H192" s="152">
        <f t="shared" ref="H192:H199" si="125">C192*D192</f>
        <v>0</v>
      </c>
      <c r="I192" s="248">
        <v>140.44999999999999</v>
      </c>
      <c r="J192" s="150">
        <f t="shared" si="99"/>
        <v>0</v>
      </c>
      <c r="K192" s="150">
        <f t="shared" si="100"/>
        <v>0</v>
      </c>
      <c r="L192" s="195">
        <f t="shared" si="101"/>
        <v>1160</v>
      </c>
      <c r="M192" s="147">
        <f t="shared" si="102"/>
        <v>1110.9826561089326</v>
      </c>
      <c r="N192" s="221">
        <f t="shared" si="103"/>
        <v>0</v>
      </c>
      <c r="O192" s="196">
        <f t="shared" si="104"/>
        <v>0</v>
      </c>
      <c r="Q192" s="173">
        <f t="shared" si="105"/>
        <v>3.4607109737793196</v>
      </c>
      <c r="R192" s="197"/>
      <c r="S192" s="197">
        <f t="shared" si="120"/>
        <v>7.6481712520522965E-2</v>
      </c>
      <c r="T192" s="198">
        <f t="shared" si="121"/>
        <v>3.5371926862998424</v>
      </c>
      <c r="V192" s="197">
        <f t="shared" si="122"/>
        <v>143.98719268629984</v>
      </c>
      <c r="W192" s="199">
        <f t="shared" si="106"/>
        <v>0</v>
      </c>
      <c r="X192" s="199">
        <f t="shared" si="107"/>
        <v>0</v>
      </c>
      <c r="Y192" s="200">
        <f t="shared" si="108"/>
        <v>0</v>
      </c>
      <c r="AA192" s="201">
        <f t="shared" si="109"/>
        <v>0</v>
      </c>
      <c r="AB192" s="202">
        <f t="shared" si="110"/>
        <v>2.5184711187610231E-2</v>
      </c>
    </row>
    <row r="193" spans="1:28">
      <c r="A193" s="247" t="s">
        <v>237</v>
      </c>
      <c r="B193" s="302"/>
      <c r="C193" s="249">
        <f t="shared" si="75"/>
        <v>0</v>
      </c>
      <c r="D193" s="146">
        <v>8</v>
      </c>
      <c r="F193" s="301">
        <f>B193</f>
        <v>0</v>
      </c>
      <c r="G193" s="146">
        <v>52</v>
      </c>
      <c r="H193" s="152">
        <f t="shared" si="125"/>
        <v>0</v>
      </c>
      <c r="I193" s="248">
        <v>140.44999999999999</v>
      </c>
      <c r="J193" s="150">
        <f t="shared" si="99"/>
        <v>0</v>
      </c>
      <c r="K193" s="150">
        <f t="shared" si="100"/>
        <v>0</v>
      </c>
      <c r="L193" s="195">
        <f t="shared" si="101"/>
        <v>1160</v>
      </c>
      <c r="M193" s="147">
        <f t="shared" si="102"/>
        <v>1110.9826561089326</v>
      </c>
      <c r="N193" s="221">
        <f t="shared" si="103"/>
        <v>0</v>
      </c>
      <c r="O193" s="196">
        <f t="shared" si="104"/>
        <v>0</v>
      </c>
      <c r="Q193" s="173">
        <f t="shared" si="105"/>
        <v>3.4607109737793196</v>
      </c>
      <c r="R193" s="197"/>
      <c r="S193" s="197">
        <f t="shared" si="120"/>
        <v>7.6481712520522965E-2</v>
      </c>
      <c r="T193" s="198">
        <f t="shared" si="121"/>
        <v>3.5371926862998424</v>
      </c>
      <c r="V193" s="197">
        <f t="shared" si="122"/>
        <v>143.98719268629984</v>
      </c>
      <c r="W193" s="199">
        <f t="shared" si="106"/>
        <v>0</v>
      </c>
      <c r="X193" s="199">
        <f t="shared" si="107"/>
        <v>0</v>
      </c>
      <c r="Y193" s="200">
        <f t="shared" si="108"/>
        <v>0</v>
      </c>
      <c r="AA193" s="201">
        <f t="shared" si="109"/>
        <v>0</v>
      </c>
      <c r="AB193" s="202">
        <f t="shared" si="110"/>
        <v>2.5184711187610231E-2</v>
      </c>
    </row>
    <row r="194" spans="1:28">
      <c r="A194" s="247" t="s">
        <v>238</v>
      </c>
      <c r="B194" s="302"/>
      <c r="C194" s="249">
        <f t="shared" si="75"/>
        <v>0</v>
      </c>
      <c r="D194" s="146">
        <v>8</v>
      </c>
      <c r="F194" s="301">
        <f t="shared" si="111"/>
        <v>0</v>
      </c>
      <c r="G194" s="146">
        <v>52</v>
      </c>
      <c r="H194" s="152">
        <f t="shared" si="125"/>
        <v>0</v>
      </c>
      <c r="I194" s="248">
        <v>140.44999999999999</v>
      </c>
      <c r="J194" s="150">
        <f t="shared" si="99"/>
        <v>0</v>
      </c>
      <c r="K194" s="150">
        <f t="shared" si="100"/>
        <v>0</v>
      </c>
      <c r="L194" s="195">
        <f t="shared" si="101"/>
        <v>1160</v>
      </c>
      <c r="M194" s="147">
        <f t="shared" si="102"/>
        <v>1110.9826561089326</v>
      </c>
      <c r="N194" s="221">
        <f t="shared" si="103"/>
        <v>0</v>
      </c>
      <c r="O194" s="196">
        <f t="shared" si="104"/>
        <v>0</v>
      </c>
      <c r="Q194" s="173">
        <f t="shared" si="105"/>
        <v>3.4607109737793196</v>
      </c>
      <c r="R194" s="197"/>
      <c r="S194" s="197">
        <f t="shared" si="120"/>
        <v>7.6481712520522965E-2</v>
      </c>
      <c r="T194" s="198">
        <f t="shared" si="121"/>
        <v>3.5371926862998424</v>
      </c>
      <c r="V194" s="197">
        <f t="shared" si="122"/>
        <v>143.98719268629984</v>
      </c>
      <c r="W194" s="199">
        <f t="shared" si="106"/>
        <v>0</v>
      </c>
      <c r="X194" s="199">
        <f t="shared" si="107"/>
        <v>0</v>
      </c>
      <c r="Y194" s="200">
        <f t="shared" si="108"/>
        <v>0</v>
      </c>
      <c r="AA194" s="201">
        <f t="shared" si="109"/>
        <v>0</v>
      </c>
      <c r="AB194" s="202">
        <f t="shared" si="110"/>
        <v>2.5184711187610231E-2</v>
      </c>
    </row>
    <row r="195" spans="1:28">
      <c r="A195" s="247" t="s">
        <v>303</v>
      </c>
      <c r="B195" s="302"/>
      <c r="C195" s="249">
        <f t="shared" si="75"/>
        <v>0</v>
      </c>
      <c r="D195" s="146">
        <v>8</v>
      </c>
      <c r="F195" s="301"/>
      <c r="G195" s="146">
        <v>52</v>
      </c>
      <c r="H195" s="152">
        <f t="shared" si="125"/>
        <v>0</v>
      </c>
      <c r="I195" s="248">
        <v>143.09</v>
      </c>
      <c r="J195" s="150">
        <f t="shared" si="99"/>
        <v>0</v>
      </c>
      <c r="K195" s="150">
        <f t="shared" si="100"/>
        <v>0</v>
      </c>
      <c r="L195" s="195">
        <f t="shared" si="101"/>
        <v>1160</v>
      </c>
      <c r="M195" s="147">
        <f t="shared" si="102"/>
        <v>1110.9826561089326</v>
      </c>
      <c r="N195" s="221">
        <f t="shared" si="103"/>
        <v>0</v>
      </c>
      <c r="O195" s="196">
        <f t="shared" si="104"/>
        <v>0</v>
      </c>
      <c r="Q195" s="173">
        <f t="shared" si="105"/>
        <v>3.4607109737793196</v>
      </c>
      <c r="R195" s="197"/>
      <c r="S195" s="197">
        <f t="shared" si="120"/>
        <v>7.6481712520522965E-2</v>
      </c>
      <c r="T195" s="198">
        <f t="shared" si="121"/>
        <v>3.5371926862998424</v>
      </c>
      <c r="V195" s="197">
        <f t="shared" si="122"/>
        <v>146.62719268629985</v>
      </c>
      <c r="W195" s="199">
        <f t="shared" si="106"/>
        <v>0</v>
      </c>
      <c r="X195" s="199">
        <f t="shared" si="107"/>
        <v>0</v>
      </c>
      <c r="Y195" s="200">
        <f t="shared" si="108"/>
        <v>0</v>
      </c>
      <c r="AA195" s="201">
        <f t="shared" si="109"/>
        <v>0</v>
      </c>
      <c r="AB195" s="202">
        <f t="shared" si="110"/>
        <v>2.4720055114262784E-2</v>
      </c>
    </row>
    <row r="196" spans="1:28">
      <c r="A196" s="247" t="s">
        <v>310</v>
      </c>
      <c r="B196" s="302"/>
      <c r="C196" s="249">
        <f t="shared" si="75"/>
        <v>0</v>
      </c>
      <c r="D196" s="146">
        <v>8</v>
      </c>
      <c r="F196" s="301"/>
      <c r="G196" s="146">
        <v>52</v>
      </c>
      <c r="H196" s="152">
        <f t="shared" si="125"/>
        <v>0</v>
      </c>
      <c r="I196" s="248">
        <v>143.09</v>
      </c>
      <c r="J196" s="150">
        <f t="shared" si="99"/>
        <v>0</v>
      </c>
      <c r="K196" s="150">
        <f t="shared" si="100"/>
        <v>0</v>
      </c>
      <c r="L196" s="195">
        <f t="shared" si="101"/>
        <v>1160</v>
      </c>
      <c r="M196" s="147">
        <f t="shared" si="102"/>
        <v>1110.9826561089326</v>
      </c>
      <c r="N196" s="221">
        <f t="shared" si="103"/>
        <v>0</v>
      </c>
      <c r="O196" s="196">
        <f t="shared" si="104"/>
        <v>0</v>
      </c>
      <c r="Q196" s="173">
        <f t="shared" si="105"/>
        <v>3.4607109737793196</v>
      </c>
      <c r="R196" s="197"/>
      <c r="S196" s="197">
        <f t="shared" si="120"/>
        <v>7.6481712520522965E-2</v>
      </c>
      <c r="T196" s="198">
        <f t="shared" si="121"/>
        <v>3.5371926862998424</v>
      </c>
      <c r="V196" s="197">
        <f t="shared" si="122"/>
        <v>146.62719268629985</v>
      </c>
      <c r="W196" s="199">
        <f t="shared" si="106"/>
        <v>0</v>
      </c>
      <c r="X196" s="199">
        <f t="shared" si="107"/>
        <v>0</v>
      </c>
      <c r="Y196" s="200">
        <f t="shared" si="108"/>
        <v>0</v>
      </c>
      <c r="AA196" s="201">
        <f t="shared" si="109"/>
        <v>0</v>
      </c>
      <c r="AB196" s="202">
        <f t="shared" si="110"/>
        <v>2.4720055114262784E-2</v>
      </c>
    </row>
    <row r="197" spans="1:28">
      <c r="A197" s="144" t="s">
        <v>32</v>
      </c>
      <c r="B197" s="232"/>
      <c r="C197" s="249">
        <f>B197</f>
        <v>0</v>
      </c>
      <c r="D197" s="146">
        <v>1</v>
      </c>
      <c r="F197" s="301">
        <f t="shared" si="111"/>
        <v>0</v>
      </c>
      <c r="G197" s="146">
        <v>12</v>
      </c>
      <c r="H197" s="152">
        <f t="shared" si="125"/>
        <v>0</v>
      </c>
      <c r="I197" s="143">
        <v>2.5499999999999998</v>
      </c>
      <c r="J197" s="150">
        <f t="shared" si="99"/>
        <v>0</v>
      </c>
      <c r="K197" s="150">
        <f t="shared" si="100"/>
        <v>0</v>
      </c>
      <c r="L197" s="195">
        <f t="shared" si="101"/>
        <v>145</v>
      </c>
      <c r="M197" s="147">
        <f t="shared" si="102"/>
        <v>138.87283201361657</v>
      </c>
      <c r="N197" s="221">
        <f t="shared" si="103"/>
        <v>0</v>
      </c>
      <c r="O197" s="196">
        <f t="shared" si="104"/>
        <v>0</v>
      </c>
      <c r="Q197" s="173">
        <f t="shared" si="105"/>
        <v>0.43258887172241495</v>
      </c>
      <c r="R197" s="197"/>
      <c r="S197" s="197">
        <f t="shared" si="120"/>
        <v>9.5602140650653707E-3</v>
      </c>
      <c r="T197" s="198">
        <f t="shared" si="121"/>
        <v>0.4421490857874803</v>
      </c>
      <c r="V197" s="197">
        <f t="shared" si="122"/>
        <v>2.9921490857874802</v>
      </c>
      <c r="W197" s="199">
        <f t="shared" si="106"/>
        <v>0</v>
      </c>
      <c r="X197" s="199">
        <f t="shared" si="107"/>
        <v>0</v>
      </c>
      <c r="Y197" s="200">
        <f t="shared" si="108"/>
        <v>0</v>
      </c>
      <c r="AA197" s="201">
        <f t="shared" si="109"/>
        <v>0</v>
      </c>
      <c r="AB197" s="202">
        <f t="shared" si="110"/>
        <v>0.17339179834803153</v>
      </c>
    </row>
    <row r="198" spans="1:28">
      <c r="A198" s="144" t="s">
        <v>320</v>
      </c>
      <c r="B198" s="232"/>
      <c r="C198" s="249">
        <f t="shared" ref="C198:C199" si="126">B198</f>
        <v>0</v>
      </c>
      <c r="D198" s="146">
        <v>1</v>
      </c>
      <c r="F198" s="301">
        <f t="shared" ref="F198:F199" si="127">B198</f>
        <v>0</v>
      </c>
      <c r="G198" s="146">
        <v>12</v>
      </c>
      <c r="H198" s="152">
        <f t="shared" si="125"/>
        <v>0</v>
      </c>
      <c r="I198" s="143">
        <v>14.49</v>
      </c>
      <c r="J198" s="150">
        <f t="shared" si="99"/>
        <v>0</v>
      </c>
      <c r="K198" s="150">
        <f t="shared" si="100"/>
        <v>0</v>
      </c>
      <c r="L198" s="195">
        <f t="shared" si="101"/>
        <v>145</v>
      </c>
      <c r="M198" s="147">
        <f t="shared" si="102"/>
        <v>138.87283201361657</v>
      </c>
      <c r="N198" s="221">
        <f t="shared" si="103"/>
        <v>0</v>
      </c>
      <c r="O198" s="196">
        <f t="shared" si="104"/>
        <v>0</v>
      </c>
      <c r="Q198" s="173">
        <f t="shared" si="105"/>
        <v>0.43258887172241495</v>
      </c>
      <c r="R198" s="197"/>
      <c r="S198" s="197">
        <f t="shared" si="120"/>
        <v>9.5602140650653707E-3</v>
      </c>
      <c r="T198" s="198">
        <f t="shared" si="121"/>
        <v>0.4421490857874803</v>
      </c>
      <c r="V198" s="197">
        <f t="shared" si="122"/>
        <v>14.932149085787481</v>
      </c>
      <c r="W198" s="199">
        <f t="shared" si="106"/>
        <v>0</v>
      </c>
      <c r="X198" s="199">
        <f t="shared" si="107"/>
        <v>0</v>
      </c>
      <c r="Y198" s="200">
        <f t="shared" si="108"/>
        <v>0</v>
      </c>
      <c r="AA198" s="201">
        <f t="shared" si="109"/>
        <v>0</v>
      </c>
      <c r="AB198" s="202">
        <f t="shared" si="110"/>
        <v>3.0514084595409274E-2</v>
      </c>
    </row>
    <row r="199" spans="1:28">
      <c r="A199" s="144" t="s">
        <v>285</v>
      </c>
      <c r="B199" s="232"/>
      <c r="C199" s="249">
        <f t="shared" si="126"/>
        <v>0</v>
      </c>
      <c r="D199" s="146">
        <v>1</v>
      </c>
      <c r="F199" s="301">
        <f t="shared" si="127"/>
        <v>0</v>
      </c>
      <c r="G199" s="146">
        <v>12</v>
      </c>
      <c r="H199" s="152">
        <f t="shared" si="125"/>
        <v>0</v>
      </c>
      <c r="I199" s="143">
        <v>14.49</v>
      </c>
      <c r="J199" s="150">
        <f t="shared" si="99"/>
        <v>0</v>
      </c>
      <c r="K199" s="150">
        <f t="shared" si="100"/>
        <v>0</v>
      </c>
      <c r="L199" s="195">
        <f t="shared" si="101"/>
        <v>145</v>
      </c>
      <c r="M199" s="147">
        <f t="shared" si="102"/>
        <v>138.87283201361657</v>
      </c>
      <c r="N199" s="221">
        <f t="shared" si="103"/>
        <v>0</v>
      </c>
      <c r="O199" s="196">
        <f t="shared" si="104"/>
        <v>0</v>
      </c>
      <c r="Q199" s="173">
        <f t="shared" si="105"/>
        <v>0.43258887172241495</v>
      </c>
      <c r="R199" s="197"/>
      <c r="S199" s="197">
        <f t="shared" si="120"/>
        <v>9.5602140650653707E-3</v>
      </c>
      <c r="T199" s="198">
        <f t="shared" ref="T199" si="128">+Q199+S199</f>
        <v>0.4421490857874803</v>
      </c>
      <c r="V199" s="197">
        <f t="shared" si="122"/>
        <v>14.932149085787481</v>
      </c>
      <c r="W199" s="199">
        <f t="shared" si="106"/>
        <v>0</v>
      </c>
      <c r="X199" s="199">
        <f t="shared" si="107"/>
        <v>0</v>
      </c>
      <c r="Y199" s="200">
        <f t="shared" si="108"/>
        <v>0</v>
      </c>
      <c r="AA199" s="201">
        <f t="shared" si="109"/>
        <v>0</v>
      </c>
      <c r="AB199" s="202">
        <f t="shared" si="110"/>
        <v>3.0514084595409274E-2</v>
      </c>
    </row>
    <row r="200" spans="1:28">
      <c r="A200" s="144"/>
      <c r="B200" s="232"/>
      <c r="C200" s="249"/>
      <c r="F200" s="219"/>
      <c r="H200" s="152"/>
      <c r="I200" s="143"/>
      <c r="J200" s="150"/>
      <c r="K200" s="150"/>
      <c r="L200" s="195"/>
      <c r="N200" s="221"/>
      <c r="O200" s="196"/>
      <c r="Q200" s="173"/>
      <c r="R200" s="197"/>
      <c r="S200" s="197"/>
      <c r="T200" s="290"/>
      <c r="V200" s="197"/>
      <c r="W200" s="199"/>
      <c r="X200" s="199"/>
      <c r="Y200" s="200"/>
      <c r="AA200" s="201"/>
    </row>
    <row r="201" spans="1:28" ht="12">
      <c r="A201" s="217" t="s">
        <v>240</v>
      </c>
      <c r="B201" s="205"/>
      <c r="C201" s="218">
        <f t="shared" ref="C201:C210" si="129">B201</f>
        <v>0</v>
      </c>
      <c r="F201" s="205">
        <f t="shared" si="111"/>
        <v>0</v>
      </c>
      <c r="G201" s="146">
        <v>12</v>
      </c>
      <c r="H201" s="153">
        <f t="shared" ref="H201:H210" si="130">C201*D201</f>
        <v>0</v>
      </c>
      <c r="I201" s="233"/>
      <c r="J201" s="150">
        <f t="shared" ref="J201:J209" si="131">+C201*I201</f>
        <v>0</v>
      </c>
      <c r="K201" s="150">
        <f t="shared" si="94"/>
        <v>0</v>
      </c>
      <c r="L201" s="195">
        <f t="shared" ref="L201:L209" si="132">+D201*L$16</f>
        <v>0</v>
      </c>
      <c r="M201" s="147">
        <f t="shared" ref="M201:M209" si="133">L201*$O$5</f>
        <v>0</v>
      </c>
      <c r="N201" s="221">
        <f t="shared" ref="N201:N209" si="134">ROUND((C201*L201*12)/2000,2)</f>
        <v>0</v>
      </c>
      <c r="O201" s="196">
        <f t="shared" ref="O201:O209" si="135">$O$5*N201</f>
        <v>0</v>
      </c>
      <c r="AA201" s="165"/>
    </row>
    <row r="202" spans="1:28" ht="12">
      <c r="A202" s="217" t="s">
        <v>241</v>
      </c>
      <c r="B202" s="205"/>
      <c r="C202" s="218">
        <f t="shared" si="129"/>
        <v>0</v>
      </c>
      <c r="F202" s="205">
        <f t="shared" si="111"/>
        <v>0</v>
      </c>
      <c r="G202" s="146">
        <v>12</v>
      </c>
      <c r="H202" s="153">
        <f t="shared" si="130"/>
        <v>0</v>
      </c>
      <c r="I202" s="233"/>
      <c r="J202" s="150">
        <f t="shared" si="131"/>
        <v>0</v>
      </c>
      <c r="K202" s="150">
        <f t="shared" si="94"/>
        <v>0</v>
      </c>
      <c r="L202" s="195">
        <f t="shared" si="132"/>
        <v>0</v>
      </c>
      <c r="M202" s="147">
        <f t="shared" si="133"/>
        <v>0</v>
      </c>
      <c r="N202" s="221">
        <f t="shared" si="134"/>
        <v>0</v>
      </c>
      <c r="O202" s="196">
        <f t="shared" si="135"/>
        <v>0</v>
      </c>
      <c r="AA202" s="165"/>
    </row>
    <row r="203" spans="1:28" ht="12">
      <c r="A203" s="217" t="s">
        <v>242</v>
      </c>
      <c r="B203" s="205"/>
      <c r="C203" s="218">
        <f t="shared" si="129"/>
        <v>0</v>
      </c>
      <c r="F203" s="205">
        <f t="shared" si="111"/>
        <v>0</v>
      </c>
      <c r="G203" s="146">
        <v>12</v>
      </c>
      <c r="H203" s="153">
        <f t="shared" si="130"/>
        <v>0</v>
      </c>
      <c r="I203" s="233"/>
      <c r="J203" s="150">
        <f t="shared" si="131"/>
        <v>0</v>
      </c>
      <c r="K203" s="150">
        <f t="shared" si="94"/>
        <v>0</v>
      </c>
      <c r="L203" s="195">
        <f t="shared" si="132"/>
        <v>0</v>
      </c>
      <c r="M203" s="147">
        <f t="shared" si="133"/>
        <v>0</v>
      </c>
      <c r="N203" s="221">
        <f t="shared" si="134"/>
        <v>0</v>
      </c>
      <c r="O203" s="196">
        <f t="shared" si="135"/>
        <v>0</v>
      </c>
      <c r="AA203" s="165"/>
    </row>
    <row r="204" spans="1:28" ht="12">
      <c r="A204" s="217" t="s">
        <v>243</v>
      </c>
      <c r="B204" s="205"/>
      <c r="C204" s="218">
        <f t="shared" si="129"/>
        <v>0</v>
      </c>
      <c r="F204" s="205">
        <f t="shared" si="111"/>
        <v>0</v>
      </c>
      <c r="G204" s="146">
        <v>12</v>
      </c>
      <c r="H204" s="153">
        <f t="shared" si="130"/>
        <v>0</v>
      </c>
      <c r="I204" s="233"/>
      <c r="J204" s="150">
        <f t="shared" si="131"/>
        <v>0</v>
      </c>
      <c r="K204" s="150">
        <f t="shared" si="94"/>
        <v>0</v>
      </c>
      <c r="L204" s="195">
        <f t="shared" si="132"/>
        <v>0</v>
      </c>
      <c r="M204" s="147">
        <f t="shared" si="133"/>
        <v>0</v>
      </c>
      <c r="N204" s="221">
        <f t="shared" si="134"/>
        <v>0</v>
      </c>
      <c r="O204" s="196">
        <f t="shared" si="135"/>
        <v>0</v>
      </c>
      <c r="AA204" s="165"/>
    </row>
    <row r="205" spans="1:28" ht="12">
      <c r="A205" s="217" t="s">
        <v>265</v>
      </c>
      <c r="B205" s="205"/>
      <c r="C205" s="218">
        <f t="shared" si="129"/>
        <v>0</v>
      </c>
      <c r="F205" s="205">
        <f t="shared" si="111"/>
        <v>0</v>
      </c>
      <c r="G205" s="146">
        <v>12</v>
      </c>
      <c r="H205" s="153">
        <f t="shared" si="130"/>
        <v>0</v>
      </c>
      <c r="I205" s="233"/>
      <c r="J205" s="150">
        <f t="shared" si="131"/>
        <v>0</v>
      </c>
      <c r="K205" s="150">
        <f t="shared" si="94"/>
        <v>0</v>
      </c>
      <c r="L205" s="195">
        <f t="shared" si="132"/>
        <v>0</v>
      </c>
      <c r="M205" s="147">
        <f t="shared" si="133"/>
        <v>0</v>
      </c>
      <c r="N205" s="221">
        <f t="shared" si="134"/>
        <v>0</v>
      </c>
      <c r="O205" s="196">
        <f t="shared" si="135"/>
        <v>0</v>
      </c>
      <c r="AA205" s="165"/>
    </row>
    <row r="206" spans="1:28" ht="12">
      <c r="A206" s="217" t="s">
        <v>244</v>
      </c>
      <c r="B206" s="205"/>
      <c r="C206" s="218">
        <f t="shared" si="129"/>
        <v>0</v>
      </c>
      <c r="F206" s="205">
        <f t="shared" si="111"/>
        <v>0</v>
      </c>
      <c r="G206" s="146">
        <v>12</v>
      </c>
      <c r="H206" s="153">
        <f t="shared" si="130"/>
        <v>0</v>
      </c>
      <c r="I206" s="233"/>
      <c r="J206" s="150">
        <f t="shared" si="131"/>
        <v>0</v>
      </c>
      <c r="K206" s="150">
        <f t="shared" si="94"/>
        <v>0</v>
      </c>
      <c r="L206" s="195">
        <f t="shared" si="132"/>
        <v>0</v>
      </c>
      <c r="M206" s="147">
        <f t="shared" si="133"/>
        <v>0</v>
      </c>
      <c r="N206" s="221">
        <f t="shared" si="134"/>
        <v>0</v>
      </c>
      <c r="O206" s="196">
        <f t="shared" si="135"/>
        <v>0</v>
      </c>
      <c r="AA206" s="165"/>
    </row>
    <row r="207" spans="1:28" ht="12">
      <c r="A207" s="217" t="s">
        <v>245</v>
      </c>
      <c r="B207" s="205"/>
      <c r="C207" s="218">
        <f t="shared" si="129"/>
        <v>0</v>
      </c>
      <c r="F207" s="205">
        <f t="shared" si="111"/>
        <v>0</v>
      </c>
      <c r="G207" s="146">
        <v>12</v>
      </c>
      <c r="H207" s="153">
        <f t="shared" si="130"/>
        <v>0</v>
      </c>
      <c r="I207" s="233"/>
      <c r="J207" s="150">
        <f t="shared" si="131"/>
        <v>0</v>
      </c>
      <c r="K207" s="150">
        <f t="shared" si="94"/>
        <v>0</v>
      </c>
      <c r="L207" s="195">
        <f t="shared" si="132"/>
        <v>0</v>
      </c>
      <c r="M207" s="147">
        <f t="shared" si="133"/>
        <v>0</v>
      </c>
      <c r="N207" s="221">
        <f t="shared" si="134"/>
        <v>0</v>
      </c>
      <c r="O207" s="196">
        <f t="shared" si="135"/>
        <v>0</v>
      </c>
      <c r="AA207" s="165"/>
    </row>
    <row r="208" spans="1:28" ht="12">
      <c r="A208" s="217" t="s">
        <v>246</v>
      </c>
      <c r="B208" s="205"/>
      <c r="C208" s="218">
        <f t="shared" si="129"/>
        <v>0</v>
      </c>
      <c r="F208" s="205">
        <f t="shared" si="111"/>
        <v>0</v>
      </c>
      <c r="G208" s="146">
        <v>12</v>
      </c>
      <c r="H208" s="153">
        <f t="shared" si="130"/>
        <v>0</v>
      </c>
      <c r="I208" s="233"/>
      <c r="J208" s="150">
        <f t="shared" si="131"/>
        <v>0</v>
      </c>
      <c r="K208" s="150">
        <f t="shared" si="94"/>
        <v>0</v>
      </c>
      <c r="L208" s="195">
        <f t="shared" si="132"/>
        <v>0</v>
      </c>
      <c r="M208" s="147">
        <f t="shared" si="133"/>
        <v>0</v>
      </c>
      <c r="N208" s="221">
        <f t="shared" si="134"/>
        <v>0</v>
      </c>
      <c r="O208" s="196">
        <f t="shared" si="135"/>
        <v>0</v>
      </c>
      <c r="AA208" s="165"/>
    </row>
    <row r="209" spans="1:27" ht="12">
      <c r="A209" s="217" t="s">
        <v>247</v>
      </c>
      <c r="B209" s="225"/>
      <c r="C209" s="218">
        <f t="shared" si="129"/>
        <v>0</v>
      </c>
      <c r="F209" s="205">
        <f t="shared" si="111"/>
        <v>0</v>
      </c>
      <c r="G209" s="146">
        <v>12</v>
      </c>
      <c r="H209" s="153">
        <f t="shared" si="130"/>
        <v>0</v>
      </c>
      <c r="I209" s="233"/>
      <c r="J209" s="150">
        <f t="shared" si="131"/>
        <v>0</v>
      </c>
      <c r="K209" s="150">
        <f t="shared" si="94"/>
        <v>0</v>
      </c>
      <c r="L209" s="195">
        <f t="shared" si="132"/>
        <v>0</v>
      </c>
      <c r="M209" s="147">
        <f t="shared" si="133"/>
        <v>0</v>
      </c>
      <c r="N209" s="221">
        <f t="shared" si="134"/>
        <v>0</v>
      </c>
      <c r="O209" s="196">
        <f t="shared" si="135"/>
        <v>0</v>
      </c>
      <c r="AA209" s="165"/>
    </row>
    <row r="210" spans="1:27" ht="12">
      <c r="A210" s="217" t="s">
        <v>248</v>
      </c>
      <c r="B210" s="225"/>
      <c r="C210" s="218">
        <f t="shared" si="129"/>
        <v>0</v>
      </c>
      <c r="F210" s="234"/>
      <c r="H210" s="153">
        <f t="shared" si="130"/>
        <v>0</v>
      </c>
      <c r="I210" s="226"/>
      <c r="J210" s="150"/>
      <c r="K210" s="150"/>
      <c r="L210" s="227"/>
      <c r="N210" s="150"/>
      <c r="O210" s="196"/>
      <c r="AA210" s="165"/>
    </row>
    <row r="211" spans="1:27">
      <c r="A211" s="235" t="s">
        <v>249</v>
      </c>
      <c r="B211" s="205"/>
      <c r="C211" s="225"/>
      <c r="F211" s="205"/>
      <c r="I211" s="206"/>
      <c r="J211" s="150"/>
      <c r="K211" s="150"/>
      <c r="L211" s="227"/>
      <c r="M211" s="150"/>
      <c r="N211" s="150"/>
      <c r="O211" s="150"/>
      <c r="AA211" s="165"/>
    </row>
    <row r="212" spans="1:27">
      <c r="A212" s="228" t="s">
        <v>269</v>
      </c>
      <c r="B212" s="205"/>
      <c r="C212" s="225"/>
      <c r="F212" s="205"/>
      <c r="H212" s="154">
        <f>SUM(H135:H210)</f>
        <v>23282</v>
      </c>
      <c r="I212" s="206"/>
      <c r="J212" s="150">
        <f>SUM(J134:J210)</f>
        <v>21956.494999999999</v>
      </c>
      <c r="K212" s="150">
        <f>SUM(K134:K210)</f>
        <v>263477.94000000006</v>
      </c>
      <c r="L212" s="150"/>
      <c r="M212" s="150"/>
      <c r="N212" s="150">
        <f>SUM(N134:N210)</f>
        <v>853.51</v>
      </c>
      <c r="O212" s="150">
        <f>SUM(O134:O210)</f>
        <v>817.44379897890951</v>
      </c>
      <c r="W212" s="199">
        <f>SUM(W134:W211)</f>
        <v>22390.263076174862</v>
      </c>
      <c r="X212" s="199">
        <f>SUM(X134:X211)</f>
        <v>433.76807617486406</v>
      </c>
      <c r="Y212" s="199">
        <f>SUM(Y134:Y211)</f>
        <v>5205.2169140983697</v>
      </c>
      <c r="AA212" s="208">
        <f>SUM(AA134:AA211)</f>
        <v>5092.6748676385987</v>
      </c>
    </row>
    <row r="213" spans="1:27">
      <c r="A213" s="214"/>
      <c r="B213" s="214"/>
      <c r="C213" s="214"/>
      <c r="D213" s="214"/>
      <c r="E213" s="214"/>
      <c r="F213" s="214"/>
      <c r="G213" s="214"/>
      <c r="H213" s="214"/>
      <c r="I213" s="214"/>
      <c r="J213" s="214"/>
      <c r="K213" s="214"/>
      <c r="L213" s="214"/>
      <c r="M213" s="236"/>
      <c r="N213" s="237"/>
      <c r="O213" s="214"/>
      <c r="AA213" s="165"/>
    </row>
    <row r="214" spans="1:27">
      <c r="A214" s="148"/>
      <c r="B214" s="148"/>
      <c r="C214" s="148"/>
      <c r="D214" s="148"/>
      <c r="E214" s="148"/>
      <c r="F214" s="148"/>
      <c r="G214" s="148"/>
      <c r="H214" s="148"/>
      <c r="I214" s="148"/>
      <c r="J214" s="148"/>
      <c r="K214" s="148"/>
      <c r="L214" s="148"/>
      <c r="M214" s="148"/>
      <c r="N214" s="148"/>
      <c r="O214" s="148"/>
      <c r="P214" s="148"/>
      <c r="Q214" s="148"/>
      <c r="R214" s="148"/>
      <c r="S214" s="148"/>
      <c r="T214" s="148"/>
      <c r="U214" s="148"/>
      <c r="V214" s="148"/>
      <c r="W214" s="148"/>
      <c r="X214" s="148"/>
      <c r="Y214" s="148"/>
      <c r="Z214" s="148"/>
      <c r="AA214" s="165"/>
    </row>
    <row r="215" spans="1:27">
      <c r="M215" s="146"/>
      <c r="AA215" s="165"/>
    </row>
    <row r="216" spans="1:27" ht="12" thickBot="1">
      <c r="M216" s="146"/>
      <c r="AA216" s="165"/>
    </row>
    <row r="217" spans="1:27" ht="12" thickBot="1">
      <c r="A217" s="238" t="s">
        <v>195</v>
      </c>
      <c r="B217" s="239"/>
      <c r="C217" s="239"/>
      <c r="D217" s="239"/>
      <c r="E217" s="240">
        <f>+E131+H212</f>
        <v>23282</v>
      </c>
      <c r="F217" s="239"/>
      <c r="G217" s="239"/>
      <c r="H217" s="240">
        <f>SUM(H212+H131+H38)</f>
        <v>1205900.3333333335</v>
      </c>
      <c r="I217" s="239"/>
      <c r="J217" s="241">
        <f>+J212+J131</f>
        <v>135254.92250000002</v>
      </c>
      <c r="K217" s="241">
        <f>+K212+K131</f>
        <v>1623059.0700000003</v>
      </c>
      <c r="L217" s="239"/>
      <c r="M217" s="241">
        <f>+M211+M131</f>
        <v>0</v>
      </c>
      <c r="N217" s="241">
        <f>+N212+N131</f>
        <v>6316.1600000000008</v>
      </c>
      <c r="O217" s="241">
        <f>+O212+O131</f>
        <v>6049.2622527663762</v>
      </c>
      <c r="P217" s="241"/>
      <c r="Q217" s="241"/>
      <c r="R217" s="241"/>
      <c r="S217" s="241"/>
      <c r="T217" s="241"/>
      <c r="U217" s="241"/>
      <c r="V217" s="241"/>
      <c r="W217" s="242">
        <f>W38+W131+W212</f>
        <v>561104.89243771555</v>
      </c>
      <c r="X217" s="242">
        <f>X38+X131+X212</f>
        <v>11843.614937715483</v>
      </c>
      <c r="Y217" s="242">
        <f>Y38+Y131+Y212</f>
        <v>142123.37925258582</v>
      </c>
      <c r="Z217" s="242"/>
      <c r="AA217" s="243">
        <f>AA38+AA131+AA212</f>
        <v>139128.1589096126</v>
      </c>
    </row>
    <row r="218" spans="1:27">
      <c r="A218" s="215"/>
      <c r="O218" s="196"/>
    </row>
    <row r="219" spans="1:27">
      <c r="A219" s="215"/>
      <c r="O219" s="196"/>
    </row>
    <row r="312" spans="1:27">
      <c r="A312" s="148"/>
      <c r="B312" s="148"/>
      <c r="C312" s="148"/>
      <c r="D312" s="148"/>
      <c r="E312" s="148"/>
      <c r="F312" s="148"/>
      <c r="G312" s="148"/>
      <c r="H312" s="148"/>
      <c r="I312" s="148"/>
      <c r="J312" s="148"/>
      <c r="K312" s="148"/>
      <c r="L312" s="148"/>
      <c r="N312" s="148"/>
      <c r="O312" s="148"/>
      <c r="P312" s="148"/>
      <c r="Q312" s="148"/>
      <c r="R312" s="148"/>
      <c r="S312" s="148"/>
      <c r="T312" s="148"/>
      <c r="U312" s="148"/>
      <c r="V312" s="148"/>
      <c r="W312" s="148"/>
      <c r="X312" s="148"/>
      <c r="Y312" s="148"/>
      <c r="Z312" s="148"/>
      <c r="AA312" s="148"/>
    </row>
    <row r="313" spans="1:27">
      <c r="A313" s="148"/>
      <c r="B313" s="148"/>
      <c r="C313" s="148"/>
      <c r="D313" s="148"/>
      <c r="E313" s="148"/>
      <c r="F313" s="148"/>
      <c r="G313" s="148"/>
      <c r="H313" s="148"/>
      <c r="I313" s="148"/>
      <c r="J313" s="148"/>
      <c r="K313" s="148"/>
      <c r="L313" s="148"/>
      <c r="N313" s="148"/>
      <c r="O313" s="148"/>
      <c r="P313" s="148"/>
      <c r="Q313" s="148"/>
      <c r="R313" s="148"/>
      <c r="S313" s="148"/>
      <c r="T313" s="148"/>
      <c r="U313" s="148"/>
      <c r="V313" s="148"/>
      <c r="W313" s="148"/>
      <c r="X313" s="148"/>
      <c r="Y313" s="148"/>
      <c r="Z313" s="148"/>
      <c r="AA313" s="148"/>
    </row>
    <row r="314" spans="1:27">
      <c r="A314" s="148"/>
      <c r="B314" s="148"/>
      <c r="C314" s="148"/>
      <c r="D314" s="148"/>
      <c r="E314" s="148"/>
      <c r="F314" s="148"/>
      <c r="G314" s="148"/>
      <c r="H314" s="148"/>
      <c r="I314" s="148"/>
      <c r="J314" s="148"/>
      <c r="K314" s="148"/>
      <c r="L314" s="148"/>
      <c r="N314" s="148"/>
      <c r="O314" s="148"/>
      <c r="P314" s="148"/>
      <c r="Q314" s="148"/>
      <c r="R314" s="148"/>
      <c r="S314" s="148"/>
      <c r="T314" s="148"/>
      <c r="U314" s="148"/>
      <c r="V314" s="148"/>
      <c r="W314" s="148"/>
      <c r="X314" s="148"/>
      <c r="Y314" s="148"/>
      <c r="Z314" s="148"/>
      <c r="AA314" s="148"/>
    </row>
    <row r="315" spans="1:27">
      <c r="A315" s="148"/>
      <c r="B315" s="148"/>
      <c r="C315" s="148"/>
      <c r="D315" s="148"/>
      <c r="E315" s="148"/>
      <c r="F315" s="148"/>
      <c r="G315" s="148"/>
      <c r="H315" s="148"/>
      <c r="I315" s="148"/>
      <c r="J315" s="148"/>
      <c r="K315" s="148"/>
      <c r="L315" s="148"/>
      <c r="N315" s="148"/>
      <c r="O315" s="148"/>
      <c r="P315" s="148"/>
      <c r="Q315" s="148"/>
      <c r="R315" s="148"/>
      <c r="S315" s="148"/>
      <c r="T315" s="148"/>
      <c r="U315" s="148"/>
      <c r="V315" s="148"/>
      <c r="W315" s="148"/>
      <c r="X315" s="148"/>
      <c r="Y315" s="148"/>
      <c r="Z315" s="148"/>
      <c r="AA315" s="148"/>
    </row>
    <row r="316" spans="1:27">
      <c r="A316" s="148"/>
      <c r="B316" s="148"/>
      <c r="C316" s="148"/>
      <c r="D316" s="148"/>
      <c r="E316" s="148"/>
      <c r="F316" s="148"/>
      <c r="G316" s="148"/>
      <c r="H316" s="148"/>
      <c r="I316" s="148"/>
      <c r="J316" s="148"/>
      <c r="K316" s="148"/>
      <c r="L316" s="148"/>
      <c r="N316" s="148"/>
      <c r="O316" s="148"/>
      <c r="P316" s="148"/>
      <c r="Q316" s="148"/>
      <c r="R316" s="148"/>
      <c r="S316" s="148"/>
      <c r="T316" s="148"/>
      <c r="U316" s="148"/>
      <c r="V316" s="148"/>
      <c r="W316" s="148"/>
      <c r="X316" s="148"/>
      <c r="Y316" s="148"/>
      <c r="Z316" s="148"/>
      <c r="AA316" s="148"/>
    </row>
    <row r="317" spans="1:27">
      <c r="A317" s="148"/>
      <c r="B317" s="148"/>
      <c r="C317" s="148"/>
      <c r="D317" s="148"/>
      <c r="E317" s="148"/>
      <c r="F317" s="148"/>
      <c r="G317" s="148"/>
      <c r="H317" s="148"/>
      <c r="I317" s="148"/>
      <c r="J317" s="148"/>
      <c r="K317" s="148"/>
      <c r="L317" s="148"/>
      <c r="N317" s="148"/>
      <c r="O317" s="148"/>
      <c r="P317" s="148"/>
      <c r="Q317" s="148"/>
      <c r="R317" s="148"/>
      <c r="S317" s="148"/>
      <c r="T317" s="148"/>
      <c r="U317" s="148"/>
      <c r="V317" s="148"/>
      <c r="W317" s="148"/>
      <c r="X317" s="148"/>
      <c r="Y317" s="148"/>
      <c r="Z317" s="148"/>
      <c r="AA317" s="148"/>
    </row>
    <row r="318" spans="1:27">
      <c r="A318" s="148"/>
      <c r="B318" s="148"/>
      <c r="C318" s="148"/>
      <c r="D318" s="148"/>
      <c r="E318" s="148"/>
      <c r="F318" s="148"/>
      <c r="G318" s="148"/>
      <c r="H318" s="148"/>
      <c r="I318" s="148"/>
      <c r="J318" s="148"/>
      <c r="K318" s="148"/>
      <c r="L318" s="148"/>
      <c r="N318" s="148"/>
      <c r="O318" s="148"/>
      <c r="P318" s="148"/>
      <c r="Q318" s="148"/>
      <c r="R318" s="148"/>
      <c r="S318" s="148"/>
      <c r="T318" s="148"/>
      <c r="U318" s="148"/>
      <c r="V318" s="148"/>
      <c r="W318" s="148"/>
      <c r="X318" s="148"/>
      <c r="Y318" s="148"/>
      <c r="Z318" s="148"/>
      <c r="AA318" s="148"/>
    </row>
    <row r="319" spans="1:27">
      <c r="A319" s="148"/>
      <c r="B319" s="148"/>
      <c r="C319" s="148"/>
      <c r="D319" s="148"/>
      <c r="E319" s="148"/>
      <c r="F319" s="148"/>
      <c r="G319" s="148"/>
      <c r="H319" s="148"/>
      <c r="I319" s="148"/>
      <c r="J319" s="148"/>
      <c r="K319" s="148"/>
      <c r="L319" s="148"/>
      <c r="N319" s="148"/>
      <c r="O319" s="148"/>
      <c r="P319" s="148"/>
      <c r="Q319" s="148"/>
      <c r="R319" s="148"/>
      <c r="S319" s="148"/>
      <c r="T319" s="148"/>
      <c r="U319" s="148"/>
      <c r="V319" s="148"/>
      <c r="W319" s="148"/>
      <c r="X319" s="148"/>
      <c r="Y319" s="148"/>
      <c r="Z319" s="148"/>
      <c r="AA319" s="148"/>
    </row>
    <row r="320" spans="1:27">
      <c r="A320" s="148"/>
      <c r="B320" s="148"/>
      <c r="C320" s="148"/>
      <c r="D320" s="148"/>
      <c r="E320" s="148"/>
      <c r="F320" s="148"/>
      <c r="G320" s="148"/>
      <c r="H320" s="148"/>
      <c r="I320" s="148"/>
      <c r="J320" s="148"/>
      <c r="K320" s="148"/>
      <c r="L320" s="148"/>
      <c r="N320" s="148"/>
      <c r="O320" s="148"/>
      <c r="P320" s="148"/>
      <c r="Q320" s="148"/>
      <c r="R320" s="148"/>
      <c r="S320" s="148"/>
      <c r="T320" s="148"/>
      <c r="U320" s="148"/>
      <c r="V320" s="148"/>
      <c r="W320" s="148"/>
      <c r="X320" s="148"/>
      <c r="Y320" s="148"/>
      <c r="Z320" s="148"/>
      <c r="AA320" s="148"/>
    </row>
    <row r="321" spans="1:27">
      <c r="A321" s="148"/>
      <c r="B321" s="148"/>
      <c r="C321" s="148"/>
      <c r="D321" s="148"/>
      <c r="E321" s="148"/>
      <c r="F321" s="148"/>
      <c r="G321" s="148"/>
      <c r="H321" s="148"/>
      <c r="I321" s="148"/>
      <c r="J321" s="148"/>
      <c r="K321" s="148"/>
      <c r="L321" s="148"/>
      <c r="N321" s="148"/>
      <c r="O321" s="148"/>
      <c r="P321" s="148"/>
      <c r="Q321" s="148"/>
      <c r="R321" s="148"/>
      <c r="S321" s="148"/>
      <c r="T321" s="148"/>
      <c r="U321" s="148"/>
      <c r="V321" s="148"/>
      <c r="W321" s="148"/>
      <c r="X321" s="148"/>
      <c r="Y321" s="148"/>
      <c r="Z321" s="148"/>
      <c r="AA321" s="148"/>
    </row>
    <row r="322" spans="1:27">
      <c r="A322" s="148"/>
      <c r="B322" s="148"/>
      <c r="C322" s="148"/>
      <c r="D322" s="148"/>
      <c r="E322" s="148"/>
      <c r="F322" s="148"/>
      <c r="G322" s="148"/>
      <c r="H322" s="148"/>
      <c r="I322" s="148"/>
      <c r="J322" s="148"/>
      <c r="K322" s="148"/>
      <c r="L322" s="148"/>
      <c r="N322" s="148"/>
      <c r="O322" s="148"/>
      <c r="P322" s="148"/>
      <c r="Q322" s="148"/>
      <c r="R322" s="148"/>
      <c r="S322" s="148"/>
      <c r="T322" s="148"/>
      <c r="U322" s="148"/>
      <c r="V322" s="148"/>
      <c r="W322" s="148"/>
      <c r="X322" s="148"/>
      <c r="Y322" s="148"/>
      <c r="Z322" s="148"/>
      <c r="AA322" s="148"/>
    </row>
    <row r="323" spans="1:27">
      <c r="A323" s="148"/>
      <c r="B323" s="148"/>
      <c r="C323" s="148"/>
      <c r="D323" s="148"/>
      <c r="E323" s="148"/>
      <c r="F323" s="148"/>
      <c r="G323" s="148"/>
      <c r="H323" s="148"/>
      <c r="I323" s="148"/>
      <c r="J323" s="148"/>
      <c r="K323" s="148"/>
      <c r="L323" s="148"/>
      <c r="N323" s="148"/>
      <c r="O323" s="148"/>
      <c r="P323" s="148"/>
      <c r="Q323" s="148"/>
      <c r="R323" s="148"/>
      <c r="S323" s="148"/>
      <c r="T323" s="148"/>
      <c r="U323" s="148"/>
      <c r="V323" s="148"/>
      <c r="W323" s="148"/>
      <c r="X323" s="148"/>
      <c r="Y323" s="148"/>
      <c r="Z323" s="148"/>
      <c r="AA323" s="148"/>
    </row>
    <row r="324" spans="1:27">
      <c r="A324" s="148"/>
      <c r="B324" s="148"/>
      <c r="C324" s="148"/>
      <c r="D324" s="148"/>
      <c r="E324" s="148"/>
      <c r="F324" s="148"/>
      <c r="G324" s="148"/>
      <c r="H324" s="148"/>
      <c r="I324" s="148"/>
      <c r="J324" s="148"/>
      <c r="K324" s="148"/>
      <c r="L324" s="148"/>
      <c r="N324" s="148"/>
      <c r="O324" s="148"/>
      <c r="P324" s="148"/>
      <c r="Q324" s="148"/>
      <c r="R324" s="148"/>
      <c r="S324" s="148"/>
      <c r="T324" s="148"/>
      <c r="U324" s="148"/>
      <c r="V324" s="148"/>
      <c r="W324" s="148"/>
      <c r="X324" s="148"/>
      <c r="Y324" s="148"/>
      <c r="Z324" s="148"/>
      <c r="AA324" s="148"/>
    </row>
    <row r="325" spans="1:27">
      <c r="A325" s="148"/>
      <c r="B325" s="148"/>
      <c r="C325" s="148"/>
      <c r="D325" s="148"/>
      <c r="E325" s="148"/>
      <c r="F325" s="148"/>
      <c r="G325" s="148"/>
      <c r="H325" s="148"/>
      <c r="I325" s="148"/>
      <c r="J325" s="148"/>
      <c r="K325" s="148"/>
      <c r="L325" s="148"/>
      <c r="N325" s="148"/>
      <c r="O325" s="148"/>
      <c r="P325" s="148"/>
      <c r="Q325" s="148"/>
      <c r="R325" s="148"/>
      <c r="S325" s="148"/>
      <c r="T325" s="148"/>
      <c r="U325" s="148"/>
      <c r="V325" s="148"/>
      <c r="W325" s="148"/>
      <c r="X325" s="148"/>
      <c r="Y325" s="148"/>
      <c r="Z325" s="148"/>
      <c r="AA325" s="148"/>
    </row>
    <row r="326" spans="1:27">
      <c r="A326" s="148"/>
      <c r="B326" s="148"/>
      <c r="C326" s="148"/>
      <c r="D326" s="148"/>
      <c r="E326" s="148"/>
      <c r="F326" s="148"/>
      <c r="G326" s="148"/>
      <c r="H326" s="148"/>
      <c r="I326" s="148"/>
      <c r="J326" s="148"/>
      <c r="K326" s="148"/>
      <c r="L326" s="148"/>
      <c r="N326" s="148"/>
      <c r="O326" s="148"/>
      <c r="P326" s="148"/>
      <c r="Q326" s="148"/>
      <c r="R326" s="148"/>
      <c r="S326" s="148"/>
      <c r="T326" s="148"/>
      <c r="U326" s="148"/>
      <c r="V326" s="148"/>
      <c r="W326" s="148"/>
      <c r="X326" s="148"/>
      <c r="Y326" s="148"/>
      <c r="Z326" s="148"/>
      <c r="AA326" s="148"/>
    </row>
    <row r="327" spans="1:27">
      <c r="A327" s="148"/>
      <c r="B327" s="148"/>
      <c r="C327" s="148"/>
      <c r="D327" s="148"/>
      <c r="E327" s="148"/>
      <c r="F327" s="148"/>
      <c r="G327" s="148"/>
      <c r="H327" s="148"/>
      <c r="I327" s="148"/>
      <c r="J327" s="148"/>
      <c r="K327" s="148"/>
      <c r="L327" s="148"/>
      <c r="N327" s="148"/>
      <c r="O327" s="148"/>
      <c r="P327" s="148"/>
      <c r="Q327" s="148"/>
      <c r="R327" s="148"/>
      <c r="S327" s="148"/>
      <c r="T327" s="148"/>
      <c r="U327" s="148"/>
      <c r="V327" s="148"/>
      <c r="W327" s="148"/>
      <c r="X327" s="148"/>
      <c r="Y327" s="148"/>
      <c r="Z327" s="148"/>
      <c r="AA327" s="148"/>
    </row>
  </sheetData>
  <pageMargins left="0.7" right="0.7" top="0.75" bottom="0.75" header="0.3" footer="0.3"/>
  <pageSetup scale="49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2018-11-15T08:00:00+00:00</OpenedDate>
    <SignificantOrder xmlns="dc463f71-b30c-4ab2-9473-d307f9d35888">false</SignificantOrder>
    <Date1 xmlns="dc463f71-b30c-4ab2-9473-d307f9d35888">2018-11-15T08:00:00+00:00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FIORITO ENTERPRISES INC &amp; RABANCO COMPANIES</CaseCompanyNames>
    <Nickname xmlns="http://schemas.microsoft.com/sharepoint/v3" xsi:nil="true"/>
    <DocketNumber xmlns="dc463f71-b30c-4ab2-9473-d307f9d35888">180941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4776E094ADA940BB690EE63B81F8B6" ma:contentTypeVersion="76" ma:contentTypeDescription="" ma:contentTypeScope="" ma:versionID="cd4d395bcf663251fe084e74fdfa51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7946F6-253B-40F3-ADF9-DBD760147FC0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7429f450-94b4-4416-870d-2c1407281566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81BD1BB-7279-438B-9820-FD6D922B1050}"/>
</file>

<file path=customXml/itemProps3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76A6387-35D2-4858-A407-0AE7178F08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References</vt:lpstr>
      <vt:lpstr>Staff Calcs </vt:lpstr>
      <vt:lpstr>Tariff Changes</vt:lpstr>
      <vt:lpstr>Company Price Out Rates Compare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Calcualtions</dc:title>
  <dc:creator>Mike Young</dc:creator>
  <cp:lastModifiedBy>Cramer, Diane</cp:lastModifiedBy>
  <cp:lastPrinted>2016-12-19T19:27:45Z</cp:lastPrinted>
  <dcterms:created xsi:type="dcterms:W3CDTF">2013-10-29T22:33:54Z</dcterms:created>
  <dcterms:modified xsi:type="dcterms:W3CDTF">2018-11-12T18:16:06Z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0x0101006E56B4D1795A2E4DB2F0B01679ED314A00144776E094ADA940BB690EE63B81F8B6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