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1.xml" ContentType="application/vnd.openxmlformats-officedocument.spreadsheetml.worksheet+xml"/>
  <Override PartName="/xl/worksheets/sheet32.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17.xml" ContentType="application/vnd.openxmlformats-officedocument.spreadsheetml.externalLink+xml"/>
  <Override PartName="/xl/externalLinks/externalLink7.xml" ContentType="application/vnd.openxmlformats-officedocument.spreadsheetml.externalLink+xml"/>
  <Override PartName="/docProps/app.xml" ContentType="application/vnd.openxmlformats-officedocument.extended-properties+xml"/>
  <Override PartName="/xl/externalLinks/externalLink1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externalLinks/externalLink12.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4.xml" ContentType="application/vnd.openxmlformats-officedocument.spreadsheetml.externalLink+xml"/>
  <Override PartName="/xl/activeX/activeX1.xml" ContentType="application/vnd.ms-office.activeX+xml"/>
  <Override PartName="/xl/activeX/activeX1.bin" ContentType="application/vnd.ms-office.activeX"/>
  <Override PartName="/xl/externalLinks/externalLink13.xml" ContentType="application/vnd.openxmlformats-officedocument.spreadsheetml.externalLink+xml"/>
  <Override PartName="/xl/externalLinks/externalLink10.xml" ContentType="application/vnd.openxmlformats-officedocument.spreadsheetml.externalLink+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comments4.xml" ContentType="application/vnd.openxmlformats-officedocument.spreadsheetml.comments+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comments5.xml" ContentType="application/vnd.openxmlformats-officedocument.spreadsheetml.comment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T_TO_Z\WASTE COMPANY GROUP\WAC0252 - Waste Control, Inc-1633\Rate Cases\2018\2018 Rate Case\Submission-corrected\"/>
    </mc:Choice>
  </mc:AlternateContent>
  <bookViews>
    <workbookView xWindow="0" yWindow="0" windowWidth="23040" windowHeight="8475" tabRatio="791"/>
  </bookViews>
  <sheets>
    <sheet name="Fly Sheet" sheetId="41" r:id="rId1"/>
    <sheet name="LG Nonpublic 2018 V5.0c" sheetId="93" r:id="rId2"/>
    <sheet name="Operations" sheetId="71" r:id="rId3"/>
    <sheet name="Assumptions" sheetId="43" r:id="rId4"/>
    <sheet name="Sch 1 - Restated Exp" sheetId="18" r:id="rId5"/>
    <sheet name="Sch 1, pg 2 - Restated" sheetId="16" r:id="rId6"/>
    <sheet name="Sch 2 - Forecast Exp" sheetId="19" r:id="rId7"/>
    <sheet name="Sch 2, pg 2 - Forecast" sheetId="17" r:id="rId8"/>
    <sheet name="Sch 3 - Reclass Exp" sheetId="21" r:id="rId9"/>
    <sheet name="Sch 3, pg 2 - Reclass" sheetId="20" r:id="rId10"/>
    <sheet name="Sch 4 - 12 Months" sheetId="7" r:id="rId11"/>
    <sheet name="Work Papers" sheetId="42" r:id="rId12"/>
    <sheet name="WP-1 - Summary Depr" sheetId="63" r:id="rId13"/>
    <sheet name="WP-1, pg 2 - Depr" sheetId="64" r:id="rId14"/>
    <sheet name="WP-2 - Labor Analysis" sheetId="11" r:id="rId15"/>
    <sheet name="WP-2, pg 2 - Labor Increase" sheetId="28" r:id="rId16"/>
    <sheet name="WP-2, pg 3 - Benefits Analysis" sheetId="29" r:id="rId17"/>
    <sheet name="WP-3 - Vehicle License" sheetId="27" r:id="rId18"/>
    <sheet name="WP-4 - Dues &amp; Sub" sheetId="26" r:id="rId19"/>
    <sheet name="WP-5 - Capital Structure" sheetId="54" r:id="rId20"/>
    <sheet name="WP-5, pg 2 - Capital" sheetId="87" r:id="rId21"/>
    <sheet name="WP-6 - Affiliated " sheetId="66" r:id="rId22"/>
    <sheet name="WP-7 - Cust Counts (x per wk)" sheetId="38" r:id="rId23"/>
    <sheet name="WP-7a - Drop Box Totals" sheetId="92" r:id="rId24"/>
    <sheet name="WP-8 - Fuel" sheetId="49" r:id="rId25"/>
    <sheet name="WP-9 Bad Debts" sheetId="79" r:id="rId26"/>
    <sheet name="WP-10 Utilities" sheetId="80" r:id="rId27"/>
    <sheet name="WP-11 Rent" sheetId="82" r:id="rId28"/>
    <sheet name="WP-12 Property Taxes" sheetId="84" r:id="rId29"/>
    <sheet name="WP-13 Disposal" sheetId="77" r:id="rId30"/>
    <sheet name="WP-14 Rate Case Cost" sheetId="86" r:id="rId31"/>
    <sheet name="IS-PBC" sheetId="40" r:id="rId32"/>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A">#REF!</definedName>
    <definedName name="\c">'[1]10200'!$IU$8196</definedName>
    <definedName name="\E">'[2]#REF'!$AD$4</definedName>
    <definedName name="\R">'[2]#REF'!$AD$8</definedName>
    <definedName name="\y">'[1]10200'!$IU$8196</definedName>
    <definedName name="\z">#REF!</definedName>
    <definedName name="_123Graph_g" hidden="1">'[2]#REF'!$F$9:$F$83</definedName>
    <definedName name="_13054">'[3]10800-10899'!#REF!</definedName>
    <definedName name="_132" hidden="1">[1]XXXXXX!$B$10:$B$10</definedName>
    <definedName name="_132Graph_h" hidden="1">#REF!</definedName>
    <definedName name="_BUN1">'[4]2008 West Group IS'!$AJ$5</definedName>
    <definedName name="_BUN3">'[4]2008 Group Office IS'!$AJ$5</definedName>
    <definedName name="_Fill" hidden="1">#REF!</definedName>
    <definedName name="_Key1" hidden="1">#REF!</definedName>
    <definedName name="_Key2" hidden="1">'[2]#REF'!$D$12</definedName>
    <definedName name="_key5" hidden="1">[1]XXXXXX!$H$10</definedName>
    <definedName name="_max" hidden="1">#REF!</definedName>
    <definedName name="_Mon" hidden="1">#REF!</definedName>
    <definedName name="_Order1" hidden="1">255</definedName>
    <definedName name="_Order2" hidden="1">255</definedName>
    <definedName name="_Order3" hidden="1">0</definedName>
    <definedName name="_PER1">[4]WTB!$DC$8</definedName>
    <definedName name="_PER2">'[4]2008 West Group IS'!$AH$8</definedName>
    <definedName name="_PER3">'[4]2008 West Group IS'!$AI$5</definedName>
    <definedName name="_PER4">'[4]2008 Group Office IS'!$AH$8</definedName>
    <definedName name="_PER5">'[4]2008 Group Office IS'!$AI$5</definedName>
    <definedName name="_Regression_Int">0</definedName>
    <definedName name="_SFD1">'[4]2008 West Group IS'!$AK$5</definedName>
    <definedName name="_SFD3">'[4]2008 Group Office IS'!$AK$5</definedName>
    <definedName name="_SFV1">'[4]2008 West Group IS'!$AK$4</definedName>
    <definedName name="_SFV4">'[4]2008 Group Office IS'!$AK$4</definedName>
    <definedName name="_Sort" hidden="1">#REF!</definedName>
    <definedName name="_Sort1" hidden="1">'[2]#REF'!$A$10:$Z$281</definedName>
    <definedName name="_sort3" hidden="1">[1]XXXXXX!$G$10:$J$11</definedName>
    <definedName name="a">#REF!</definedName>
    <definedName name="aaaaaaa">rank</definedName>
    <definedName name="AD">'[1]ACC DEP 12XXX'!$A$4:$L$22</definedName>
    <definedName name="adfd">rank</definedName>
    <definedName name="ADK">'[1]10250_Recy Chkg'!$D$27</definedName>
    <definedName name="AOK">#REF!</definedName>
    <definedName name="APA">'[5]Income Statement (WMofWA)'!#REF!</definedName>
    <definedName name="APN">'[5]Income Statement (WMofWA)'!#REF!</definedName>
    <definedName name="ASD">'[5]Income Statement (WMofWA)'!#REF!</definedName>
    <definedName name="AST">'[5]Income Statement (WMofWA)'!#REF!</definedName>
    <definedName name="BEGCELL">#REF!</definedName>
    <definedName name="begin">#REF!</definedName>
    <definedName name="BREMAIR_COST_of_SERVICE_STUDY">#REF!</definedName>
    <definedName name="BUN">[4]WTB!$DD$5</definedName>
    <definedName name="BUV">'[5]Income Statement (WMofWA)'!#REF!</definedName>
    <definedName name="Calc">[4]WTB!#REF!</definedName>
    <definedName name="Calc0">[4]WTB!#REF!</definedName>
    <definedName name="Calc1">[4]WTB!#REF!</definedName>
    <definedName name="Calc10">[4]WTB!#REF!</definedName>
    <definedName name="Calc11">[4]WTB!#REF!</definedName>
    <definedName name="Calc12">[4]WTB!#REF!</definedName>
    <definedName name="Calc13">[4]WTB!#REF!</definedName>
    <definedName name="Calc14">[4]WTB!#REF!</definedName>
    <definedName name="Calc15">[4]WTB!#REF!</definedName>
    <definedName name="Calc16">[4]WTB!#REF!</definedName>
    <definedName name="Calc17">[4]WTB!#REF!</definedName>
    <definedName name="Calc18">[4]WTB!#REF!</definedName>
    <definedName name="Calc2">[4]WTB!#REF!</definedName>
    <definedName name="Calc3">[4]WTB!#REF!</definedName>
    <definedName name="Calc4">[4]WTB!#REF!</definedName>
    <definedName name="Calc5">[4]WTB!#REF!</definedName>
    <definedName name="Calc6">[4]WTB!#REF!</definedName>
    <definedName name="Calc7">[4]WTB!#REF!</definedName>
    <definedName name="Calc8">[4]WTB!#REF!</definedName>
    <definedName name="Calc9">[4]WTB!#REF!</definedName>
    <definedName name="clear">#REF!</definedName>
    <definedName name="CUR">'[6]O-9'!#REF!</definedName>
    <definedName name="CURRENCY">'[4]Balance Sheet'!$AD$8</definedName>
    <definedName name="CWR">'[1]SALES TAX RETURN_20140'!$A$1:$E$49</definedName>
    <definedName name="CWRS">#REF!</definedName>
    <definedName name="CYear">'[6]O-9'!#REF!</definedName>
    <definedName name="dasd">rank</definedName>
    <definedName name="_xlnm.Database">#REF!</definedName>
    <definedName name="Database_MI">#REF!</definedName>
    <definedName name="DAY">'[5]Income Statement (WMofWA)'!#REF!</definedName>
    <definedName name="DEBITS">'[1]ASSETS 11XXX'!$A$1:$L$19</definedName>
    <definedName name="Debt_Rate" localSheetId="1">'LG Nonpublic 2018 V5.0c'!$K$27</definedName>
    <definedName name="debtP" localSheetId="1">'LG Nonpublic 2018 V5.0c'!$I$27</definedName>
    <definedName name="deletion">#REF!</definedName>
    <definedName name="Detail">#REF!</definedName>
    <definedName name="End">'[7]IS-Murrey''s'!#REF!</definedName>
    <definedName name="EndTime">'[6]O-9'!#REF!</definedName>
    <definedName name="Equity_percent" localSheetId="1">'LG Nonpublic 2018 V5.0c'!$S$58</definedName>
    <definedName name="equityP" localSheetId="1">'LG Nonpublic 2018 V5.0c'!$I$26</definedName>
    <definedName name="expenses" localSheetId="1">'LG Nonpublic 2018 V5.0c'!$I$8</definedName>
    <definedName name="expenses">#REF!</definedName>
    <definedName name="Financial">[4]WTB!#REF!</definedName>
    <definedName name="FirstColCriteria">[4]WTB!#REF!</definedName>
    <definedName name="FirstHeaderCriteria">[4]WTB!#REF!</definedName>
    <definedName name="flag">[4]WTB!#REF!</definedName>
    <definedName name="Format_Column">#REF!</definedName>
    <definedName name="formata">#REF!</definedName>
    <definedName name="formatb">#REF!</definedName>
    <definedName name="FY">'[5]Income Statement (WMofWA)'!#REF!</definedName>
    <definedName name="Heading1">'[5]Income Statement (WMofWA)'!#REF!</definedName>
    <definedName name="IDN">'[5]Income Statement (WMofWA)'!#REF!</definedName>
    <definedName name="IFN">'[5]Income Statement (WMofWA)'!#REF!</definedName>
    <definedName name="income_statement">'Sch 4 - 12 Months'!$B$10:$O$86</definedName>
    <definedName name="INPUT" localSheetId="1">'LG Nonpublic 2018 V5.0c'!#REF!</definedName>
    <definedName name="INPUT" localSheetId="28">[8]LURITXPF!$A$3</definedName>
    <definedName name="INPUT">#REF!</definedName>
    <definedName name="INPUTc" localSheetId="1">#REF!</definedName>
    <definedName name="INPUTc">#REF!</definedName>
    <definedName name="InsertColRange">[4]WTB!#REF!</definedName>
    <definedName name="Investment" localSheetId="1">'LG Nonpublic 2018 V5.0c'!$J$28</definedName>
    <definedName name="LAST_ROW">'[9]Income Statement (Tonnage)'!#REF!</definedName>
    <definedName name="Lurito">#REF!</definedName>
    <definedName name="LYN">'[5]Income Statement (WMofWA)'!#REF!</definedName>
    <definedName name="master_def">'[7]IS-Murrey''s'!#REF!</definedName>
    <definedName name="MATRIX">#REF!</definedName>
    <definedName name="MthValue">'[6]O-9'!#REF!</definedName>
    <definedName name="New">#REF!</definedName>
    <definedName name="NewOnlyOrg">#REF!</definedName>
    <definedName name="NOTES">#REF!</definedName>
    <definedName name="NvsASD">"V2008-12-31"</definedName>
    <definedName name="NvsAutoDrillOk">"VN"</definedName>
    <definedName name="NvsElapsedTime">0.000729166669771075</definedName>
    <definedName name="NvsEndTime">39896.5868402778</definedName>
    <definedName name="NvsEndTime2">39823.1371643519</definedName>
    <definedName name="NvsEndTime3">39918.4137268519</definedName>
    <definedName name="NvsEndTime4">39825.0263078704</definedName>
    <definedName name="NvsEndTime5">39822.9425347222</definedName>
    <definedName name="NvsInstanceHook">rank</definedName>
    <definedName name="NvsInstanceHook1">rank</definedName>
    <definedName name="NvsInstLang">"VENG"</definedName>
    <definedName name="NvsInstSpec">"%,FBUSINESS_UNIT,V01815"</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"V1950-01-01"</definedName>
    <definedName name="NvsPanelSetid">"VWASTE"</definedName>
    <definedName name="NvsReqBU">"V01815"</definedName>
    <definedName name="NvsReqBUOnly">"VY"</definedName>
    <definedName name="NvsTransLed">"VN"</definedName>
    <definedName name="NvsTreeASD">"V2008-12-31"</definedName>
    <definedName name="NvsValTbl.ACCOUNT">"GL_ACCOUNT_TBL"</definedName>
    <definedName name="NvsValTbl.ACCOUNT_SUM">"ZGL_SACCT_VW"</definedName>
    <definedName name="NvsValTbl.ASSET_CLASS">"ASSET_CLASS_TBL"</definedName>
    <definedName name="NvsValTbl.BUSINESS_UNIT">"BUS_UNIT_TBL_GL"</definedName>
    <definedName name="NvsValTbl.CURRENCY_CD">"CURRENCY_CD_TBL"</definedName>
    <definedName name="NvsValTbl.DEPTID">"DEPT_TBL"</definedName>
    <definedName name="NvsValTbl.OPERATING_UNIT">"OPER_UNIT_TBL"</definedName>
    <definedName name="NvsValTbl.PRODUCT">"PRODUCT_TBL"</definedName>
    <definedName name="OfficerSalary">#REF!</definedName>
    <definedName name="Operations">'[5]Income Statement (WMofWA)'!#REF!</definedName>
    <definedName name="OPR">'[5]Income Statement (WMofWA)'!#REF!</definedName>
    <definedName name="Org11_13">#REF!</definedName>
    <definedName name="Org7_10">#REF!</definedName>
    <definedName name="ORIG2GALWT_">#REF!</definedName>
    <definedName name="ORIG2OH">#REF!</definedName>
    <definedName name="PAGE_1" localSheetId="28">#REF!</definedName>
    <definedName name="PAGE_1">'WP-1, pg 2 - Depr'!$B$1:$Z$105</definedName>
    <definedName name="PED">'[5]Income Statement (WMofWA)'!#REF!</definedName>
    <definedName name="PER">[4]WTB!$DC$5</definedName>
    <definedName name="Pfd_weighted" localSheetId="1">'LG Nonpublic 2018 V5.0c'!$U$57</definedName>
    <definedName name="_xlnm.Print_Area" localSheetId="3">Assumptions!$A$1:$I$9</definedName>
    <definedName name="_xlnm.Print_Area" localSheetId="31">'IS-PBC'!$A$1:$O$162</definedName>
    <definedName name="_xlnm.Print_Area" localSheetId="1">'LG Nonpublic 2018 V5.0c'!$F$2:$N$49</definedName>
    <definedName name="_xlnm.Print_Area" localSheetId="2">Operations!$A$1:$J$108</definedName>
    <definedName name="_xlnm.Print_Area" localSheetId="4">'Sch 1 - Restated Exp'!$A$1:$I$42</definedName>
    <definedName name="_xlnm.Print_Area" localSheetId="5">'Sch 1, pg 2 - Restated'!$A$1:$T$100</definedName>
    <definedName name="_xlnm.Print_Area" localSheetId="6">'Sch 2 - Forecast Exp'!$A$1:$I$29</definedName>
    <definedName name="_xlnm.Print_Area" localSheetId="7">'Sch 2, pg 2 - Forecast'!$A$1:$L$99</definedName>
    <definedName name="_xlnm.Print_Area" localSheetId="8">'Sch 3 - Reclass Exp'!$A$1:$I$16</definedName>
    <definedName name="_xlnm.Print_Area" localSheetId="9">'Sch 3, pg 2 - Reclass'!$A$1:$H$100</definedName>
    <definedName name="_xlnm.Print_Area" localSheetId="10">'Sch 4 - 12 Months'!$B$1:$Q$95</definedName>
    <definedName name="_xlnm.Print_Area" localSheetId="13">'WP-1, pg 2 - Depr'!$B$1:$AF$369</definedName>
    <definedName name="_xlnm.Print_Area" localSheetId="26">'WP-10 Utilities'!$A$1:$D$18</definedName>
    <definedName name="_xlnm.Print_Area" localSheetId="27">'WP-11 Rent'!$A$1:$C$17</definedName>
    <definedName name="_xlnm.Print_Area" localSheetId="28">'WP-12 Property Taxes'!$A$1:$Q$131</definedName>
    <definedName name="_xlnm.Print_Area" localSheetId="29">'WP-13 Disposal'!$A$1:$T$55</definedName>
    <definedName name="_xlnm.Print_Area" localSheetId="30">'WP-14 Rate Case Cost'!$A$1:$J$22</definedName>
    <definedName name="_xlnm.Print_Area" localSheetId="14">'WP-2 - Labor Analysis'!$A$1:$AB$55</definedName>
    <definedName name="_xlnm.Print_Area" localSheetId="15">'WP-2, pg 2 - Labor Increase'!$A$1:$AG$66</definedName>
    <definedName name="_xlnm.Print_Area" localSheetId="16">'WP-2, pg 3 - Benefits Analysis'!$A$1:$P$55</definedName>
    <definedName name="_xlnm.Print_Area" localSheetId="17">'WP-3 - Vehicle License'!$A$1:$N$35</definedName>
    <definedName name="_xlnm.Print_Area" localSheetId="19">'WP-5 - Capital Structure'!$A$1:$H$13</definedName>
    <definedName name="_xlnm.Print_Area" localSheetId="21">'WP-6 - Affiliated '!$A$1:$G$66</definedName>
    <definedName name="_xlnm.Print_Area" localSheetId="22">'WP-7 - Cust Counts (x per wk)'!$A$1:$O$119</definedName>
    <definedName name="_xlnm.Print_Area" localSheetId="23">'WP-7a - Drop Box Totals'!$A$1:$H$61</definedName>
    <definedName name="_xlnm.Print_Area" localSheetId="24">'WP-8 - Fuel'!$A$1:$H$34</definedName>
    <definedName name="_xlnm.Print_Area" localSheetId="25">'WP-9 Bad Debts'!$A$1:$H$26</definedName>
    <definedName name="_xlnm.Print_Area">#REF!</definedName>
    <definedName name="Print_Area_MI" localSheetId="1">#REF!</definedName>
    <definedName name="Print_Area_MI" localSheetId="28">[8]LURITXPF!$B$3:$I$27</definedName>
    <definedName name="Print_Area_MI">#REF!</definedName>
    <definedName name="Print_Area_MIc" localSheetId="1">#REF!</definedName>
    <definedName name="Print_Area_MIc">#REF!</definedName>
    <definedName name="_xlnm.Print_Titles" localSheetId="5">'Sch 1, pg 2 - Restated'!$1:$11</definedName>
    <definedName name="_xlnm.Print_Titles" localSheetId="7">'Sch 2, pg 2 - Forecast'!$1:$11</definedName>
    <definedName name="_xlnm.Print_Titles" localSheetId="9">'Sch 3, pg 2 - Reclass'!$1:$11</definedName>
    <definedName name="_xlnm.Print_Titles" localSheetId="10">'Sch 4 - 12 Months'!$1:$10</definedName>
    <definedName name="_xlnm.Print_Titles" localSheetId="13">'WP-1, pg 2 - Depr'!$1:$14</definedName>
    <definedName name="_xlnm.Print_Titles" localSheetId="15">'WP-2, pg 2 - Labor Increase'!$A:$A,'WP-2, pg 2 - Labor Increase'!$1:$5</definedName>
    <definedName name="Print_Titles_MI">#REF!</definedName>
    <definedName name="Print1">#REF!</definedName>
    <definedName name="Print2">#REF!</definedName>
    <definedName name="Prnit_Range">#REF!</definedName>
    <definedName name="PYear">'[6]O-9'!#REF!</definedName>
    <definedName name="QtrValue">#REF!</definedName>
    <definedName name="Quarter_Budget">#REF!</definedName>
    <definedName name="Quarter_Month">#REF!</definedName>
    <definedName name="RBU">'[5]Income Statement (WMofWA)'!#REF!</definedName>
    <definedName name="RCW_81.04.080">#REF!</definedName>
    <definedName name="RECAP">#REF!</definedName>
    <definedName name="RECAP2">#REF!</definedName>
    <definedName name="_xlnm.Recorder">#REF!</definedName>
    <definedName name="RecyDisposal">#REF!</definedName>
    <definedName name="regDebt_weighted" localSheetId="1">'LG Nonpublic 2018 V5.0c'!$U$56</definedName>
    <definedName name="RelatedSalary">#REF!</definedName>
    <definedName name="RevCust">'[10]Schedule 6'!#REF!</definedName>
    <definedName name="Revenue" localSheetId="1">'LG Nonpublic 2018 V5.0c'!$I$7</definedName>
    <definedName name="Revenue">#REF!</definedName>
    <definedName name="RID">'[5]Income Statement (WMofWA)'!#REF!</definedName>
    <definedName name="ROCE">#REF!,#REF!</definedName>
    <definedName name="ROW_SUPRESS">'[5]Income Statement (WMofWA)'!#REF!</definedName>
    <definedName name="RTT">'[5]Income Statement (WMofWA)'!#REF!</definedName>
    <definedName name="sale">#REF!</definedName>
    <definedName name="SALES_TAX_RETURN">#REF!</definedName>
    <definedName name="SCN">'[5]Income Statement (WMofWA)'!#REF!</definedName>
    <definedName name="SFD">[4]WTB!$DE$5</definedName>
    <definedName name="SFD_BU">'[5]Income Statement (WMofWA)'!#REF!</definedName>
    <definedName name="SFD_DEPTID">'[5]Income Statement (WMofWA)'!#REF!</definedName>
    <definedName name="SFD_OP">'[5]Income Statement (WMofWA)'!#REF!</definedName>
    <definedName name="SFD_PROD">'[5]Income Statement (WMofWA)'!#REF!</definedName>
    <definedName name="SFD_PROJ">'[5]Income Statement (WMofWA)'!#REF!</definedName>
    <definedName name="sfdbusunit">#REF!</definedName>
    <definedName name="SFV">[4]WTB!$DE$4</definedName>
    <definedName name="SFV_BU">'[5]Income Statement (WMofWA)'!#REF!</definedName>
    <definedName name="SFV_CUR">#REF!</definedName>
    <definedName name="SFV_CUR1">'[4]2008 West Group IS'!$AM$9</definedName>
    <definedName name="SFV_CUR5">'[4]2008 Group Office IS'!$AM$9</definedName>
    <definedName name="SFV_DEPTID">'[5]Income Statement (WMofWA)'!#REF!</definedName>
    <definedName name="SFV_OP">'[5]Income Statement (WMofWA)'!#REF!</definedName>
    <definedName name="SFV_PROD">'[5]Income Statement (WMofWA)'!#REF!</definedName>
    <definedName name="SFV_PROJ">'[5]Income Statement (WMofWA)'!#REF!</definedName>
    <definedName name="slope" localSheetId="1">'LG Nonpublic 2018 V5.0c'!$Y$58</definedName>
    <definedName name="slope">#REF!</definedName>
    <definedName name="sort">#REF!</definedName>
    <definedName name="Sort1">#REF!</definedName>
    <definedName name="sortcol">'[7]IS-Murrey''s'!#REF!</definedName>
    <definedName name="start">#REF!</definedName>
    <definedName name="Stop">'[6]O-9'!#REF!</definedName>
    <definedName name="SUMMARY">#REF!</definedName>
    <definedName name="Summary_DistrictName">[11]Summary!$B$7</definedName>
    <definedName name="Summary_DistrictNo">[11]Summary!$B$5</definedName>
    <definedName name="SWDisposal">#REF!</definedName>
    <definedName name="taxrate" localSheetId="1">'LG Nonpublic 2018 V5.0c'!$J$38</definedName>
    <definedName name="test">'[12]Sch 4 - 12months'!$B$10:$O$86</definedName>
    <definedName name="Title2">'[6]O-9'!#REF!</definedName>
    <definedName name="TOP">'[3]10800-10899'!#REF!</definedName>
    <definedName name="Total_Interest">'[13]Amortization Table'!$F$18</definedName>
    <definedName name="Variables">'[5]Income Statement (WMofWA)'!#REF!</definedName>
    <definedName name="Waste_Management__Inc.">#REF!</definedName>
    <definedName name="WM">#REF!</definedName>
    <definedName name="x">rank</definedName>
    <definedName name="xx">rank</definedName>
    <definedName name="xxx">rank</definedName>
    <definedName name="y_inter1" localSheetId="1">'LG Nonpublic 2018 V5.0c'!$X$55</definedName>
    <definedName name="y_inter1">#REF!</definedName>
    <definedName name="y_inter2" localSheetId="1">'LG Nonpublic 2018 V5.0c'!$X$56</definedName>
    <definedName name="y_inter2">#REF!</definedName>
    <definedName name="y_inter3" localSheetId="1">'LG Nonpublic 2018 V5.0c'!$Z$55</definedName>
    <definedName name="y_inter3">#REF!</definedName>
    <definedName name="y_inter4" localSheetId="1">'LG Nonpublic 2018 V5.0c'!$Z$56</definedName>
    <definedName name="y_inter4">#REF!</definedName>
    <definedName name="YEAR4">#REF!</definedName>
    <definedName name="yrCur">'[14]Report Template'!$B$2002</definedName>
    <definedName name="yrNext">'[14]Report Template'!$B$2003</definedName>
    <definedName name="YWMedWasteDisp">#REF!</definedName>
    <definedName name="Zero_Format">#REF!</definedName>
  </definedNames>
  <calcPr calcId="152511"/>
</workbook>
</file>

<file path=xl/calcChain.xml><?xml version="1.0" encoding="utf-8"?>
<calcChain xmlns="http://schemas.openxmlformats.org/spreadsheetml/2006/main">
  <c r="A47" i="66" l="1"/>
  <c r="Q5" i="28" l="1"/>
  <c r="I29" i="29" l="1"/>
  <c r="C21" i="71"/>
  <c r="C8" i="93" l="1"/>
  <c r="S59" i="93"/>
  <c r="U57" i="93"/>
  <c r="U56" i="93"/>
  <c r="V31" i="93" s="1"/>
  <c r="J46" i="93"/>
  <c r="J45" i="93"/>
  <c r="J44" i="93"/>
  <c r="J43" i="93"/>
  <c r="V38" i="93"/>
  <c r="J38" i="93"/>
  <c r="V36" i="93"/>
  <c r="K27" i="93"/>
  <c r="I27" i="93"/>
  <c r="AA9" i="93" s="1"/>
  <c r="V23" i="93"/>
  <c r="V19" i="93"/>
  <c r="V18" i="93"/>
  <c r="V17" i="93"/>
  <c r="V16" i="93"/>
  <c r="V14" i="93"/>
  <c r="V13" i="93"/>
  <c r="V11" i="93"/>
  <c r="V9" i="93"/>
  <c r="F9" i="93"/>
  <c r="F10" i="93" s="1"/>
  <c r="F11" i="93" s="1"/>
  <c r="F12" i="93" s="1"/>
  <c r="F13" i="93" s="1"/>
  <c r="F14" i="93" s="1"/>
  <c r="F15" i="93" s="1"/>
  <c r="F16" i="93" s="1"/>
  <c r="F17" i="93" s="1"/>
  <c r="F18" i="93" s="1"/>
  <c r="F19" i="93" s="1"/>
  <c r="F20" i="93" s="1"/>
  <c r="F21" i="93" s="1"/>
  <c r="F22" i="93" s="1"/>
  <c r="F23" i="93" s="1"/>
  <c r="F24" i="93" s="1"/>
  <c r="F25" i="93" s="1"/>
  <c r="F26" i="93" s="1"/>
  <c r="F27" i="93" s="1"/>
  <c r="F28" i="93" s="1"/>
  <c r="F29" i="93" s="1"/>
  <c r="F30" i="93" s="1"/>
  <c r="F31" i="93" s="1"/>
  <c r="F32" i="93" s="1"/>
  <c r="F33" i="93" s="1"/>
  <c r="F34" i="93" s="1"/>
  <c r="F35" i="93" s="1"/>
  <c r="F36" i="93" s="1"/>
  <c r="F37" i="93" s="1"/>
  <c r="F38" i="93" s="1"/>
  <c r="F39" i="93" s="1"/>
  <c r="F40" i="93" s="1"/>
  <c r="F41" i="93" s="1"/>
  <c r="F42" i="93" s="1"/>
  <c r="F43" i="93" s="1"/>
  <c r="F44" i="93" s="1"/>
  <c r="F45" i="93" s="1"/>
  <c r="F46" i="93" s="1"/>
  <c r="F47" i="93" s="1"/>
  <c r="F48" i="93" s="1"/>
  <c r="F49" i="93" s="1"/>
  <c r="V8" i="93"/>
  <c r="F8" i="93"/>
  <c r="V7" i="93"/>
  <c r="V6" i="93"/>
  <c r="J47" i="93" l="1"/>
  <c r="AA21" i="93"/>
  <c r="AA18" i="93"/>
  <c r="AA38" i="93"/>
  <c r="AA37" i="93"/>
  <c r="AA36" i="93"/>
  <c r="AA29" i="93"/>
  <c r="AA27" i="93"/>
  <c r="I26" i="93"/>
  <c r="AA34" i="93"/>
  <c r="AA33" i="93"/>
  <c r="AA32" i="93"/>
  <c r="AA26" i="93"/>
  <c r="AA24" i="93"/>
  <c r="AA31" i="93"/>
  <c r="AA28" i="93"/>
  <c r="L27" i="93"/>
  <c r="AA23" i="93"/>
  <c r="AA22" i="93"/>
  <c r="AA17" i="93"/>
  <c r="AA14" i="93"/>
  <c r="Y68" i="93"/>
  <c r="K38" i="93"/>
  <c r="Z68" i="93" s="1"/>
  <c r="AA13" i="93"/>
  <c r="AA6" i="93"/>
  <c r="AA8" i="93"/>
  <c r="AA11" i="93"/>
  <c r="AA12" i="93"/>
  <c r="AA19" i="93"/>
  <c r="AA16" i="93"/>
  <c r="AA39" i="93"/>
  <c r="AA7" i="93"/>
  <c r="V12" i="93"/>
  <c r="V21" i="93"/>
  <c r="V34" i="93"/>
  <c r="V33" i="93"/>
  <c r="V32" i="93"/>
  <c r="V26" i="93"/>
  <c r="V24" i="93"/>
  <c r="V22" i="93"/>
  <c r="V39" i="93"/>
  <c r="V28" i="93"/>
  <c r="V27" i="93"/>
  <c r="V29" i="93"/>
  <c r="V37" i="93"/>
  <c r="G37" i="77"/>
  <c r="I28" i="93" l="1"/>
  <c r="J29" i="29"/>
  <c r="J22" i="29"/>
  <c r="L22" i="29" s="1"/>
  <c r="G22" i="29" l="1"/>
  <c r="H52" i="29"/>
  <c r="H51" i="29"/>
  <c r="H50" i="29"/>
  <c r="H48" i="29"/>
  <c r="H47" i="29"/>
  <c r="I49" i="29"/>
  <c r="H46" i="29"/>
  <c r="H36" i="29"/>
  <c r="H33" i="29"/>
  <c r="H32" i="29"/>
  <c r="H28" i="29"/>
  <c r="H27" i="29"/>
  <c r="H24" i="29"/>
  <c r="H23" i="29"/>
  <c r="H20" i="29"/>
  <c r="H16" i="29"/>
  <c r="H15" i="29"/>
  <c r="H11" i="29"/>
  <c r="F47" i="92"/>
  <c r="F45" i="92"/>
  <c r="F43" i="92"/>
  <c r="H27" i="92"/>
  <c r="H26" i="92"/>
  <c r="F50" i="92" l="1"/>
  <c r="F51" i="92" s="1"/>
  <c r="D11" i="21"/>
  <c r="H117" i="38"/>
  <c r="D117" i="38"/>
  <c r="J107" i="38" s="1"/>
  <c r="C117" i="38"/>
  <c r="B117" i="38"/>
  <c r="E116" i="38"/>
  <c r="E115" i="38"/>
  <c r="E114" i="38"/>
  <c r="E113" i="38"/>
  <c r="M112" i="38"/>
  <c r="E111" i="38"/>
  <c r="E110" i="38"/>
  <c r="I109" i="38"/>
  <c r="E109" i="38"/>
  <c r="E108" i="38"/>
  <c r="E107" i="38"/>
  <c r="E106" i="38"/>
  <c r="E105" i="38"/>
  <c r="E104" i="38"/>
  <c r="E103" i="38"/>
  <c r="E102" i="38"/>
  <c r="E101" i="38"/>
  <c r="E100" i="38"/>
  <c r="I99" i="38"/>
  <c r="E99" i="38"/>
  <c r="I98" i="38"/>
  <c r="E98" i="38"/>
  <c r="E97" i="38"/>
  <c r="I96" i="38"/>
  <c r="E96" i="38"/>
  <c r="E95" i="38"/>
  <c r="E93" i="38"/>
  <c r="I92" i="38"/>
  <c r="E92" i="38"/>
  <c r="E91" i="38"/>
  <c r="I90" i="38"/>
  <c r="E90" i="38"/>
  <c r="E89" i="38"/>
  <c r="I88" i="38"/>
  <c r="E88" i="38"/>
  <c r="A81" i="38"/>
  <c r="H78" i="38"/>
  <c r="D78" i="38"/>
  <c r="C78" i="38"/>
  <c r="C118" i="38" s="1"/>
  <c r="B78" i="38"/>
  <c r="E77" i="38"/>
  <c r="E76" i="38"/>
  <c r="G76" i="38" s="1"/>
  <c r="E75" i="38"/>
  <c r="E74" i="38"/>
  <c r="E73" i="38"/>
  <c r="E72" i="38"/>
  <c r="E71" i="38"/>
  <c r="E70" i="38"/>
  <c r="E69" i="38"/>
  <c r="E68" i="38"/>
  <c r="E66" i="38"/>
  <c r="G66" i="38" s="1"/>
  <c r="E65" i="38"/>
  <c r="G65" i="38" s="1"/>
  <c r="E64" i="38"/>
  <c r="G64" i="38" s="1"/>
  <c r="E62" i="38"/>
  <c r="G62" i="38" s="1"/>
  <c r="I61" i="38"/>
  <c r="E61" i="38"/>
  <c r="E60" i="38"/>
  <c r="G60" i="38" s="1"/>
  <c r="E58" i="38"/>
  <c r="G58" i="38" s="1"/>
  <c r="I57" i="38"/>
  <c r="E57" i="38"/>
  <c r="G57" i="38" s="1"/>
  <c r="I56" i="38"/>
  <c r="E56" i="38"/>
  <c r="G56" i="38" s="1"/>
  <c r="E54" i="38"/>
  <c r="G54" i="38" s="1"/>
  <c r="I53" i="38"/>
  <c r="E53" i="38"/>
  <c r="G53" i="38" s="1"/>
  <c r="I52" i="38"/>
  <c r="E52" i="38"/>
  <c r="E50" i="38"/>
  <c r="G50" i="38" s="1"/>
  <c r="I49" i="38"/>
  <c r="E49" i="38"/>
  <c r="G49" i="38" s="1"/>
  <c r="I48" i="38"/>
  <c r="E48" i="38"/>
  <c r="G48" i="38" s="1"/>
  <c r="E46" i="38"/>
  <c r="G46" i="38" s="1"/>
  <c r="I45" i="38"/>
  <c r="E45" i="38"/>
  <c r="E43" i="38"/>
  <c r="G43" i="38" s="1"/>
  <c r="I42" i="38"/>
  <c r="E42" i="38"/>
  <c r="E41" i="38"/>
  <c r="E30" i="38"/>
  <c r="E28" i="38"/>
  <c r="E27" i="38"/>
  <c r="E26" i="38"/>
  <c r="E25" i="38"/>
  <c r="E24" i="38"/>
  <c r="E23" i="38"/>
  <c r="E22" i="38"/>
  <c r="H21" i="38"/>
  <c r="D21" i="38"/>
  <c r="K10" i="38" s="1"/>
  <c r="C21" i="38"/>
  <c r="B21" i="38"/>
  <c r="I20" i="38"/>
  <c r="F20" i="38"/>
  <c r="E20" i="38"/>
  <c r="I19" i="38"/>
  <c r="F19" i="38"/>
  <c r="E19" i="38"/>
  <c r="I18" i="38"/>
  <c r="F18" i="38"/>
  <c r="E18" i="38"/>
  <c r="E17" i="38"/>
  <c r="E16" i="38"/>
  <c r="E15" i="38"/>
  <c r="E14" i="38"/>
  <c r="E13" i="38"/>
  <c r="E12" i="38"/>
  <c r="E11" i="38"/>
  <c r="E10" i="38"/>
  <c r="E63" i="38" l="1"/>
  <c r="E47" i="38"/>
  <c r="D118" i="38"/>
  <c r="D119" i="38" s="1"/>
  <c r="J106" i="38"/>
  <c r="J108" i="38" s="1"/>
  <c r="K107" i="38" s="1"/>
  <c r="E44" i="38"/>
  <c r="F17" i="38"/>
  <c r="H118" i="38"/>
  <c r="H119" i="38" s="1"/>
  <c r="C119" i="38"/>
  <c r="G42" i="38"/>
  <c r="G44" i="38" s="1"/>
  <c r="I21" i="38"/>
  <c r="K9" i="38"/>
  <c r="I63" i="38"/>
  <c r="E55" i="38"/>
  <c r="G52" i="38"/>
  <c r="G55" i="38" s="1"/>
  <c r="I100" i="38"/>
  <c r="J68" i="38"/>
  <c r="I93" i="38"/>
  <c r="G67" i="38"/>
  <c r="G51" i="38"/>
  <c r="G59" i="38"/>
  <c r="G45" i="38"/>
  <c r="G47" i="38" s="1"/>
  <c r="E67" i="38"/>
  <c r="B118" i="38"/>
  <c r="E59" i="38"/>
  <c r="J69" i="38"/>
  <c r="I117" i="38"/>
  <c r="E51" i="38"/>
  <c r="G61" i="38"/>
  <c r="G63" i="38" s="1"/>
  <c r="K11" i="38" l="1"/>
  <c r="L10" i="38" s="1"/>
  <c r="K106" i="38"/>
  <c r="K108" i="38"/>
  <c r="J70" i="38"/>
  <c r="B119" i="38"/>
  <c r="I119" i="38" s="1"/>
  <c r="I118" i="38"/>
  <c r="J117" i="38"/>
  <c r="E78" i="38"/>
  <c r="J78" i="38" s="1"/>
  <c r="L9" i="38" l="1"/>
  <c r="L11" i="38" s="1"/>
  <c r="J109" i="38"/>
  <c r="J110" i="38" s="1"/>
  <c r="K68" i="38"/>
  <c r="K78" i="38"/>
  <c r="J111" i="38"/>
  <c r="J119" i="38" s="1"/>
  <c r="K69" i="38"/>
  <c r="L106" i="38" l="1"/>
  <c r="L107" i="38"/>
  <c r="K70" i="38"/>
  <c r="J118" i="38"/>
  <c r="L108" i="38" l="1"/>
  <c r="D17" i="71" l="1"/>
  <c r="D14" i="71"/>
  <c r="D15" i="71"/>
  <c r="D10" i="21"/>
  <c r="E49" i="92"/>
  <c r="G48" i="92"/>
  <c r="E46" i="92"/>
  <c r="G44" i="92"/>
  <c r="G50" i="92" s="1"/>
  <c r="G51" i="92" s="1"/>
  <c r="C42" i="92"/>
  <c r="C41" i="92"/>
  <c r="E40" i="92"/>
  <c r="D36" i="92"/>
  <c r="D35" i="92"/>
  <c r="E33" i="92"/>
  <c r="E32" i="92"/>
  <c r="C29" i="92"/>
  <c r="C28" i="92"/>
  <c r="C25" i="92"/>
  <c r="C24" i="92"/>
  <c r="C22" i="92"/>
  <c r="C21" i="92"/>
  <c r="D21" i="92" s="1"/>
  <c r="C20" i="92"/>
  <c r="C19" i="92"/>
  <c r="C18" i="92"/>
  <c r="C17" i="92"/>
  <c r="C16" i="92"/>
  <c r="D16" i="92" s="1"/>
  <c r="C15" i="92"/>
  <c r="C14" i="92"/>
  <c r="D14" i="92" s="1"/>
  <c r="C13" i="92"/>
  <c r="C12" i="92"/>
  <c r="H9" i="92"/>
  <c r="H8" i="92"/>
  <c r="H7" i="92"/>
  <c r="H6" i="92"/>
  <c r="H4" i="92"/>
  <c r="D19" i="92" l="1"/>
  <c r="D24" i="92"/>
  <c r="H51" i="92"/>
  <c r="D28" i="92"/>
  <c r="D12" i="92"/>
  <c r="E50" i="92"/>
  <c r="E51" i="92" s="1"/>
  <c r="D17" i="92"/>
  <c r="D41" i="92"/>
  <c r="D12" i="21"/>
  <c r="A53" i="29" l="1"/>
  <c r="A13" i="29"/>
  <c r="A18" i="29"/>
  <c r="A30" i="29"/>
  <c r="A34" i="29"/>
  <c r="A44" i="29"/>
  <c r="A43" i="29"/>
  <c r="A42" i="29"/>
  <c r="A41" i="29"/>
  <c r="A40" i="29"/>
  <c r="A39" i="29"/>
  <c r="A38" i="29"/>
  <c r="A37" i="29"/>
  <c r="A36" i="29"/>
  <c r="A33" i="29"/>
  <c r="A32" i="29"/>
  <c r="A28" i="29"/>
  <c r="A27" i="29"/>
  <c r="A26" i="29"/>
  <c r="A25" i="29"/>
  <c r="A24" i="29"/>
  <c r="A23" i="29"/>
  <c r="A21" i="29"/>
  <c r="A20" i="29"/>
  <c r="A17" i="29"/>
  <c r="A16" i="29"/>
  <c r="A15" i="29"/>
  <c r="A12" i="29"/>
  <c r="A11" i="29"/>
  <c r="A52" i="29"/>
  <c r="A51" i="29"/>
  <c r="A50" i="29"/>
  <c r="A49" i="29"/>
  <c r="A48" i="29"/>
  <c r="A46" i="29"/>
  <c r="I37" i="29"/>
  <c r="I39" i="29"/>
  <c r="I40" i="29"/>
  <c r="I41" i="29"/>
  <c r="I42" i="29"/>
  <c r="I43" i="29"/>
  <c r="H44" i="29"/>
  <c r="G27" i="29"/>
  <c r="I27" i="29" s="1"/>
  <c r="AB27" i="28" s="1"/>
  <c r="G24" i="29"/>
  <c r="I24" i="29" s="1"/>
  <c r="AB24" i="28" s="1"/>
  <c r="G23" i="29"/>
  <c r="I23" i="29" s="1"/>
  <c r="AB23" i="28" s="1"/>
  <c r="I21" i="29"/>
  <c r="I22" i="29"/>
  <c r="I26" i="29"/>
  <c r="H18" i="29"/>
  <c r="G16" i="29"/>
  <c r="I16" i="29" s="1"/>
  <c r="AB16" i="28" s="1"/>
  <c r="G15" i="29"/>
  <c r="I15" i="29" s="1"/>
  <c r="H13" i="29"/>
  <c r="G11" i="29"/>
  <c r="I11" i="29" s="1"/>
  <c r="AB11" i="28" s="1"/>
  <c r="J11" i="29"/>
  <c r="J13" i="29"/>
  <c r="J15" i="29"/>
  <c r="J16" i="29"/>
  <c r="J20" i="29"/>
  <c r="J21" i="29"/>
  <c r="J23" i="29"/>
  <c r="J24" i="29"/>
  <c r="J25" i="29"/>
  <c r="J27" i="29"/>
  <c r="J28" i="29"/>
  <c r="J32" i="29"/>
  <c r="J33" i="29"/>
  <c r="J44" i="29"/>
  <c r="J46" i="29"/>
  <c r="J47" i="29"/>
  <c r="J48" i="29"/>
  <c r="J49" i="29"/>
  <c r="J50" i="29"/>
  <c r="J51" i="29"/>
  <c r="J52" i="29"/>
  <c r="J34" i="29" l="1"/>
  <c r="I18" i="29"/>
  <c r="AB15" i="28"/>
  <c r="J30" i="29"/>
  <c r="H34" i="29"/>
  <c r="J18" i="29"/>
  <c r="H30" i="29"/>
  <c r="I13" i="29"/>
  <c r="J53" i="29"/>
  <c r="H53" i="29"/>
  <c r="J55" i="29" l="1"/>
  <c r="H55" i="29"/>
  <c r="G20" i="29"/>
  <c r="I20" i="29" s="1"/>
  <c r="AB20" i="28" l="1"/>
  <c r="AB22" i="28"/>
  <c r="G48" i="29"/>
  <c r="I48" i="29" s="1"/>
  <c r="AB49" i="28" s="1"/>
  <c r="G46" i="29"/>
  <c r="I46" i="29" s="1"/>
  <c r="AB47" i="28" s="1"/>
  <c r="Y24" i="28"/>
  <c r="C12" i="80" l="1"/>
  <c r="D15" i="80" s="1"/>
  <c r="A24" i="66"/>
  <c r="B21" i="66"/>
  <c r="J30" i="66"/>
  <c r="AB50" i="28"/>
  <c r="AB40" i="28"/>
  <c r="AB41" i="28"/>
  <c r="AB42" i="28"/>
  <c r="AC12" i="28"/>
  <c r="AA38" i="28"/>
  <c r="AA40" i="28"/>
  <c r="AA41" i="28"/>
  <c r="AA42" i="28"/>
  <c r="AA36" i="28"/>
  <c r="AA22" i="28"/>
  <c r="AC22" i="29"/>
  <c r="AA49" i="28"/>
  <c r="G52" i="29"/>
  <c r="I52" i="29" s="1"/>
  <c r="AB53" i="28" s="1"/>
  <c r="G51" i="29"/>
  <c r="I51" i="29" s="1"/>
  <c r="AB52" i="28" s="1"/>
  <c r="G50" i="29"/>
  <c r="I50" i="29" s="1"/>
  <c r="AB51" i="28" s="1"/>
  <c r="G47" i="29"/>
  <c r="I47" i="29" s="1"/>
  <c r="AB48" i="28" s="1"/>
  <c r="G33" i="29"/>
  <c r="I33" i="29" s="1"/>
  <c r="AB33" i="28" s="1"/>
  <c r="G32" i="29"/>
  <c r="I32" i="29" s="1"/>
  <c r="AB32" i="28" s="1"/>
  <c r="G28" i="29"/>
  <c r="I28" i="29" s="1"/>
  <c r="AB28" i="28" s="1"/>
  <c r="G38" i="29"/>
  <c r="I38" i="29" s="1"/>
  <c r="AB38" i="28" s="1"/>
  <c r="G25" i="29"/>
  <c r="I25" i="29" s="1"/>
  <c r="G36" i="29"/>
  <c r="I36" i="29" s="1"/>
  <c r="AB36" i="28" s="1"/>
  <c r="I30" i="29" l="1"/>
  <c r="AB25" i="28"/>
  <c r="G30" i="29"/>
  <c r="AB45" i="28"/>
  <c r="AA45" i="28"/>
  <c r="AB18" i="28"/>
  <c r="E51" i="29"/>
  <c r="F28" i="29"/>
  <c r="E39" i="29"/>
  <c r="F39" i="29" s="1"/>
  <c r="E41" i="29"/>
  <c r="E49" i="29"/>
  <c r="E50" i="29"/>
  <c r="E52" i="29"/>
  <c r="E46" i="29"/>
  <c r="E47" i="29"/>
  <c r="E33" i="29"/>
  <c r="E32" i="29"/>
  <c r="AA53" i="28"/>
  <c r="C52" i="29"/>
  <c r="B52" i="29"/>
  <c r="AA52" i="28"/>
  <c r="C51" i="29"/>
  <c r="B51" i="29"/>
  <c r="AA51" i="28"/>
  <c r="C50" i="29"/>
  <c r="B50" i="29"/>
  <c r="AA50" i="28"/>
  <c r="C49" i="29"/>
  <c r="B49" i="29"/>
  <c r="AA48" i="28"/>
  <c r="C47" i="29"/>
  <c r="B47" i="29"/>
  <c r="C46" i="29"/>
  <c r="B46" i="29"/>
  <c r="C43" i="29"/>
  <c r="B43" i="29"/>
  <c r="C42" i="29"/>
  <c r="B42" i="29"/>
  <c r="C41" i="29"/>
  <c r="B41" i="29"/>
  <c r="C40" i="29"/>
  <c r="B40" i="29"/>
  <c r="C39" i="29"/>
  <c r="B39" i="29"/>
  <c r="C38" i="29"/>
  <c r="B38" i="29"/>
  <c r="C37" i="29"/>
  <c r="B37" i="29"/>
  <c r="C36" i="29"/>
  <c r="B36" i="29"/>
  <c r="AA33" i="28"/>
  <c r="C33" i="29"/>
  <c r="B33" i="29"/>
  <c r="C32" i="29"/>
  <c r="B32" i="29"/>
  <c r="AA28" i="28"/>
  <c r="C28" i="29"/>
  <c r="B28" i="29"/>
  <c r="AA27" i="28"/>
  <c r="E27" i="29"/>
  <c r="C27" i="29"/>
  <c r="B27" i="29"/>
  <c r="AA25" i="28"/>
  <c r="E25" i="29"/>
  <c r="C25" i="29"/>
  <c r="B25" i="29"/>
  <c r="AA24" i="28"/>
  <c r="E24" i="29"/>
  <c r="C24" i="29"/>
  <c r="B24" i="29"/>
  <c r="AA23" i="28"/>
  <c r="E23" i="29"/>
  <c r="C23" i="29"/>
  <c r="B23" i="29"/>
  <c r="E21" i="29"/>
  <c r="C21" i="29"/>
  <c r="B21" i="29"/>
  <c r="E20" i="29"/>
  <c r="C20" i="29"/>
  <c r="B20" i="29"/>
  <c r="AA16" i="28"/>
  <c r="E16" i="29"/>
  <c r="C16" i="29"/>
  <c r="B16" i="29"/>
  <c r="E15" i="29"/>
  <c r="C15" i="29"/>
  <c r="B15" i="29"/>
  <c r="E11" i="29"/>
  <c r="E13" i="29" s="1"/>
  <c r="D13" i="29"/>
  <c r="C11" i="29"/>
  <c r="B11" i="29"/>
  <c r="AB30" i="28" l="1"/>
  <c r="E18" i="29"/>
  <c r="AB54" i="28"/>
  <c r="AB34" i="28"/>
  <c r="I53" i="29"/>
  <c r="I34" i="29"/>
  <c r="I44" i="29"/>
  <c r="E34" i="29"/>
  <c r="AA15" i="28"/>
  <c r="AA18" i="28" s="1"/>
  <c r="AA20" i="28"/>
  <c r="AA30" i="28" s="1"/>
  <c r="AA47" i="28"/>
  <c r="AA54" i="28" s="1"/>
  <c r="AA32" i="28"/>
  <c r="AA34" i="28" s="1"/>
  <c r="E30" i="29"/>
  <c r="AA11" i="28"/>
  <c r="AA13" i="28" s="1"/>
  <c r="D34" i="29"/>
  <c r="D18" i="29"/>
  <c r="D30" i="29"/>
  <c r="F23" i="29"/>
  <c r="E44" i="29"/>
  <c r="F21" i="29"/>
  <c r="F25" i="29"/>
  <c r="F47" i="29"/>
  <c r="F49" i="29"/>
  <c r="F51" i="29"/>
  <c r="F24" i="29"/>
  <c r="F27" i="29"/>
  <c r="D53" i="29"/>
  <c r="F15" i="29"/>
  <c r="E53" i="29"/>
  <c r="F16" i="29"/>
  <c r="F20" i="29"/>
  <c r="F50" i="29"/>
  <c r="F52" i="29"/>
  <c r="F33" i="29"/>
  <c r="F46" i="29"/>
  <c r="D44" i="29"/>
  <c r="F11" i="29"/>
  <c r="F32" i="29"/>
  <c r="F34" i="29" s="1"/>
  <c r="F41" i="29"/>
  <c r="F44" i="29" s="1"/>
  <c r="E9" i="54"/>
  <c r="C27" i="49"/>
  <c r="C37" i="18"/>
  <c r="C17" i="82"/>
  <c r="I55" i="29" l="1"/>
  <c r="F18" i="29"/>
  <c r="AA57" i="28"/>
  <c r="G9" i="54"/>
  <c r="F12" i="54"/>
  <c r="F13" i="29"/>
  <c r="AB13" i="28"/>
  <c r="AB57" i="28" s="1"/>
  <c r="F30" i="29"/>
  <c r="E55" i="29"/>
  <c r="D55" i="29"/>
  <c r="F53" i="29"/>
  <c r="F55" i="29" l="1"/>
  <c r="G59" i="29" s="1"/>
  <c r="D18" i="87"/>
  <c r="D9" i="54"/>
  <c r="G60" i="29" l="1"/>
  <c r="G62" i="29" s="1"/>
  <c r="AB59" i="28"/>
  <c r="G13" i="29"/>
  <c r="Y29" i="28"/>
  <c r="G34" i="29" l="1"/>
  <c r="G18" i="29"/>
  <c r="G44" i="29"/>
  <c r="G53" i="29"/>
  <c r="T12" i="28"/>
  <c r="Y22" i="28"/>
  <c r="AA40" i="64"/>
  <c r="AC40" i="64"/>
  <c r="AE40" i="64"/>
  <c r="AE39" i="64"/>
  <c r="L40" i="64"/>
  <c r="N39" i="64"/>
  <c r="O39" i="64" s="1"/>
  <c r="I39" i="64"/>
  <c r="AC39" i="64" s="1"/>
  <c r="AA39" i="64"/>
  <c r="L381" i="64"/>
  <c r="L152" i="64"/>
  <c r="G55" i="29" l="1"/>
  <c r="N29" i="28"/>
  <c r="P29" i="28"/>
  <c r="P22" i="28"/>
  <c r="N22" i="28"/>
  <c r="V44" i="28" l="1"/>
  <c r="W44" i="28"/>
  <c r="T29" i="28"/>
  <c r="V29" i="28" s="1"/>
  <c r="T22" i="28"/>
  <c r="W22" i="28" s="1"/>
  <c r="U29" i="28" l="1"/>
  <c r="Z22" i="28"/>
  <c r="V22" i="28"/>
  <c r="U22" i="28"/>
  <c r="W29" i="28"/>
  <c r="O55" i="28" l="1"/>
  <c r="Q55" i="28"/>
  <c r="R55" i="28"/>
  <c r="A21" i="28"/>
  <c r="H53" i="28" l="1"/>
  <c r="H52" i="28"/>
  <c r="H51" i="28"/>
  <c r="H50" i="28"/>
  <c r="H49" i="28"/>
  <c r="N49" i="28" s="1"/>
  <c r="H48" i="28"/>
  <c r="H47" i="28"/>
  <c r="H43" i="28"/>
  <c r="H42" i="28"/>
  <c r="H41" i="28"/>
  <c r="H40" i="28"/>
  <c r="H39" i="28"/>
  <c r="H38" i="28"/>
  <c r="H37" i="28"/>
  <c r="H36" i="28"/>
  <c r="N36" i="28" s="1"/>
  <c r="H33" i="28"/>
  <c r="H32" i="28"/>
  <c r="H28" i="28"/>
  <c r="H27" i="28"/>
  <c r="H26" i="28"/>
  <c r="H25" i="28"/>
  <c r="H24" i="28"/>
  <c r="H23" i="28"/>
  <c r="P23" i="28" s="1"/>
  <c r="H21" i="28"/>
  <c r="H20" i="28"/>
  <c r="P20" i="28" s="1"/>
  <c r="H17" i="28"/>
  <c r="H16" i="28"/>
  <c r="H15" i="28"/>
  <c r="H11" i="28"/>
  <c r="N28" i="28" l="1"/>
  <c r="P28" i="28"/>
  <c r="U53" i="11"/>
  <c r="U44" i="11"/>
  <c r="U33" i="11"/>
  <c r="U29" i="11"/>
  <c r="U18" i="11"/>
  <c r="U13" i="11"/>
  <c r="L53" i="11"/>
  <c r="L44" i="11"/>
  <c r="L33" i="11"/>
  <c r="L29" i="11"/>
  <c r="L18" i="11"/>
  <c r="L13" i="11"/>
  <c r="E13" i="11"/>
  <c r="J16" i="11"/>
  <c r="U55" i="11" l="1"/>
  <c r="L55" i="11"/>
  <c r="C33" i="18" l="1"/>
  <c r="G25" i="49"/>
  <c r="C12" i="82" l="1"/>
  <c r="F9" i="17" l="1"/>
  <c r="D10" i="86"/>
  <c r="D11" i="86" s="1"/>
  <c r="D17" i="86" s="1"/>
  <c r="K16" i="28" l="1"/>
  <c r="N16" i="28" s="1"/>
  <c r="P15" i="28"/>
  <c r="Y11" i="11" l="1"/>
  <c r="J11" i="11"/>
  <c r="L11" i="28" l="1"/>
  <c r="X11" i="11"/>
  <c r="K11" i="28" l="1"/>
  <c r="X13" i="11"/>
  <c r="E49" i="84"/>
  <c r="R21" i="16"/>
  <c r="T25" i="16"/>
  <c r="T26" i="16"/>
  <c r="T27" i="16"/>
  <c r="T28" i="16"/>
  <c r="T30" i="16"/>
  <c r="T31" i="16"/>
  <c r="T32" i="16"/>
  <c r="T33" i="16"/>
  <c r="T34" i="16"/>
  <c r="T35" i="16"/>
  <c r="T36" i="16"/>
  <c r="T37" i="16"/>
  <c r="T38" i="16"/>
  <c r="T39" i="16"/>
  <c r="T40" i="16"/>
  <c r="T41" i="16"/>
  <c r="T42" i="16"/>
  <c r="T43" i="16"/>
  <c r="T44" i="16"/>
  <c r="T45" i="16"/>
  <c r="T46" i="16"/>
  <c r="T48" i="16"/>
  <c r="T49" i="16"/>
  <c r="T50" i="16"/>
  <c r="T51" i="16"/>
  <c r="T52" i="16"/>
  <c r="T53" i="16"/>
  <c r="T55" i="16"/>
  <c r="T57" i="16"/>
  <c r="T59" i="16"/>
  <c r="T60" i="16"/>
  <c r="T66" i="16"/>
  <c r="T69" i="16"/>
  <c r="T71" i="16"/>
  <c r="T72" i="16"/>
  <c r="T73" i="16"/>
  <c r="T78" i="16"/>
  <c r="T81" i="16"/>
  <c r="T84" i="16"/>
  <c r="T85" i="16"/>
  <c r="T86" i="16"/>
  <c r="T24" i="16"/>
  <c r="T15" i="16"/>
  <c r="T17" i="16"/>
  <c r="T18" i="16"/>
  <c r="T19" i="16"/>
  <c r="T14" i="16"/>
  <c r="T13" i="16"/>
  <c r="P21" i="16"/>
  <c r="P76" i="16"/>
  <c r="E76" i="71" s="1"/>
  <c r="J15" i="11"/>
  <c r="K15" i="28" s="1"/>
  <c r="Y15" i="28" s="1"/>
  <c r="K13" i="28" l="1"/>
  <c r="N11" i="28"/>
  <c r="N15" i="28"/>
  <c r="L51" i="84"/>
  <c r="P97" i="16"/>
  <c r="P99" i="16" s="1"/>
  <c r="T76" i="16"/>
  <c r="K51" i="84"/>
  <c r="G23" i="49" l="1"/>
  <c r="G24" i="49"/>
  <c r="K37" i="84" l="1"/>
  <c r="Y46" i="11" l="1"/>
  <c r="L47" i="28" l="1"/>
  <c r="R68" i="84"/>
  <c r="R105" i="84"/>
  <c r="R95" i="84"/>
  <c r="R49" i="84"/>
  <c r="G12" i="49" l="1"/>
  <c r="G13" i="49"/>
  <c r="G14" i="49"/>
  <c r="G15" i="49"/>
  <c r="G16" i="49"/>
  <c r="G17" i="49"/>
  <c r="G18" i="49"/>
  <c r="G19" i="49"/>
  <c r="G20" i="49"/>
  <c r="G21" i="49"/>
  <c r="G22" i="49"/>
  <c r="G11" i="49"/>
  <c r="G28" i="49" l="1"/>
  <c r="E28" i="49" s="1"/>
  <c r="E30" i="49" s="1"/>
  <c r="X8" i="28"/>
  <c r="K35" i="84"/>
  <c r="K102" i="84"/>
  <c r="K105" i="84" s="1"/>
  <c r="K93" i="84"/>
  <c r="K90" i="84"/>
  <c r="K82" i="84"/>
  <c r="K79" i="84"/>
  <c r="K75" i="84"/>
  <c r="K72" i="84"/>
  <c r="K66" i="84"/>
  <c r="K63" i="84"/>
  <c r="K46" i="84"/>
  <c r="K43" i="84"/>
  <c r="K40" i="84"/>
  <c r="L37" i="84"/>
  <c r="M37" i="84" s="1"/>
  <c r="K32" i="84"/>
  <c r="K30" i="84"/>
  <c r="K27" i="84"/>
  <c r="M27" i="84" s="1"/>
  <c r="K25" i="84"/>
  <c r="K22" i="84"/>
  <c r="K20" i="84"/>
  <c r="K18" i="84"/>
  <c r="K16" i="84"/>
  <c r="K14" i="84"/>
  <c r="K11" i="84"/>
  <c r="E53" i="11"/>
  <c r="E44" i="11"/>
  <c r="F29" i="11"/>
  <c r="G29" i="11"/>
  <c r="H29" i="11"/>
  <c r="I29" i="11"/>
  <c r="E29" i="11"/>
  <c r="F18" i="11"/>
  <c r="G18" i="11"/>
  <c r="H18" i="11"/>
  <c r="I18" i="11"/>
  <c r="E18" i="11"/>
  <c r="F13" i="11"/>
  <c r="G13" i="11"/>
  <c r="H13" i="11"/>
  <c r="I13" i="11"/>
  <c r="J13" i="11"/>
  <c r="L21" i="16"/>
  <c r="D21" i="20"/>
  <c r="B98" i="20"/>
  <c r="G97" i="71"/>
  <c r="J97" i="71" s="1"/>
  <c r="B22" i="79"/>
  <c r="C38" i="77"/>
  <c r="C26" i="19" s="1"/>
  <c r="A32" i="77"/>
  <c r="C49" i="77" s="1"/>
  <c r="L143" i="64"/>
  <c r="L367" i="64"/>
  <c r="B23" i="63" s="1"/>
  <c r="L332" i="64"/>
  <c r="L334" i="64" s="1"/>
  <c r="L335" i="64" s="1"/>
  <c r="L190" i="64"/>
  <c r="L192" i="64" s="1"/>
  <c r="L176" i="64"/>
  <c r="B20" i="63" s="1"/>
  <c r="L109" i="64"/>
  <c r="L113" i="64" s="1"/>
  <c r="L100" i="64"/>
  <c r="L161" i="64"/>
  <c r="L155" i="64"/>
  <c r="L160" i="64"/>
  <c r="I49" i="84"/>
  <c r="L40" i="84"/>
  <c r="L43" i="84"/>
  <c r="M43" i="84" s="1"/>
  <c r="Q43" i="84" s="1"/>
  <c r="T8" i="28"/>
  <c r="L35" i="84"/>
  <c r="D24" i="87"/>
  <c r="AA132" i="64"/>
  <c r="Q132" i="64"/>
  <c r="I159" i="64"/>
  <c r="AC159" i="64" s="1"/>
  <c r="D52" i="17"/>
  <c r="F52" i="17" s="1"/>
  <c r="J9" i="66"/>
  <c r="J17" i="66"/>
  <c r="J19" i="66"/>
  <c r="J15" i="66"/>
  <c r="J13" i="66"/>
  <c r="J11" i="66"/>
  <c r="C53" i="11"/>
  <c r="C44" i="11"/>
  <c r="C33" i="11"/>
  <c r="C29" i="11"/>
  <c r="C18" i="11"/>
  <c r="Y47" i="11"/>
  <c r="AD47" i="11" s="1"/>
  <c r="Y48" i="11"/>
  <c r="Y49" i="11"/>
  <c r="Y50" i="11"/>
  <c r="L51" i="28" s="1"/>
  <c r="Y51" i="11"/>
  <c r="Y52" i="11"/>
  <c r="Y36" i="11"/>
  <c r="L37" i="28" s="1"/>
  <c r="U37" i="28" s="1"/>
  <c r="Y37" i="11"/>
  <c r="L38" i="28" s="1"/>
  <c r="Y38" i="11"/>
  <c r="Y39" i="11"/>
  <c r="L40" i="28" s="1"/>
  <c r="Y40" i="11"/>
  <c r="Y41" i="11"/>
  <c r="Y42" i="11"/>
  <c r="Y43" i="11"/>
  <c r="Y21" i="11"/>
  <c r="Y22" i="11"/>
  <c r="Y23" i="11"/>
  <c r="Y24" i="11"/>
  <c r="Y25" i="11"/>
  <c r="L25" i="28" s="1"/>
  <c r="Y26" i="11"/>
  <c r="Y27" i="11"/>
  <c r="Y28" i="11"/>
  <c r="Y16" i="11"/>
  <c r="L16" i="28" s="1"/>
  <c r="Y17" i="11"/>
  <c r="M21" i="77"/>
  <c r="L21" i="77"/>
  <c r="K21" i="77"/>
  <c r="J21" i="77"/>
  <c r="I21" i="77"/>
  <c r="H21" i="77"/>
  <c r="G21" i="77"/>
  <c r="F21" i="77"/>
  <c r="E21" i="77"/>
  <c r="D21" i="77"/>
  <c r="C21" i="77"/>
  <c r="B21" i="77"/>
  <c r="M20" i="77"/>
  <c r="L20" i="77"/>
  <c r="K20" i="77"/>
  <c r="J20" i="77"/>
  <c r="I20" i="77"/>
  <c r="H20" i="77"/>
  <c r="G20" i="77"/>
  <c r="F20" i="77"/>
  <c r="E20" i="77"/>
  <c r="D20" i="77"/>
  <c r="C20" i="77"/>
  <c r="B20" i="77"/>
  <c r="M13" i="77"/>
  <c r="M23" i="77" s="1"/>
  <c r="L13" i="77"/>
  <c r="K13" i="77"/>
  <c r="K23" i="77" s="1"/>
  <c r="J13" i="77"/>
  <c r="J23" i="77" s="1"/>
  <c r="I13" i="77"/>
  <c r="H13" i="77"/>
  <c r="H23" i="77" s="1"/>
  <c r="G13" i="77"/>
  <c r="F13" i="77"/>
  <c r="F23" i="77" s="1"/>
  <c r="E13" i="77"/>
  <c r="E23" i="77" s="1"/>
  <c r="D13" i="77"/>
  <c r="D23" i="77" s="1"/>
  <c r="C13" i="77"/>
  <c r="C23" i="77" s="1"/>
  <c r="B13" i="77"/>
  <c r="B23" i="77" s="1"/>
  <c r="M12" i="77"/>
  <c r="L12" i="77"/>
  <c r="K12" i="77"/>
  <c r="K15" i="77" s="1"/>
  <c r="J12" i="77"/>
  <c r="I12" i="77"/>
  <c r="H12" i="77"/>
  <c r="H15" i="77" s="1"/>
  <c r="G12" i="77"/>
  <c r="F12" i="77"/>
  <c r="E12" i="77"/>
  <c r="D12" i="77"/>
  <c r="D15" i="77" s="1"/>
  <c r="C12" i="77"/>
  <c r="B12" i="77"/>
  <c r="S11" i="77"/>
  <c r="A42" i="28"/>
  <c r="A41" i="28"/>
  <c r="S55" i="28"/>
  <c r="S44" i="11"/>
  <c r="R44" i="11"/>
  <c r="V44" i="11"/>
  <c r="I44" i="11"/>
  <c r="J43" i="11"/>
  <c r="X43" i="11" s="1"/>
  <c r="H44" i="11"/>
  <c r="G44" i="11"/>
  <c r="F44" i="11"/>
  <c r="A28" i="28"/>
  <c r="V29" i="11"/>
  <c r="S29" i="11"/>
  <c r="R29" i="11"/>
  <c r="P29" i="11"/>
  <c r="O29" i="11"/>
  <c r="M29" i="11"/>
  <c r="J28" i="11"/>
  <c r="K28" i="28" s="1"/>
  <c r="AD21" i="11"/>
  <c r="J21" i="11"/>
  <c r="X21" i="11" s="1"/>
  <c r="D91" i="7"/>
  <c r="E91" i="7"/>
  <c r="F91" i="7"/>
  <c r="G91" i="7"/>
  <c r="H91" i="7"/>
  <c r="I91" i="7"/>
  <c r="J91" i="7"/>
  <c r="K91" i="7"/>
  <c r="L91" i="7"/>
  <c r="M91" i="7"/>
  <c r="N91" i="7"/>
  <c r="D92" i="7"/>
  <c r="E92" i="7"/>
  <c r="F92" i="7"/>
  <c r="G92" i="7"/>
  <c r="H92" i="7"/>
  <c r="I92" i="7"/>
  <c r="J92" i="7"/>
  <c r="K92" i="7"/>
  <c r="L92" i="7"/>
  <c r="M92" i="7"/>
  <c r="N92" i="7"/>
  <c r="D93" i="7"/>
  <c r="E93" i="7"/>
  <c r="F93" i="7"/>
  <c r="G93" i="7"/>
  <c r="H93" i="7"/>
  <c r="I93" i="7"/>
  <c r="J93" i="7"/>
  <c r="K93" i="7"/>
  <c r="L93" i="7"/>
  <c r="M93" i="7"/>
  <c r="N93" i="7"/>
  <c r="C93" i="7"/>
  <c r="C92" i="7"/>
  <c r="C91" i="7"/>
  <c r="D59" i="7"/>
  <c r="E59" i="7"/>
  <c r="F59" i="7"/>
  <c r="G59" i="7"/>
  <c r="H59" i="7"/>
  <c r="I59" i="7"/>
  <c r="J59" i="7"/>
  <c r="K59" i="7"/>
  <c r="L59" i="7"/>
  <c r="M59" i="7"/>
  <c r="N59" i="7"/>
  <c r="C59" i="7"/>
  <c r="D50" i="7"/>
  <c r="E50" i="7"/>
  <c r="F50" i="7"/>
  <c r="G50" i="7"/>
  <c r="H50" i="7"/>
  <c r="I50" i="7"/>
  <c r="J50" i="7"/>
  <c r="K50" i="7"/>
  <c r="L50" i="7"/>
  <c r="M50" i="7"/>
  <c r="N50" i="7"/>
  <c r="C50" i="7"/>
  <c r="M160" i="40"/>
  <c r="D71" i="7"/>
  <c r="E71" i="7"/>
  <c r="F71" i="7"/>
  <c r="G71" i="7"/>
  <c r="H71" i="7"/>
  <c r="I71" i="7"/>
  <c r="J71" i="7"/>
  <c r="K71" i="7"/>
  <c r="L71" i="7"/>
  <c r="M71" i="7"/>
  <c r="N71" i="7"/>
  <c r="C71" i="7"/>
  <c r="D19" i="7"/>
  <c r="E19" i="7"/>
  <c r="F19" i="7"/>
  <c r="G19" i="7"/>
  <c r="H19" i="7"/>
  <c r="I19" i="7"/>
  <c r="J19" i="7"/>
  <c r="K19" i="7"/>
  <c r="L19" i="7"/>
  <c r="M19" i="7"/>
  <c r="N19" i="7"/>
  <c r="D18" i="7"/>
  <c r="E18" i="7"/>
  <c r="F18" i="7"/>
  <c r="G18" i="7"/>
  <c r="H18" i="7"/>
  <c r="I18" i="7"/>
  <c r="J18" i="7"/>
  <c r="K18" i="7"/>
  <c r="L18" i="7"/>
  <c r="M18" i="7"/>
  <c r="N18" i="7"/>
  <c r="C18" i="7"/>
  <c r="O16" i="7"/>
  <c r="O17" i="7"/>
  <c r="D15" i="7"/>
  <c r="E15" i="7"/>
  <c r="F15" i="7"/>
  <c r="G15" i="7"/>
  <c r="H15" i="7"/>
  <c r="I15" i="7"/>
  <c r="J15" i="7"/>
  <c r="K15" i="7"/>
  <c r="L15" i="7"/>
  <c r="M15" i="7"/>
  <c r="N15" i="7"/>
  <c r="D14" i="7"/>
  <c r="E14" i="7"/>
  <c r="F14" i="7"/>
  <c r="G14" i="7"/>
  <c r="H14" i="7"/>
  <c r="I14" i="7"/>
  <c r="J14" i="7"/>
  <c r="K14" i="7"/>
  <c r="L14" i="7"/>
  <c r="M14" i="7"/>
  <c r="N14" i="7"/>
  <c r="C14" i="7"/>
  <c r="D13" i="7"/>
  <c r="E13" i="7"/>
  <c r="F13" i="7"/>
  <c r="G13" i="7"/>
  <c r="H13" i="7"/>
  <c r="I13" i="7"/>
  <c r="J13" i="7"/>
  <c r="K13" i="7"/>
  <c r="L13" i="7"/>
  <c r="M13" i="7"/>
  <c r="N13" i="7"/>
  <c r="C13" i="7"/>
  <c r="H12" i="7"/>
  <c r="I12" i="7"/>
  <c r="J12" i="7"/>
  <c r="K12" i="7"/>
  <c r="L12" i="7"/>
  <c r="M12" i="7"/>
  <c r="N12" i="7"/>
  <c r="D12" i="7"/>
  <c r="E12" i="7"/>
  <c r="F12" i="7"/>
  <c r="G12" i="7"/>
  <c r="C12" i="7"/>
  <c r="A17" i="28"/>
  <c r="A43" i="28"/>
  <c r="A40" i="28"/>
  <c r="G13" i="26"/>
  <c r="G21" i="26"/>
  <c r="G12" i="26"/>
  <c r="P44" i="11"/>
  <c r="O44" i="11"/>
  <c r="M44" i="11"/>
  <c r="J42" i="11"/>
  <c r="K43" i="28" s="1"/>
  <c r="N43" i="28" s="1"/>
  <c r="J41" i="11"/>
  <c r="K42" i="28" s="1"/>
  <c r="N42" i="28" s="1"/>
  <c r="J40" i="11"/>
  <c r="J39" i="11"/>
  <c r="I31" i="11"/>
  <c r="C19" i="7"/>
  <c r="K27" i="27"/>
  <c r="K19" i="27"/>
  <c r="N19" i="27" s="1"/>
  <c r="K17" i="27"/>
  <c r="N17" i="27" s="1"/>
  <c r="K16" i="27"/>
  <c r="N16" i="27" s="1"/>
  <c r="K14" i="27"/>
  <c r="M29" i="27"/>
  <c r="N29" i="27" s="1"/>
  <c r="M28" i="27"/>
  <c r="K26" i="27"/>
  <c r="N26" i="27" s="1"/>
  <c r="K23" i="27"/>
  <c r="I25" i="27"/>
  <c r="N25" i="27" s="1"/>
  <c r="I24" i="27"/>
  <c r="N24" i="27" s="1"/>
  <c r="K20" i="27"/>
  <c r="N20" i="27" s="1"/>
  <c r="K21" i="27"/>
  <c r="N21" i="27" s="1"/>
  <c r="I11" i="27"/>
  <c r="N11" i="27" s="1"/>
  <c r="M12" i="27"/>
  <c r="N12" i="27" s="1"/>
  <c r="I22" i="27"/>
  <c r="N22" i="27" s="1"/>
  <c r="I15" i="27"/>
  <c r="N15" i="27" s="1"/>
  <c r="G35" i="27"/>
  <c r="E33" i="27" s="1"/>
  <c r="E32" i="27"/>
  <c r="I13" i="27"/>
  <c r="N13" i="27" s="1"/>
  <c r="K30" i="27"/>
  <c r="N30" i="27" s="1"/>
  <c r="I9" i="27"/>
  <c r="N9" i="27" s="1"/>
  <c r="O31" i="40"/>
  <c r="N132" i="64"/>
  <c r="O132" i="64" s="1"/>
  <c r="Q117" i="64"/>
  <c r="Q118" i="64"/>
  <c r="Q119" i="64"/>
  <c r="Q120" i="64"/>
  <c r="Q121" i="64"/>
  <c r="Q122" i="64"/>
  <c r="Q123" i="64"/>
  <c r="Q124" i="64"/>
  <c r="Q125" i="64"/>
  <c r="Q126" i="64"/>
  <c r="Q127" i="64"/>
  <c r="Q128" i="64"/>
  <c r="Q129" i="64"/>
  <c r="Q130" i="64"/>
  <c r="Q131" i="64"/>
  <c r="Q133" i="64"/>
  <c r="Q134" i="64"/>
  <c r="Q135" i="64"/>
  <c r="Q136" i="64"/>
  <c r="Q137" i="64"/>
  <c r="Q138" i="64"/>
  <c r="Q139" i="64"/>
  <c r="Q140" i="64"/>
  <c r="Q141" i="64"/>
  <c r="I117" i="64"/>
  <c r="AC117" i="64" s="1"/>
  <c r="I118" i="64"/>
  <c r="AC118" i="64" s="1"/>
  <c r="I119" i="64"/>
  <c r="AC119" i="64" s="1"/>
  <c r="I120" i="64"/>
  <c r="AC120" i="64" s="1"/>
  <c r="I121" i="64"/>
  <c r="AC121" i="64" s="1"/>
  <c r="I122" i="64"/>
  <c r="AC122" i="64" s="1"/>
  <c r="I123" i="64"/>
  <c r="AC123" i="64" s="1"/>
  <c r="I124" i="64"/>
  <c r="AC124" i="64" s="1"/>
  <c r="I125" i="64"/>
  <c r="AC125" i="64" s="1"/>
  <c r="I126" i="64"/>
  <c r="AC126" i="64" s="1"/>
  <c r="I127" i="64"/>
  <c r="AC127" i="64" s="1"/>
  <c r="I128" i="64"/>
  <c r="AC128" i="64" s="1"/>
  <c r="I129" i="64"/>
  <c r="AC129" i="64" s="1"/>
  <c r="I130" i="64"/>
  <c r="AC130" i="64" s="1"/>
  <c r="I131" i="64"/>
  <c r="AC131" i="64" s="1"/>
  <c r="I132" i="64"/>
  <c r="AC132" i="64" s="1"/>
  <c r="I133" i="64"/>
  <c r="AC133" i="64" s="1"/>
  <c r="I134" i="64"/>
  <c r="AC134" i="64" s="1"/>
  <c r="I135" i="64"/>
  <c r="AC135" i="64" s="1"/>
  <c r="I136" i="64"/>
  <c r="AC136" i="64" s="1"/>
  <c r="I137" i="64"/>
  <c r="AC137" i="64" s="1"/>
  <c r="I138" i="64"/>
  <c r="AC138" i="64" s="1"/>
  <c r="I139" i="64"/>
  <c r="AC139" i="64" s="1"/>
  <c r="I140" i="64"/>
  <c r="AC140" i="64" s="1"/>
  <c r="I141" i="64"/>
  <c r="AC141" i="64" s="1"/>
  <c r="AE117" i="64"/>
  <c r="AE118" i="64"/>
  <c r="AE119" i="64"/>
  <c r="AE120" i="64"/>
  <c r="AE121" i="64"/>
  <c r="AE122" i="64"/>
  <c r="AE123" i="64"/>
  <c r="AE124" i="64"/>
  <c r="AE125" i="64"/>
  <c r="AE126" i="64"/>
  <c r="AE127" i="64"/>
  <c r="AE128" i="64"/>
  <c r="AE129" i="64"/>
  <c r="AE130" i="64"/>
  <c r="AE131" i="64"/>
  <c r="AE132" i="64"/>
  <c r="AE133" i="64"/>
  <c r="AE134" i="64"/>
  <c r="AE135" i="64"/>
  <c r="AE136" i="64"/>
  <c r="AE137" i="64"/>
  <c r="AE138" i="64"/>
  <c r="AE139" i="64"/>
  <c r="AE140" i="64"/>
  <c r="AE141" i="64"/>
  <c r="AA117" i="64"/>
  <c r="AA118" i="64"/>
  <c r="AA119" i="64"/>
  <c r="AA120" i="64"/>
  <c r="AA121" i="64"/>
  <c r="AA122" i="64"/>
  <c r="AA123" i="64"/>
  <c r="AA124" i="64"/>
  <c r="AA125" i="64"/>
  <c r="AA126" i="64"/>
  <c r="AA127" i="64"/>
  <c r="AA128" i="64"/>
  <c r="AA129" i="64"/>
  <c r="AA130" i="64"/>
  <c r="AA131" i="64"/>
  <c r="AA133" i="64"/>
  <c r="AA134" i="64"/>
  <c r="AA135" i="64"/>
  <c r="AA136" i="64"/>
  <c r="AA137" i="64"/>
  <c r="AA138" i="64"/>
  <c r="AA139" i="64"/>
  <c r="AA140" i="64"/>
  <c r="AA141" i="64"/>
  <c r="N117" i="64"/>
  <c r="O117" i="64" s="1"/>
  <c r="N118" i="64"/>
  <c r="O118" i="64" s="1"/>
  <c r="N119" i="64"/>
  <c r="O119" i="64" s="1"/>
  <c r="N120" i="64"/>
  <c r="O120" i="64" s="1"/>
  <c r="N121" i="64"/>
  <c r="O121" i="64" s="1"/>
  <c r="N122" i="64"/>
  <c r="O122" i="64" s="1"/>
  <c r="N123" i="64"/>
  <c r="O123" i="64" s="1"/>
  <c r="N124" i="64"/>
  <c r="O124" i="64" s="1"/>
  <c r="N125" i="64"/>
  <c r="O125" i="64" s="1"/>
  <c r="N126" i="64"/>
  <c r="O126" i="64" s="1"/>
  <c r="N127" i="64"/>
  <c r="O127" i="64" s="1"/>
  <c r="N128" i="64"/>
  <c r="O128" i="64" s="1"/>
  <c r="N129" i="64"/>
  <c r="O129" i="64" s="1"/>
  <c r="N130" i="64"/>
  <c r="O130" i="64" s="1"/>
  <c r="N131" i="64"/>
  <c r="O131" i="64" s="1"/>
  <c r="N133" i="64"/>
  <c r="O133" i="64" s="1"/>
  <c r="N134" i="64"/>
  <c r="O134" i="64" s="1"/>
  <c r="N135" i="64"/>
  <c r="O135" i="64" s="1"/>
  <c r="N136" i="64"/>
  <c r="O136" i="64" s="1"/>
  <c r="N137" i="64"/>
  <c r="O137" i="64" s="1"/>
  <c r="N138" i="64"/>
  <c r="O138" i="64" s="1"/>
  <c r="N139" i="64"/>
  <c r="O139" i="64" s="1"/>
  <c r="N140" i="64"/>
  <c r="O140" i="64" s="1"/>
  <c r="N141" i="64"/>
  <c r="O141" i="64" s="1"/>
  <c r="N116" i="64"/>
  <c r="O116" i="64" s="1"/>
  <c r="F9" i="54"/>
  <c r="AE37" i="64"/>
  <c r="AE38" i="64"/>
  <c r="Q37" i="64"/>
  <c r="Q38" i="64"/>
  <c r="N38" i="64"/>
  <c r="O38" i="64" s="1"/>
  <c r="N37" i="64"/>
  <c r="O37" i="64" s="1"/>
  <c r="I37" i="64"/>
  <c r="AC37" i="64" s="1"/>
  <c r="I38" i="64"/>
  <c r="AC38" i="64" s="1"/>
  <c r="AA38" i="64"/>
  <c r="AA37" i="64"/>
  <c r="AE285" i="64"/>
  <c r="AE286" i="64"/>
  <c r="AE287" i="64"/>
  <c r="AE288" i="64"/>
  <c r="AE289" i="64"/>
  <c r="AE290" i="64"/>
  <c r="AE291" i="64"/>
  <c r="AE292" i="64"/>
  <c r="AE293" i="64"/>
  <c r="AE294" i="64"/>
  <c r="AE295" i="64"/>
  <c r="AE296" i="64"/>
  <c r="AE297" i="64"/>
  <c r="AE298" i="64"/>
  <c r="AE299" i="64"/>
  <c r="AE300" i="64"/>
  <c r="AE301" i="64"/>
  <c r="AE302" i="64"/>
  <c r="AE303" i="64"/>
  <c r="AE304" i="64"/>
  <c r="AE305" i="64"/>
  <c r="AE306" i="64"/>
  <c r="AE307" i="64"/>
  <c r="AE308" i="64"/>
  <c r="AE309" i="64"/>
  <c r="AE310" i="64"/>
  <c r="AE311" i="64"/>
  <c r="AE312" i="64"/>
  <c r="AE313" i="64"/>
  <c r="AE314" i="64"/>
  <c r="AE315" i="64"/>
  <c r="AE316" i="64"/>
  <c r="AE317" i="64"/>
  <c r="AE318" i="64"/>
  <c r="AE319" i="64"/>
  <c r="AE320" i="64"/>
  <c r="AE321" i="64"/>
  <c r="AE322" i="64"/>
  <c r="AE323" i="64"/>
  <c r="AE324" i="64"/>
  <c r="AE325" i="64"/>
  <c r="AE326" i="64"/>
  <c r="AE327" i="64"/>
  <c r="AE328" i="64"/>
  <c r="AE329" i="64"/>
  <c r="AE330" i="64"/>
  <c r="AA306" i="64"/>
  <c r="AA307" i="64"/>
  <c r="AA308" i="64"/>
  <c r="AA309" i="64"/>
  <c r="AA310" i="64"/>
  <c r="AA311" i="64"/>
  <c r="AA312" i="64"/>
  <c r="AA313" i="64"/>
  <c r="AA314" i="64"/>
  <c r="AA315" i="64"/>
  <c r="AA316" i="64"/>
  <c r="AA317" i="64"/>
  <c r="AA318" i="64"/>
  <c r="AA319" i="64"/>
  <c r="AA320" i="64"/>
  <c r="AA321" i="64"/>
  <c r="AA322" i="64"/>
  <c r="AA323" i="64"/>
  <c r="AA324" i="64"/>
  <c r="AA325" i="64"/>
  <c r="AA326" i="64"/>
  <c r="AA327" i="64"/>
  <c r="AA328" i="64"/>
  <c r="AA329" i="64"/>
  <c r="AA330" i="64"/>
  <c r="Q285" i="64"/>
  <c r="Q286" i="64"/>
  <c r="Q287" i="64"/>
  <c r="Q288" i="64"/>
  <c r="Q289" i="64"/>
  <c r="Q290" i="64"/>
  <c r="Q291" i="64"/>
  <c r="Q292" i="64"/>
  <c r="Q293" i="64"/>
  <c r="Q294" i="64"/>
  <c r="Q295" i="64"/>
  <c r="Q296" i="64"/>
  <c r="Q297" i="64"/>
  <c r="Q298" i="64"/>
  <c r="Q299" i="64"/>
  <c r="Q300" i="64"/>
  <c r="Q301" i="64"/>
  <c r="Q302" i="64"/>
  <c r="Q303" i="64"/>
  <c r="Q304" i="64"/>
  <c r="Q305" i="64"/>
  <c r="Q306" i="64"/>
  <c r="Q307" i="64"/>
  <c r="Q308" i="64"/>
  <c r="Q309" i="64"/>
  <c r="Q310" i="64"/>
  <c r="Q311" i="64"/>
  <c r="Q312" i="64"/>
  <c r="Q313" i="64"/>
  <c r="Q314" i="64"/>
  <c r="Q315" i="64"/>
  <c r="Q316" i="64"/>
  <c r="Q317" i="64"/>
  <c r="Q318" i="64"/>
  <c r="Q319" i="64"/>
  <c r="Q320" i="64"/>
  <c r="Q321" i="64"/>
  <c r="Q322" i="64"/>
  <c r="Q323" i="64"/>
  <c r="Q324" i="64"/>
  <c r="Q325" i="64"/>
  <c r="Q326" i="64"/>
  <c r="Q327" i="64"/>
  <c r="Q328" i="64"/>
  <c r="Q329" i="64"/>
  <c r="Q330" i="64"/>
  <c r="N285" i="64"/>
  <c r="O285" i="64" s="1"/>
  <c r="N286" i="64"/>
  <c r="O286" i="64" s="1"/>
  <c r="N287" i="64"/>
  <c r="O287" i="64" s="1"/>
  <c r="N288" i="64"/>
  <c r="O288" i="64" s="1"/>
  <c r="N289" i="64"/>
  <c r="O289" i="64" s="1"/>
  <c r="N290" i="64"/>
  <c r="O290" i="64" s="1"/>
  <c r="N291" i="64"/>
  <c r="O291" i="64" s="1"/>
  <c r="N292" i="64"/>
  <c r="O292" i="64" s="1"/>
  <c r="N293" i="64"/>
  <c r="O293" i="64" s="1"/>
  <c r="N294" i="64"/>
  <c r="O294" i="64" s="1"/>
  <c r="N295" i="64"/>
  <c r="O295" i="64" s="1"/>
  <c r="N296" i="64"/>
  <c r="O296" i="64" s="1"/>
  <c r="N297" i="64"/>
  <c r="O297" i="64" s="1"/>
  <c r="N298" i="64"/>
  <c r="O298" i="64" s="1"/>
  <c r="N299" i="64"/>
  <c r="O299" i="64" s="1"/>
  <c r="N300" i="64"/>
  <c r="O300" i="64" s="1"/>
  <c r="N301" i="64"/>
  <c r="O301" i="64" s="1"/>
  <c r="N302" i="64"/>
  <c r="O302" i="64" s="1"/>
  <c r="N303" i="64"/>
  <c r="O303" i="64" s="1"/>
  <c r="N304" i="64"/>
  <c r="O304" i="64" s="1"/>
  <c r="N305" i="64"/>
  <c r="O305" i="64" s="1"/>
  <c r="N306" i="64"/>
  <c r="O306" i="64" s="1"/>
  <c r="N307" i="64"/>
  <c r="O307" i="64" s="1"/>
  <c r="N308" i="64"/>
  <c r="O308" i="64" s="1"/>
  <c r="N309" i="64"/>
  <c r="O309" i="64" s="1"/>
  <c r="N310" i="64"/>
  <c r="O310" i="64" s="1"/>
  <c r="N311" i="64"/>
  <c r="O311" i="64" s="1"/>
  <c r="N312" i="64"/>
  <c r="O312" i="64" s="1"/>
  <c r="N313" i="64"/>
  <c r="O313" i="64" s="1"/>
  <c r="N314" i="64"/>
  <c r="O314" i="64" s="1"/>
  <c r="N315" i="64"/>
  <c r="O315" i="64" s="1"/>
  <c r="N316" i="64"/>
  <c r="O316" i="64" s="1"/>
  <c r="N317" i="64"/>
  <c r="O317" i="64" s="1"/>
  <c r="N318" i="64"/>
  <c r="O318" i="64" s="1"/>
  <c r="N319" i="64"/>
  <c r="O319" i="64" s="1"/>
  <c r="N320" i="64"/>
  <c r="O320" i="64" s="1"/>
  <c r="N321" i="64"/>
  <c r="O321" i="64" s="1"/>
  <c r="N322" i="64"/>
  <c r="O322" i="64" s="1"/>
  <c r="N323" i="64"/>
  <c r="O323" i="64" s="1"/>
  <c r="N324" i="64"/>
  <c r="O324" i="64" s="1"/>
  <c r="N325" i="64"/>
  <c r="O325" i="64" s="1"/>
  <c r="N326" i="64"/>
  <c r="O326" i="64" s="1"/>
  <c r="N327" i="64"/>
  <c r="O327" i="64" s="1"/>
  <c r="N328" i="64"/>
  <c r="O328" i="64" s="1"/>
  <c r="N329" i="64"/>
  <c r="O329" i="64" s="1"/>
  <c r="N330" i="64"/>
  <c r="O330" i="64" s="1"/>
  <c r="AA305" i="64"/>
  <c r="AA304" i="64"/>
  <c r="AA303" i="64"/>
  <c r="AA302" i="64"/>
  <c r="AA301" i="64"/>
  <c r="AA300" i="64"/>
  <c r="AA299" i="64"/>
  <c r="AA298" i="64"/>
  <c r="AA297" i="64"/>
  <c r="AA296" i="64"/>
  <c r="AA295" i="64"/>
  <c r="AA294" i="64"/>
  <c r="AA293" i="64"/>
  <c r="AA292" i="64"/>
  <c r="AA291" i="64"/>
  <c r="AA290" i="64"/>
  <c r="AA289" i="64"/>
  <c r="AA288" i="64"/>
  <c r="AA287" i="64"/>
  <c r="AA286" i="64"/>
  <c r="AA285" i="64"/>
  <c r="AE265" i="64"/>
  <c r="AA265" i="64"/>
  <c r="Q265" i="64"/>
  <c r="N265" i="64"/>
  <c r="O265" i="64" s="1"/>
  <c r="I265" i="64"/>
  <c r="AC265" i="64" s="1"/>
  <c r="I285" i="64"/>
  <c r="AC285" i="64" s="1"/>
  <c r="I286" i="64"/>
  <c r="AC286" i="64" s="1"/>
  <c r="I287" i="64"/>
  <c r="AC287" i="64" s="1"/>
  <c r="I288" i="64"/>
  <c r="AC288" i="64" s="1"/>
  <c r="I289" i="64"/>
  <c r="AC289" i="64" s="1"/>
  <c r="I290" i="64"/>
  <c r="AC290" i="64" s="1"/>
  <c r="I291" i="64"/>
  <c r="AC291" i="64" s="1"/>
  <c r="I292" i="64"/>
  <c r="AC292" i="64" s="1"/>
  <c r="I293" i="64"/>
  <c r="AC293" i="64" s="1"/>
  <c r="I294" i="64"/>
  <c r="AC294" i="64" s="1"/>
  <c r="I295" i="64"/>
  <c r="AC295" i="64" s="1"/>
  <c r="I296" i="64"/>
  <c r="AC296" i="64" s="1"/>
  <c r="I297" i="64"/>
  <c r="AC297" i="64" s="1"/>
  <c r="I298" i="64"/>
  <c r="AC298" i="64" s="1"/>
  <c r="I299" i="64"/>
  <c r="AC299" i="64" s="1"/>
  <c r="I300" i="64"/>
  <c r="AC300" i="64" s="1"/>
  <c r="I301" i="64"/>
  <c r="AC301" i="64" s="1"/>
  <c r="I302" i="64"/>
  <c r="AC302" i="64" s="1"/>
  <c r="I303" i="64"/>
  <c r="AC303" i="64" s="1"/>
  <c r="I304" i="64"/>
  <c r="AC304" i="64" s="1"/>
  <c r="I305" i="64"/>
  <c r="AC305" i="64" s="1"/>
  <c r="I306" i="64"/>
  <c r="AC306" i="64" s="1"/>
  <c r="I307" i="64"/>
  <c r="AC307" i="64" s="1"/>
  <c r="I308" i="64"/>
  <c r="AC308" i="64" s="1"/>
  <c r="I309" i="64"/>
  <c r="AC309" i="64" s="1"/>
  <c r="I310" i="64"/>
  <c r="AC310" i="64" s="1"/>
  <c r="I311" i="64"/>
  <c r="AC311" i="64" s="1"/>
  <c r="I312" i="64"/>
  <c r="AC312" i="64" s="1"/>
  <c r="I313" i="64"/>
  <c r="AC313" i="64" s="1"/>
  <c r="I314" i="64"/>
  <c r="AC314" i="64" s="1"/>
  <c r="I315" i="64"/>
  <c r="AC315" i="64" s="1"/>
  <c r="I316" i="64"/>
  <c r="AC316" i="64" s="1"/>
  <c r="I317" i="64"/>
  <c r="AC317" i="64" s="1"/>
  <c r="I318" i="64"/>
  <c r="AC318" i="64" s="1"/>
  <c r="I319" i="64"/>
  <c r="AC319" i="64" s="1"/>
  <c r="I320" i="64"/>
  <c r="AC320" i="64" s="1"/>
  <c r="I321" i="64"/>
  <c r="AC321" i="64" s="1"/>
  <c r="I322" i="64"/>
  <c r="AC322" i="64" s="1"/>
  <c r="I323" i="64"/>
  <c r="AC323" i="64" s="1"/>
  <c r="I324" i="64"/>
  <c r="AC324" i="64" s="1"/>
  <c r="I325" i="64"/>
  <c r="AC325" i="64" s="1"/>
  <c r="I326" i="64"/>
  <c r="AC326" i="64" s="1"/>
  <c r="I327" i="64"/>
  <c r="AC327" i="64" s="1"/>
  <c r="I328" i="64"/>
  <c r="AC328" i="64" s="1"/>
  <c r="I329" i="64"/>
  <c r="AC329" i="64" s="1"/>
  <c r="I330" i="64"/>
  <c r="AC330" i="64" s="1"/>
  <c r="AE159" i="64"/>
  <c r="AE160" i="64"/>
  <c r="AE161" i="64"/>
  <c r="N159" i="64"/>
  <c r="O159" i="64" s="1"/>
  <c r="Q159" i="64"/>
  <c r="Q160" i="64"/>
  <c r="N161" i="64"/>
  <c r="O161" i="64" s="1"/>
  <c r="Q161" i="64"/>
  <c r="AD11" i="11"/>
  <c r="AE45" i="64"/>
  <c r="AA45" i="64"/>
  <c r="Q45" i="64"/>
  <c r="N45" i="64"/>
  <c r="I45" i="64"/>
  <c r="AC45" i="64" s="1"/>
  <c r="AE82" i="64"/>
  <c r="AE83" i="64"/>
  <c r="AE84" i="64"/>
  <c r="AE85" i="64"/>
  <c r="AE86" i="64"/>
  <c r="AE87" i="64"/>
  <c r="AE88" i="64"/>
  <c r="AE89" i="64"/>
  <c r="AE90" i="64"/>
  <c r="AE91" i="64"/>
  <c r="AE92" i="64"/>
  <c r="AE93" i="64"/>
  <c r="AE94" i="64"/>
  <c r="AE95" i="64"/>
  <c r="AE96" i="64"/>
  <c r="AE97" i="64"/>
  <c r="AE98" i="64"/>
  <c r="Q82" i="64"/>
  <c r="Q83" i="64"/>
  <c r="Q84" i="64"/>
  <c r="Q85" i="64"/>
  <c r="Q86" i="64"/>
  <c r="Q87" i="64"/>
  <c r="Q88" i="64"/>
  <c r="Q89" i="64"/>
  <c r="Q90" i="64"/>
  <c r="Q91" i="64"/>
  <c r="Q92" i="64"/>
  <c r="Q93" i="64"/>
  <c r="Q94" i="64"/>
  <c r="Q95" i="64"/>
  <c r="Q96" i="64"/>
  <c r="Q97" i="64"/>
  <c r="Q98" i="64"/>
  <c r="N82" i="64"/>
  <c r="O82" i="64" s="1"/>
  <c r="N83" i="64"/>
  <c r="N84" i="64"/>
  <c r="O84" i="64" s="1"/>
  <c r="N85" i="64"/>
  <c r="O85" i="64" s="1"/>
  <c r="N86" i="64"/>
  <c r="O86" i="64" s="1"/>
  <c r="N87" i="64"/>
  <c r="O87" i="64" s="1"/>
  <c r="N88" i="64"/>
  <c r="O88" i="64" s="1"/>
  <c r="N89" i="64"/>
  <c r="O89" i="64" s="1"/>
  <c r="N90" i="64"/>
  <c r="O90" i="64" s="1"/>
  <c r="N91" i="64"/>
  <c r="O91" i="64" s="1"/>
  <c r="N92" i="64"/>
  <c r="O92" i="64" s="1"/>
  <c r="N93" i="64"/>
  <c r="O93" i="64" s="1"/>
  <c r="N94" i="64"/>
  <c r="O94" i="64" s="1"/>
  <c r="N95" i="64"/>
  <c r="O95" i="64" s="1"/>
  <c r="N96" i="64"/>
  <c r="O96" i="64" s="1"/>
  <c r="N97" i="64"/>
  <c r="O97" i="64" s="1"/>
  <c r="N98" i="64"/>
  <c r="O98" i="64" s="1"/>
  <c r="I82" i="64"/>
  <c r="AC82" i="64" s="1"/>
  <c r="I83" i="64"/>
  <c r="AC83" i="64" s="1"/>
  <c r="I84" i="64"/>
  <c r="AC84" i="64" s="1"/>
  <c r="I85" i="64"/>
  <c r="AC85" i="64" s="1"/>
  <c r="I86" i="64"/>
  <c r="AC86" i="64" s="1"/>
  <c r="I87" i="64"/>
  <c r="AC87" i="64" s="1"/>
  <c r="I88" i="64"/>
  <c r="AC88" i="64" s="1"/>
  <c r="I89" i="64"/>
  <c r="AC89" i="64" s="1"/>
  <c r="I90" i="64"/>
  <c r="AC90" i="64" s="1"/>
  <c r="I91" i="64"/>
  <c r="AC91" i="64" s="1"/>
  <c r="I92" i="64"/>
  <c r="AC92" i="64" s="1"/>
  <c r="I93" i="64"/>
  <c r="AC93" i="64" s="1"/>
  <c r="I94" i="64"/>
  <c r="AC94" i="64" s="1"/>
  <c r="I95" i="64"/>
  <c r="AC95" i="64" s="1"/>
  <c r="I96" i="64"/>
  <c r="AC96" i="64" s="1"/>
  <c r="I97" i="64"/>
  <c r="AC97" i="64" s="1"/>
  <c r="I98" i="64"/>
  <c r="AC98" i="64" s="1"/>
  <c r="AA98" i="64"/>
  <c r="AA97" i="64"/>
  <c r="AA96" i="64"/>
  <c r="AA95" i="64"/>
  <c r="AA94" i="64"/>
  <c r="AA93" i="64"/>
  <c r="AA92" i="64"/>
  <c r="AA91" i="64"/>
  <c r="AA90" i="64"/>
  <c r="AA89" i="64"/>
  <c r="AA88" i="64"/>
  <c r="AA87" i="64"/>
  <c r="AA86" i="64"/>
  <c r="AA85" i="64"/>
  <c r="AA84" i="64"/>
  <c r="AA83" i="64"/>
  <c r="AA82" i="64"/>
  <c r="I161" i="64"/>
  <c r="AC161" i="64" s="1"/>
  <c r="I160" i="64"/>
  <c r="AC160" i="64" s="1"/>
  <c r="AA161" i="64"/>
  <c r="AA160" i="64"/>
  <c r="AA159" i="64"/>
  <c r="C194" i="64"/>
  <c r="L368" i="64"/>
  <c r="L369" i="64" s="1"/>
  <c r="AE188" i="64"/>
  <c r="Q188" i="64"/>
  <c r="N188" i="64"/>
  <c r="O188" i="64" s="1"/>
  <c r="I188" i="64"/>
  <c r="AC188" i="64" s="1"/>
  <c r="AA188" i="64"/>
  <c r="AE28" i="64"/>
  <c r="AE29" i="64"/>
  <c r="AE30" i="64"/>
  <c r="AE31" i="64"/>
  <c r="AE32" i="64"/>
  <c r="AE33" i="64"/>
  <c r="AE34" i="64"/>
  <c r="AE35" i="64"/>
  <c r="AE36" i="64"/>
  <c r="N28" i="64"/>
  <c r="O28" i="64" s="1"/>
  <c r="Q28" i="64"/>
  <c r="N29" i="64"/>
  <c r="O29" i="64" s="1"/>
  <c r="Q29" i="64"/>
  <c r="N30" i="64"/>
  <c r="O30" i="64" s="1"/>
  <c r="Q30" i="64"/>
  <c r="N31" i="64"/>
  <c r="O31" i="64" s="1"/>
  <c r="Q31" i="64"/>
  <c r="N32" i="64"/>
  <c r="O32" i="64" s="1"/>
  <c r="Q32" i="64"/>
  <c r="N33" i="64"/>
  <c r="O33" i="64" s="1"/>
  <c r="Q33" i="64"/>
  <c r="N34" i="64"/>
  <c r="O34" i="64" s="1"/>
  <c r="Q34" i="64"/>
  <c r="N35" i="64"/>
  <c r="O35" i="64" s="1"/>
  <c r="Q35" i="64"/>
  <c r="N36" i="64"/>
  <c r="O36" i="64" s="1"/>
  <c r="Q36" i="64"/>
  <c r="AA36" i="64"/>
  <c r="AA35" i="64"/>
  <c r="AA34" i="64"/>
  <c r="AA33" i="64"/>
  <c r="AA32" i="64"/>
  <c r="AA31" i="64"/>
  <c r="AA30" i="64"/>
  <c r="AA29" i="64"/>
  <c r="AA28" i="64"/>
  <c r="I28" i="64"/>
  <c r="AC28" i="64" s="1"/>
  <c r="I29" i="64"/>
  <c r="AC29" i="64" s="1"/>
  <c r="I30" i="64"/>
  <c r="AC30" i="64" s="1"/>
  <c r="I31" i="64"/>
  <c r="AC31" i="64" s="1"/>
  <c r="I32" i="64"/>
  <c r="AC32" i="64" s="1"/>
  <c r="I33" i="64"/>
  <c r="AC33" i="64" s="1"/>
  <c r="I34" i="64"/>
  <c r="AC34" i="64" s="1"/>
  <c r="I35" i="64"/>
  <c r="AC35" i="64" s="1"/>
  <c r="I36" i="64"/>
  <c r="AC36" i="64" s="1"/>
  <c r="I27" i="64"/>
  <c r="AC27" i="64" s="1"/>
  <c r="B5" i="7"/>
  <c r="A5" i="20"/>
  <c r="A5" i="21"/>
  <c r="A5" i="17"/>
  <c r="A5" i="19"/>
  <c r="A5" i="16"/>
  <c r="A5" i="18"/>
  <c r="K98" i="71"/>
  <c r="B5" i="71"/>
  <c r="O23" i="40"/>
  <c r="O24" i="40"/>
  <c r="O25" i="40"/>
  <c r="O26" i="40"/>
  <c r="O27" i="40"/>
  <c r="O28" i="40"/>
  <c r="O29" i="40"/>
  <c r="O30" i="40"/>
  <c r="O32" i="40"/>
  <c r="O33" i="40"/>
  <c r="O34" i="40"/>
  <c r="O35" i="40"/>
  <c r="O36" i="40"/>
  <c r="O37" i="40"/>
  <c r="B160" i="40"/>
  <c r="O150" i="40"/>
  <c r="O151" i="40"/>
  <c r="O81" i="40"/>
  <c r="D31" i="87"/>
  <c r="L15" i="17"/>
  <c r="L16" i="17"/>
  <c r="L17" i="17"/>
  <c r="L19" i="17"/>
  <c r="L20" i="17"/>
  <c r="L14" i="17"/>
  <c r="L13" i="17"/>
  <c r="L30" i="17"/>
  <c r="L31" i="17"/>
  <c r="L32" i="17"/>
  <c r="L34" i="17"/>
  <c r="L35" i="17"/>
  <c r="L37" i="17"/>
  <c r="L39" i="17"/>
  <c r="L40" i="17"/>
  <c r="L42" i="17"/>
  <c r="L43" i="17"/>
  <c r="L44" i="17"/>
  <c r="L47" i="17"/>
  <c r="L48" i="17"/>
  <c r="L49" i="17"/>
  <c r="L50" i="17"/>
  <c r="L51" i="17"/>
  <c r="L53" i="17"/>
  <c r="L54" i="17"/>
  <c r="L56" i="17"/>
  <c r="L57" i="17"/>
  <c r="L58" i="17"/>
  <c r="L59" i="17"/>
  <c r="L60" i="17"/>
  <c r="L61" i="17"/>
  <c r="L62" i="17"/>
  <c r="L63" i="17"/>
  <c r="L64" i="17"/>
  <c r="L65" i="17"/>
  <c r="L66" i="17"/>
  <c r="L67" i="17"/>
  <c r="L68" i="17"/>
  <c r="L69" i="17"/>
  <c r="L70" i="17"/>
  <c r="L72" i="17"/>
  <c r="L73" i="17"/>
  <c r="L74" i="17"/>
  <c r="L75" i="17"/>
  <c r="L76" i="17"/>
  <c r="L77" i="17"/>
  <c r="L78" i="17"/>
  <c r="L79" i="17"/>
  <c r="L80" i="17"/>
  <c r="L81" i="17"/>
  <c r="L82" i="17"/>
  <c r="L83" i="17"/>
  <c r="L84" i="17"/>
  <c r="L85" i="17"/>
  <c r="L86" i="17"/>
  <c r="L87" i="17"/>
  <c r="L88" i="17"/>
  <c r="L89" i="17"/>
  <c r="L90" i="17"/>
  <c r="L91" i="17"/>
  <c r="L92" i="17"/>
  <c r="L93" i="17"/>
  <c r="L94" i="17"/>
  <c r="L95" i="17"/>
  <c r="L96" i="17"/>
  <c r="A1" i="66"/>
  <c r="A1" i="38" s="1"/>
  <c r="A32" i="38" s="1"/>
  <c r="A79" i="38" s="1"/>
  <c r="H88" i="20"/>
  <c r="H89" i="20"/>
  <c r="H91" i="20"/>
  <c r="H92" i="20"/>
  <c r="H93" i="20"/>
  <c r="H94" i="20"/>
  <c r="H95" i="20"/>
  <c r="H96" i="20"/>
  <c r="H97" i="20"/>
  <c r="H90" i="20"/>
  <c r="H105" i="84"/>
  <c r="H110" i="84" s="1"/>
  <c r="L102" i="84"/>
  <c r="L105" i="84" s="1"/>
  <c r="L79" i="84"/>
  <c r="L75" i="84"/>
  <c r="F84" i="84"/>
  <c r="L66" i="84"/>
  <c r="L46" i="84"/>
  <c r="M20" i="84"/>
  <c r="Q20" i="84" s="1"/>
  <c r="L18" i="84"/>
  <c r="J23" i="11"/>
  <c r="K23" i="28" s="1"/>
  <c r="N23" i="28" s="1"/>
  <c r="A1" i="20"/>
  <c r="E14" i="71"/>
  <c r="A1" i="16"/>
  <c r="A23" i="16"/>
  <c r="A12" i="16"/>
  <c r="A12" i="17" s="1"/>
  <c r="N152" i="64"/>
  <c r="A1" i="63"/>
  <c r="B1" i="64" s="1"/>
  <c r="A1" i="18"/>
  <c r="E13" i="71"/>
  <c r="T59" i="28"/>
  <c r="N338" i="64"/>
  <c r="O338" i="64" s="1"/>
  <c r="I338" i="64"/>
  <c r="AC338" i="64" s="1"/>
  <c r="H73" i="7"/>
  <c r="H53" i="7"/>
  <c r="J20" i="11"/>
  <c r="F21" i="17"/>
  <c r="E12" i="71"/>
  <c r="A49" i="28"/>
  <c r="A50" i="28"/>
  <c r="A51" i="28"/>
  <c r="A38" i="28"/>
  <c r="A26" i="28"/>
  <c r="AD37" i="11"/>
  <c r="Y35" i="11"/>
  <c r="AD25" i="11"/>
  <c r="Y15" i="11"/>
  <c r="M53" i="11"/>
  <c r="M33" i="11"/>
  <c r="M18" i="11"/>
  <c r="M13" i="11"/>
  <c r="AD50" i="11"/>
  <c r="Y20" i="11"/>
  <c r="Y31" i="11"/>
  <c r="J37" i="11"/>
  <c r="K38" i="28" s="1"/>
  <c r="J26" i="11"/>
  <c r="J48" i="11"/>
  <c r="K49" i="28" s="1"/>
  <c r="J49" i="11"/>
  <c r="J50" i="11"/>
  <c r="K51" i="28" s="1"/>
  <c r="N51" i="28" s="1"/>
  <c r="E25" i="26"/>
  <c r="I29" i="26" s="1"/>
  <c r="C27" i="18" s="1"/>
  <c r="C29" i="18" s="1"/>
  <c r="C25" i="26"/>
  <c r="C27" i="26" s="1"/>
  <c r="I28" i="26" s="1"/>
  <c r="C28" i="18" s="1"/>
  <c r="N14" i="27"/>
  <c r="N23" i="27"/>
  <c r="N27" i="27"/>
  <c r="Y375" i="64"/>
  <c r="Y376" i="64" s="1"/>
  <c r="AE270" i="64"/>
  <c r="AA270" i="64"/>
  <c r="Q270" i="64"/>
  <c r="N270" i="64"/>
  <c r="O270" i="64" s="1"/>
  <c r="I270" i="64"/>
  <c r="AC270" i="64" s="1"/>
  <c r="AE284" i="64"/>
  <c r="AA284" i="64"/>
  <c r="Q284" i="64"/>
  <c r="N284" i="64"/>
  <c r="O284" i="64" s="1"/>
  <c r="I284" i="64"/>
  <c r="AC284" i="64" s="1"/>
  <c r="AE283" i="64"/>
  <c r="AA283" i="64"/>
  <c r="Q283" i="64"/>
  <c r="N283" i="64"/>
  <c r="O283" i="64" s="1"/>
  <c r="I283" i="64"/>
  <c r="AC283" i="64" s="1"/>
  <c r="AE282" i="64"/>
  <c r="AA282" i="64"/>
  <c r="Q282" i="64"/>
  <c r="N282" i="64"/>
  <c r="O282" i="64" s="1"/>
  <c r="I282" i="64"/>
  <c r="AC282" i="64" s="1"/>
  <c r="AE281" i="64"/>
  <c r="AA281" i="64"/>
  <c r="Q281" i="64"/>
  <c r="N281" i="64"/>
  <c r="O281" i="64" s="1"/>
  <c r="I281" i="64"/>
  <c r="AC281" i="64" s="1"/>
  <c r="AE280" i="64"/>
  <c r="AA280" i="64"/>
  <c r="Q280" i="64"/>
  <c r="N280" i="64"/>
  <c r="O280" i="64" s="1"/>
  <c r="I280" i="64"/>
  <c r="AC280" i="64" s="1"/>
  <c r="AE279" i="64"/>
  <c r="AA279" i="64"/>
  <c r="Q279" i="64"/>
  <c r="N279" i="64"/>
  <c r="O279" i="64" s="1"/>
  <c r="I279" i="64"/>
  <c r="AC279" i="64" s="1"/>
  <c r="AE278" i="64"/>
  <c r="AA278" i="64"/>
  <c r="Q278" i="64"/>
  <c r="N278" i="64"/>
  <c r="O278" i="64" s="1"/>
  <c r="I278" i="64"/>
  <c r="AC278" i="64" s="1"/>
  <c r="AE277" i="64"/>
  <c r="AA277" i="64"/>
  <c r="Q277" i="64"/>
  <c r="N277" i="64"/>
  <c r="O277" i="64" s="1"/>
  <c r="I277" i="64"/>
  <c r="AC277" i="64" s="1"/>
  <c r="AE276" i="64"/>
  <c r="AA276" i="64"/>
  <c r="Q276" i="64"/>
  <c r="N276" i="64"/>
  <c r="O276" i="64" s="1"/>
  <c r="I276" i="64"/>
  <c r="AC276" i="64" s="1"/>
  <c r="AE275" i="64"/>
  <c r="AA275" i="64"/>
  <c r="Q275" i="64"/>
  <c r="N275" i="64"/>
  <c r="O275" i="64" s="1"/>
  <c r="I275" i="64"/>
  <c r="AC275" i="64" s="1"/>
  <c r="AE274" i="64"/>
  <c r="AA274" i="64"/>
  <c r="Q274" i="64"/>
  <c r="N274" i="64"/>
  <c r="O274" i="64" s="1"/>
  <c r="I274" i="64"/>
  <c r="AC274" i="64" s="1"/>
  <c r="AE273" i="64"/>
  <c r="AA273" i="64"/>
  <c r="Q273" i="64"/>
  <c r="N273" i="64"/>
  <c r="O273" i="64" s="1"/>
  <c r="I273" i="64"/>
  <c r="AC273" i="64" s="1"/>
  <c r="AE272" i="64"/>
  <c r="AA272" i="64"/>
  <c r="Q272" i="64"/>
  <c r="N272" i="64"/>
  <c r="O272" i="64" s="1"/>
  <c r="I272" i="64"/>
  <c r="AC272" i="64" s="1"/>
  <c r="AE271" i="64"/>
  <c r="AA271" i="64"/>
  <c r="Q271" i="64"/>
  <c r="N271" i="64"/>
  <c r="O271" i="64" s="1"/>
  <c r="I271" i="64"/>
  <c r="AC271" i="64" s="1"/>
  <c r="AE269" i="64"/>
  <c r="AA269" i="64"/>
  <c r="Q269" i="64"/>
  <c r="N269" i="64"/>
  <c r="O269" i="64" s="1"/>
  <c r="I269" i="64"/>
  <c r="AC269" i="64" s="1"/>
  <c r="AE268" i="64"/>
  <c r="AA268" i="64"/>
  <c r="Q268" i="64"/>
  <c r="N268" i="64"/>
  <c r="O268" i="64" s="1"/>
  <c r="I268" i="64"/>
  <c r="AC268" i="64" s="1"/>
  <c r="AE267" i="64"/>
  <c r="AA267" i="64"/>
  <c r="Q267" i="64"/>
  <c r="N267" i="64"/>
  <c r="O267" i="64" s="1"/>
  <c r="I267" i="64"/>
  <c r="AC267" i="64" s="1"/>
  <c r="AE266" i="64"/>
  <c r="AA266" i="64"/>
  <c r="Q266" i="64"/>
  <c r="N266" i="64"/>
  <c r="O266" i="64" s="1"/>
  <c r="I266" i="64"/>
  <c r="AC266" i="64" s="1"/>
  <c r="AE264" i="64"/>
  <c r="AA264" i="64"/>
  <c r="Q264" i="64"/>
  <c r="N264" i="64"/>
  <c r="O264" i="64" s="1"/>
  <c r="I264" i="64"/>
  <c r="AC264" i="64" s="1"/>
  <c r="AE263" i="64"/>
  <c r="AA263" i="64"/>
  <c r="Q263" i="64"/>
  <c r="N263" i="64"/>
  <c r="O263" i="64" s="1"/>
  <c r="I263" i="64"/>
  <c r="AC263" i="64" s="1"/>
  <c r="AE262" i="64"/>
  <c r="AA262" i="64"/>
  <c r="Q262" i="64"/>
  <c r="N262" i="64"/>
  <c r="O262" i="64" s="1"/>
  <c r="I262" i="64"/>
  <c r="AC262" i="64" s="1"/>
  <c r="AE261" i="64"/>
  <c r="AA261" i="64"/>
  <c r="Q261" i="64"/>
  <c r="N261" i="64"/>
  <c r="O261" i="64" s="1"/>
  <c r="I261" i="64"/>
  <c r="AC261" i="64" s="1"/>
  <c r="AE260" i="64"/>
  <c r="AA260" i="64"/>
  <c r="Q260" i="64"/>
  <c r="N260" i="64"/>
  <c r="O260" i="64" s="1"/>
  <c r="I260" i="64"/>
  <c r="AC260" i="64" s="1"/>
  <c r="AE259" i="64"/>
  <c r="AA259" i="64"/>
  <c r="Q259" i="64"/>
  <c r="N259" i="64"/>
  <c r="O259" i="64" s="1"/>
  <c r="I259" i="64"/>
  <c r="AC259" i="64" s="1"/>
  <c r="AE258" i="64"/>
  <c r="AA258" i="64"/>
  <c r="Q258" i="64"/>
  <c r="N258" i="64"/>
  <c r="O258" i="64" s="1"/>
  <c r="I258" i="64"/>
  <c r="AC258" i="64" s="1"/>
  <c r="AE257" i="64"/>
  <c r="AA257" i="64"/>
  <c r="Q257" i="64"/>
  <c r="N257" i="64"/>
  <c r="O257" i="64" s="1"/>
  <c r="I257" i="64"/>
  <c r="AC257" i="64" s="1"/>
  <c r="AE256" i="64"/>
  <c r="AA256" i="64"/>
  <c r="Q256" i="64"/>
  <c r="N256" i="64"/>
  <c r="O256" i="64" s="1"/>
  <c r="I256" i="64"/>
  <c r="AC256" i="64" s="1"/>
  <c r="AE255" i="64"/>
  <c r="AA255" i="64"/>
  <c r="Q255" i="64"/>
  <c r="N255" i="64"/>
  <c r="O255" i="64" s="1"/>
  <c r="I255" i="64"/>
  <c r="AC255" i="64" s="1"/>
  <c r="B7" i="64"/>
  <c r="AB308" i="64" s="1"/>
  <c r="B8" i="64"/>
  <c r="AD351" i="64" s="1"/>
  <c r="B9" i="64"/>
  <c r="B10" i="64"/>
  <c r="AB34" i="64" s="1"/>
  <c r="I17" i="64"/>
  <c r="AC17" i="64" s="1"/>
  <c r="N17" i="64"/>
  <c r="O17" i="64" s="1"/>
  <c r="Q17" i="64"/>
  <c r="AA17" i="64"/>
  <c r="AE17" i="64"/>
  <c r="I18" i="64"/>
  <c r="AC18" i="64" s="1"/>
  <c r="N18" i="64"/>
  <c r="O18" i="64" s="1"/>
  <c r="Q18" i="64"/>
  <c r="AA18" i="64"/>
  <c r="AE18" i="64"/>
  <c r="I19" i="64"/>
  <c r="AC19" i="64" s="1"/>
  <c r="N19" i="64"/>
  <c r="O19" i="64" s="1"/>
  <c r="Q19" i="64"/>
  <c r="AA19" i="64"/>
  <c r="AE19" i="64"/>
  <c r="I20" i="64"/>
  <c r="AC20" i="64" s="1"/>
  <c r="N20" i="64"/>
  <c r="O20" i="64" s="1"/>
  <c r="Q20" i="64"/>
  <c r="AA20" i="64"/>
  <c r="AE20" i="64"/>
  <c r="I21" i="64"/>
  <c r="AC21" i="64" s="1"/>
  <c r="N21" i="64"/>
  <c r="O21" i="64" s="1"/>
  <c r="Q21" i="64"/>
  <c r="AA21" i="64"/>
  <c r="AE21" i="64"/>
  <c r="I22" i="64"/>
  <c r="AC22" i="64" s="1"/>
  <c r="N22" i="64"/>
  <c r="O22" i="64" s="1"/>
  <c r="Q22" i="64"/>
  <c r="AA22" i="64"/>
  <c r="AE22" i="64"/>
  <c r="I23" i="64"/>
  <c r="AC23" i="64" s="1"/>
  <c r="N23" i="64"/>
  <c r="O23" i="64" s="1"/>
  <c r="Q23" i="64"/>
  <c r="AA23" i="64"/>
  <c r="AE23" i="64"/>
  <c r="I24" i="64"/>
  <c r="AC24" i="64" s="1"/>
  <c r="N24" i="64"/>
  <c r="O24" i="64" s="1"/>
  <c r="Q24" i="64"/>
  <c r="AA24" i="64"/>
  <c r="AE24" i="64"/>
  <c r="I25" i="64"/>
  <c r="AC25" i="64" s="1"/>
  <c r="N25" i="64"/>
  <c r="O25" i="64" s="1"/>
  <c r="Q25" i="64"/>
  <c r="AA25" i="64"/>
  <c r="AE25" i="64"/>
  <c r="I26" i="64"/>
  <c r="AC26" i="64" s="1"/>
  <c r="N26" i="64"/>
  <c r="O26" i="64" s="1"/>
  <c r="Q26" i="64"/>
  <c r="AA26" i="64"/>
  <c r="AE26" i="64"/>
  <c r="N27" i="64"/>
  <c r="O27" i="64" s="1"/>
  <c r="Q27" i="64"/>
  <c r="AA27" i="64"/>
  <c r="AE27" i="64"/>
  <c r="I46" i="64"/>
  <c r="AC46" i="64" s="1"/>
  <c r="N46" i="64"/>
  <c r="O46" i="64" s="1"/>
  <c r="Q46" i="64"/>
  <c r="AA46" i="64"/>
  <c r="AE46" i="64"/>
  <c r="I47" i="64"/>
  <c r="AC47" i="64" s="1"/>
  <c r="N47" i="64"/>
  <c r="O47" i="64" s="1"/>
  <c r="Q47" i="64"/>
  <c r="AA47" i="64"/>
  <c r="AE47" i="64"/>
  <c r="I48" i="64"/>
  <c r="AC48" i="64" s="1"/>
  <c r="N48" i="64"/>
  <c r="O48" i="64" s="1"/>
  <c r="Q48" i="64"/>
  <c r="AA48" i="64"/>
  <c r="AE48" i="64"/>
  <c r="I49" i="64"/>
  <c r="AC49" i="64" s="1"/>
  <c r="N49" i="64"/>
  <c r="O49" i="64" s="1"/>
  <c r="Q49" i="64"/>
  <c r="AA49" i="64"/>
  <c r="AE49" i="64"/>
  <c r="I50" i="64"/>
  <c r="AC50" i="64" s="1"/>
  <c r="N50" i="64"/>
  <c r="O50" i="64" s="1"/>
  <c r="Q50" i="64"/>
  <c r="AA50" i="64"/>
  <c r="AE50" i="64"/>
  <c r="I51" i="64"/>
  <c r="AC51" i="64" s="1"/>
  <c r="N51" i="64"/>
  <c r="O51" i="64" s="1"/>
  <c r="Q51" i="64"/>
  <c r="AA51" i="64"/>
  <c r="AE51" i="64"/>
  <c r="I52" i="64"/>
  <c r="AC52" i="64" s="1"/>
  <c r="N52" i="64"/>
  <c r="O52" i="64" s="1"/>
  <c r="Q52" i="64"/>
  <c r="AA52" i="64"/>
  <c r="AE52" i="64"/>
  <c r="I53" i="64"/>
  <c r="AC53" i="64" s="1"/>
  <c r="N53" i="64"/>
  <c r="O53" i="64" s="1"/>
  <c r="Q53" i="64"/>
  <c r="AA53" i="64"/>
  <c r="AE53" i="64"/>
  <c r="I54" i="64"/>
  <c r="AC54" i="64" s="1"/>
  <c r="N54" i="64"/>
  <c r="O54" i="64" s="1"/>
  <c r="Q54" i="64"/>
  <c r="AA54" i="64"/>
  <c r="AE54" i="64"/>
  <c r="I55" i="64"/>
  <c r="AC55" i="64" s="1"/>
  <c r="N55" i="64"/>
  <c r="O55" i="64" s="1"/>
  <c r="Q55" i="64"/>
  <c r="AA55" i="64"/>
  <c r="AE55" i="64"/>
  <c r="I56" i="64"/>
  <c r="AC56" i="64" s="1"/>
  <c r="N56" i="64"/>
  <c r="O56" i="64" s="1"/>
  <c r="Q56" i="64"/>
  <c r="AA56" i="64"/>
  <c r="AE56" i="64"/>
  <c r="I57" i="64"/>
  <c r="AC57" i="64" s="1"/>
  <c r="N57" i="64"/>
  <c r="O57" i="64" s="1"/>
  <c r="Q57" i="64"/>
  <c r="AA57" i="64"/>
  <c r="AE57" i="64"/>
  <c r="I58" i="64"/>
  <c r="AC58" i="64" s="1"/>
  <c r="N58" i="64"/>
  <c r="O58" i="64" s="1"/>
  <c r="Q58" i="64"/>
  <c r="AA58" i="64"/>
  <c r="AE58" i="64"/>
  <c r="I59" i="64"/>
  <c r="AC59" i="64" s="1"/>
  <c r="N59" i="64"/>
  <c r="O59" i="64" s="1"/>
  <c r="Q59" i="64"/>
  <c r="AA59" i="64"/>
  <c r="AE59" i="64"/>
  <c r="I60" i="64"/>
  <c r="AC60" i="64" s="1"/>
  <c r="N60" i="64"/>
  <c r="O60" i="64" s="1"/>
  <c r="Q60" i="64"/>
  <c r="AA60" i="64"/>
  <c r="AE60" i="64"/>
  <c r="I61" i="64"/>
  <c r="AC61" i="64" s="1"/>
  <c r="N61" i="64"/>
  <c r="O61" i="64" s="1"/>
  <c r="Q61" i="64"/>
  <c r="AA61" i="64"/>
  <c r="AE61" i="64"/>
  <c r="I62" i="64"/>
  <c r="AC62" i="64" s="1"/>
  <c r="N62" i="64"/>
  <c r="O62" i="64" s="1"/>
  <c r="Q62" i="64"/>
  <c r="AA62" i="64"/>
  <c r="AE62" i="64"/>
  <c r="I63" i="64"/>
  <c r="AC63" i="64" s="1"/>
  <c r="N63" i="64"/>
  <c r="O63" i="64" s="1"/>
  <c r="Q63" i="64"/>
  <c r="AA63" i="64"/>
  <c r="AE63" i="64"/>
  <c r="I64" i="64"/>
  <c r="AC64" i="64" s="1"/>
  <c r="N64" i="64"/>
  <c r="O64" i="64" s="1"/>
  <c r="Q64" i="64"/>
  <c r="AA64" i="64"/>
  <c r="AE64" i="64"/>
  <c r="I65" i="64"/>
  <c r="AC65" i="64" s="1"/>
  <c r="N65" i="64"/>
  <c r="O65" i="64" s="1"/>
  <c r="Q65" i="64"/>
  <c r="AA65" i="64"/>
  <c r="AE65" i="64"/>
  <c r="I66" i="64"/>
  <c r="AC66" i="64" s="1"/>
  <c r="N66" i="64"/>
  <c r="O66" i="64" s="1"/>
  <c r="Q66" i="64"/>
  <c r="AA66" i="64"/>
  <c r="AE66" i="64"/>
  <c r="I67" i="64"/>
  <c r="AC67" i="64" s="1"/>
  <c r="N67" i="64"/>
  <c r="O67" i="64" s="1"/>
  <c r="Q67" i="64"/>
  <c r="AA67" i="64"/>
  <c r="AE67" i="64"/>
  <c r="I68" i="64"/>
  <c r="AC68" i="64" s="1"/>
  <c r="N68" i="64"/>
  <c r="O68" i="64" s="1"/>
  <c r="Q68" i="64"/>
  <c r="AA68" i="64"/>
  <c r="AE68" i="64"/>
  <c r="I69" i="64"/>
  <c r="AC69" i="64" s="1"/>
  <c r="N69" i="64"/>
  <c r="O69" i="64" s="1"/>
  <c r="Q69" i="64"/>
  <c r="AA69" i="64"/>
  <c r="AE69" i="64"/>
  <c r="I70" i="64"/>
  <c r="AC70" i="64" s="1"/>
  <c r="N70" i="64"/>
  <c r="O70" i="64" s="1"/>
  <c r="Q70" i="64"/>
  <c r="AA70" i="64"/>
  <c r="AE70" i="64"/>
  <c r="I71" i="64"/>
  <c r="AC71" i="64" s="1"/>
  <c r="N71" i="64"/>
  <c r="O71" i="64" s="1"/>
  <c r="Q71" i="64"/>
  <c r="AA71" i="64"/>
  <c r="AE71" i="64"/>
  <c r="I72" i="64"/>
  <c r="AC72" i="64" s="1"/>
  <c r="N72" i="64"/>
  <c r="O72" i="64" s="1"/>
  <c r="Q72" i="64"/>
  <c r="AA72" i="64"/>
  <c r="AE72" i="64"/>
  <c r="I73" i="64"/>
  <c r="AC73" i="64" s="1"/>
  <c r="N73" i="64"/>
  <c r="O73" i="64" s="1"/>
  <c r="Q73" i="64"/>
  <c r="AA73" i="64"/>
  <c r="AE73" i="64"/>
  <c r="I74" i="64"/>
  <c r="AC74" i="64" s="1"/>
  <c r="N74" i="64"/>
  <c r="O74" i="64" s="1"/>
  <c r="Q74" i="64"/>
  <c r="AA74" i="64"/>
  <c r="AE74" i="64"/>
  <c r="I75" i="64"/>
  <c r="AC75" i="64" s="1"/>
  <c r="N75" i="64"/>
  <c r="O75" i="64" s="1"/>
  <c r="Q75" i="64"/>
  <c r="AA75" i="64"/>
  <c r="AE75" i="64"/>
  <c r="I76" i="64"/>
  <c r="AC76" i="64" s="1"/>
  <c r="N76" i="64"/>
  <c r="O76" i="64" s="1"/>
  <c r="Q76" i="64"/>
  <c r="AA76" i="64"/>
  <c r="AE76" i="64"/>
  <c r="I77" i="64"/>
  <c r="AC77" i="64" s="1"/>
  <c r="N77" i="64"/>
  <c r="O77" i="64" s="1"/>
  <c r="Q77" i="64"/>
  <c r="AA77" i="64"/>
  <c r="AE77" i="64"/>
  <c r="I78" i="64"/>
  <c r="AC78" i="64" s="1"/>
  <c r="N78" i="64"/>
  <c r="O78" i="64" s="1"/>
  <c r="Q78" i="64"/>
  <c r="AA78" i="64"/>
  <c r="AE78" i="64"/>
  <c r="I79" i="64"/>
  <c r="AC79" i="64" s="1"/>
  <c r="N79" i="64"/>
  <c r="O79" i="64" s="1"/>
  <c r="Q79" i="64"/>
  <c r="AA79" i="64"/>
  <c r="AE79" i="64"/>
  <c r="I80" i="64"/>
  <c r="AC80" i="64" s="1"/>
  <c r="N80" i="64"/>
  <c r="O80" i="64" s="1"/>
  <c r="Q80" i="64"/>
  <c r="AA80" i="64"/>
  <c r="AE80" i="64"/>
  <c r="I81" i="64"/>
  <c r="AC81" i="64" s="1"/>
  <c r="N81" i="64"/>
  <c r="O81" i="64" s="1"/>
  <c r="Q81" i="64"/>
  <c r="AA81" i="64"/>
  <c r="AE81" i="64"/>
  <c r="I106" i="64"/>
  <c r="AC106" i="64" s="1"/>
  <c r="N106" i="64"/>
  <c r="Q106" i="64"/>
  <c r="AA106" i="64"/>
  <c r="AE106" i="64"/>
  <c r="I107" i="64"/>
  <c r="AC107" i="64" s="1"/>
  <c r="N107" i="64"/>
  <c r="O107" i="64" s="1"/>
  <c r="Q107" i="64"/>
  <c r="AA107" i="64"/>
  <c r="AE107" i="64"/>
  <c r="I111" i="64"/>
  <c r="N111" i="64"/>
  <c r="O111" i="64" s="1"/>
  <c r="Q111" i="64"/>
  <c r="I116" i="64"/>
  <c r="AC116" i="64" s="1"/>
  <c r="Q116" i="64"/>
  <c r="AA116" i="64"/>
  <c r="AE116" i="64"/>
  <c r="I151" i="64"/>
  <c r="AC151" i="64" s="1"/>
  <c r="N151" i="64"/>
  <c r="O151" i="64" s="1"/>
  <c r="Q151" i="64"/>
  <c r="AA151" i="64"/>
  <c r="AE151" i="64"/>
  <c r="I152" i="64"/>
  <c r="AC152" i="64" s="1"/>
  <c r="Q152" i="64"/>
  <c r="AA152" i="64"/>
  <c r="AE152" i="64"/>
  <c r="I153" i="64"/>
  <c r="AC153" i="64" s="1"/>
  <c r="N153" i="64"/>
  <c r="O153" i="64" s="1"/>
  <c r="Q153" i="64"/>
  <c r="AA153" i="64"/>
  <c r="AE153" i="64"/>
  <c r="I154" i="64"/>
  <c r="AC154" i="64" s="1"/>
  <c r="N154" i="64"/>
  <c r="O154" i="64" s="1"/>
  <c r="Q154" i="64"/>
  <c r="AA154" i="64"/>
  <c r="AE154" i="64"/>
  <c r="I155" i="64"/>
  <c r="AC155" i="64" s="1"/>
  <c r="Q155" i="64"/>
  <c r="AA155" i="64"/>
  <c r="AE155" i="64"/>
  <c r="I156" i="64"/>
  <c r="AC156" i="64" s="1"/>
  <c r="N156" i="64"/>
  <c r="O156" i="64" s="1"/>
  <c r="Q156" i="64"/>
  <c r="AA156" i="64"/>
  <c r="AE156" i="64"/>
  <c r="I157" i="64"/>
  <c r="AC157" i="64" s="1"/>
  <c r="N157" i="64"/>
  <c r="O157" i="64" s="1"/>
  <c r="Q157" i="64"/>
  <c r="AA157" i="64"/>
  <c r="AE157" i="64"/>
  <c r="I158" i="64"/>
  <c r="AC158" i="64" s="1"/>
  <c r="N158" i="64"/>
  <c r="O158" i="64" s="1"/>
  <c r="Q158" i="64"/>
  <c r="AA158" i="64"/>
  <c r="AE158" i="64"/>
  <c r="I168" i="64"/>
  <c r="AC168" i="64" s="1"/>
  <c r="N168" i="64"/>
  <c r="Q168" i="64"/>
  <c r="AA168" i="64"/>
  <c r="AE168" i="64"/>
  <c r="I169" i="64"/>
  <c r="AC169" i="64" s="1"/>
  <c r="N169" i="64"/>
  <c r="O169" i="64" s="1"/>
  <c r="Q169" i="64"/>
  <c r="AA169" i="64"/>
  <c r="AE169" i="64"/>
  <c r="I170" i="64"/>
  <c r="AC170" i="64" s="1"/>
  <c r="N170" i="64"/>
  <c r="O170" i="64" s="1"/>
  <c r="Q170" i="64"/>
  <c r="AA170" i="64"/>
  <c r="AE170" i="64"/>
  <c r="I171" i="64"/>
  <c r="AC171" i="64" s="1"/>
  <c r="N171" i="64"/>
  <c r="O171" i="64" s="1"/>
  <c r="Q171" i="64"/>
  <c r="AA171" i="64"/>
  <c r="AE171" i="64"/>
  <c r="I172" i="64"/>
  <c r="AC172" i="64" s="1"/>
  <c r="N172" i="64"/>
  <c r="O172" i="64" s="1"/>
  <c r="Q172" i="64"/>
  <c r="AA172" i="64"/>
  <c r="AE172" i="64"/>
  <c r="I173" i="64"/>
  <c r="AC173" i="64" s="1"/>
  <c r="N173" i="64"/>
  <c r="O173" i="64" s="1"/>
  <c r="Q173" i="64"/>
  <c r="AA173" i="64"/>
  <c r="AE173" i="64"/>
  <c r="I179" i="64"/>
  <c r="AC179" i="64" s="1"/>
  <c r="N179" i="64"/>
  <c r="O179" i="64" s="1"/>
  <c r="Q179" i="64"/>
  <c r="AA179" i="64"/>
  <c r="AE179" i="64"/>
  <c r="I180" i="64"/>
  <c r="AC180" i="64" s="1"/>
  <c r="N180" i="64"/>
  <c r="O180" i="64" s="1"/>
  <c r="Q180" i="64"/>
  <c r="AA180" i="64"/>
  <c r="AE180" i="64"/>
  <c r="I181" i="64"/>
  <c r="AC181" i="64" s="1"/>
  <c r="N181" i="64"/>
  <c r="O181" i="64" s="1"/>
  <c r="Q181" i="64"/>
  <c r="AA181" i="64"/>
  <c r="AE181" i="64"/>
  <c r="I182" i="64"/>
  <c r="AC182" i="64" s="1"/>
  <c r="N182" i="64"/>
  <c r="O182" i="64" s="1"/>
  <c r="Q182" i="64"/>
  <c r="AA182" i="64"/>
  <c r="AE182" i="64"/>
  <c r="I183" i="64"/>
  <c r="AC183" i="64" s="1"/>
  <c r="N183" i="64"/>
  <c r="O183" i="64" s="1"/>
  <c r="Q183" i="64"/>
  <c r="AA183" i="64"/>
  <c r="AE183" i="64"/>
  <c r="I184" i="64"/>
  <c r="AC184" i="64" s="1"/>
  <c r="N184" i="64"/>
  <c r="O184" i="64" s="1"/>
  <c r="Q184" i="64"/>
  <c r="AA184" i="64"/>
  <c r="AE184" i="64"/>
  <c r="I185" i="64"/>
  <c r="AC185" i="64" s="1"/>
  <c r="N185" i="64"/>
  <c r="O185" i="64" s="1"/>
  <c r="Q185" i="64"/>
  <c r="AA185" i="64"/>
  <c r="AE185" i="64"/>
  <c r="I186" i="64"/>
  <c r="AC186" i="64" s="1"/>
  <c r="N186" i="64"/>
  <c r="O186" i="64" s="1"/>
  <c r="Q186" i="64"/>
  <c r="AA186" i="64"/>
  <c r="AE186" i="64"/>
  <c r="I187" i="64"/>
  <c r="AC187" i="64" s="1"/>
  <c r="N187" i="64"/>
  <c r="O187" i="64" s="1"/>
  <c r="Q187" i="64"/>
  <c r="AA187" i="64"/>
  <c r="AE187" i="64"/>
  <c r="B21" i="63"/>
  <c r="I195" i="64"/>
  <c r="AC195" i="64" s="1"/>
  <c r="N195" i="64"/>
  <c r="O195" i="64" s="1"/>
  <c r="Q195" i="64"/>
  <c r="AA195" i="64"/>
  <c r="AE195" i="64"/>
  <c r="I196" i="64"/>
  <c r="AC196" i="64" s="1"/>
  <c r="N196" i="64"/>
  <c r="O196" i="64" s="1"/>
  <c r="Q196" i="64"/>
  <c r="AA196" i="64"/>
  <c r="AE196" i="64"/>
  <c r="I197" i="64"/>
  <c r="AC197" i="64" s="1"/>
  <c r="N197" i="64"/>
  <c r="O197" i="64" s="1"/>
  <c r="Q197" i="64"/>
  <c r="AA197" i="64"/>
  <c r="AE197" i="64"/>
  <c r="I198" i="64"/>
  <c r="AC198" i="64" s="1"/>
  <c r="N198" i="64"/>
  <c r="O198" i="64" s="1"/>
  <c r="Q198" i="64"/>
  <c r="AA198" i="64"/>
  <c r="AE198" i="64"/>
  <c r="I199" i="64"/>
  <c r="AC199" i="64" s="1"/>
  <c r="N199" i="64"/>
  <c r="O199" i="64" s="1"/>
  <c r="Q199" i="64"/>
  <c r="AA199" i="64"/>
  <c r="AE199" i="64"/>
  <c r="I200" i="64"/>
  <c r="AC200" i="64" s="1"/>
  <c r="N200" i="64"/>
  <c r="O200" i="64" s="1"/>
  <c r="Q200" i="64"/>
  <c r="AA200" i="64"/>
  <c r="AE200" i="64"/>
  <c r="I201" i="64"/>
  <c r="AC201" i="64" s="1"/>
  <c r="N201" i="64"/>
  <c r="O201" i="64" s="1"/>
  <c r="Q201" i="64"/>
  <c r="AA201" i="64"/>
  <c r="AE201" i="64"/>
  <c r="I202" i="64"/>
  <c r="AC202" i="64" s="1"/>
  <c r="N202" i="64"/>
  <c r="O202" i="64" s="1"/>
  <c r="Q202" i="64"/>
  <c r="AA202" i="64"/>
  <c r="AE202" i="64"/>
  <c r="I203" i="64"/>
  <c r="AC203" i="64" s="1"/>
  <c r="N203" i="64"/>
  <c r="O203" i="64" s="1"/>
  <c r="Q203" i="64"/>
  <c r="AA203" i="64"/>
  <c r="AE203" i="64"/>
  <c r="I204" i="64"/>
  <c r="AC204" i="64" s="1"/>
  <c r="N204" i="64"/>
  <c r="O204" i="64" s="1"/>
  <c r="Q204" i="64"/>
  <c r="AA204" i="64"/>
  <c r="AE204" i="64"/>
  <c r="I205" i="64"/>
  <c r="AC205" i="64" s="1"/>
  <c r="N205" i="64"/>
  <c r="O205" i="64" s="1"/>
  <c r="Q205" i="64"/>
  <c r="AA205" i="64"/>
  <c r="AE205" i="64"/>
  <c r="I206" i="64"/>
  <c r="AC206" i="64" s="1"/>
  <c r="N206" i="64"/>
  <c r="O206" i="64" s="1"/>
  <c r="Q206" i="64"/>
  <c r="AA206" i="64"/>
  <c r="AE206" i="64"/>
  <c r="I207" i="64"/>
  <c r="AC207" i="64" s="1"/>
  <c r="N207" i="64"/>
  <c r="O207" i="64" s="1"/>
  <c r="Q207" i="64"/>
  <c r="AA207" i="64"/>
  <c r="AE207" i="64"/>
  <c r="I208" i="64"/>
  <c r="AC208" i="64" s="1"/>
  <c r="N208" i="64"/>
  <c r="O208" i="64" s="1"/>
  <c r="Q208" i="64"/>
  <c r="AA208" i="64"/>
  <c r="AE208" i="64"/>
  <c r="I209" i="64"/>
  <c r="AC209" i="64" s="1"/>
  <c r="N209" i="64"/>
  <c r="O209" i="64" s="1"/>
  <c r="Q209" i="64"/>
  <c r="AA209" i="64"/>
  <c r="AE209" i="64"/>
  <c r="I210" i="64"/>
  <c r="AC210" i="64" s="1"/>
  <c r="N210" i="64"/>
  <c r="O210" i="64" s="1"/>
  <c r="Q210" i="64"/>
  <c r="AA210" i="64"/>
  <c r="AE210" i="64"/>
  <c r="I211" i="64"/>
  <c r="AC211" i="64" s="1"/>
  <c r="N211" i="64"/>
  <c r="O211" i="64" s="1"/>
  <c r="Q211" i="64"/>
  <c r="AA211" i="64"/>
  <c r="AE211" i="64"/>
  <c r="I212" i="64"/>
  <c r="AC212" i="64" s="1"/>
  <c r="N212" i="64"/>
  <c r="O212" i="64" s="1"/>
  <c r="Q212" i="64"/>
  <c r="AA212" i="64"/>
  <c r="AE212" i="64"/>
  <c r="I213" i="64"/>
  <c r="AC213" i="64" s="1"/>
  <c r="N213" i="64"/>
  <c r="O213" i="64" s="1"/>
  <c r="Q213" i="64"/>
  <c r="AA213" i="64"/>
  <c r="AE213" i="64"/>
  <c r="I214" i="64"/>
  <c r="AC214" i="64" s="1"/>
  <c r="N214" i="64"/>
  <c r="O214" i="64" s="1"/>
  <c r="Q214" i="64"/>
  <c r="AA214" i="64"/>
  <c r="AE214" i="64"/>
  <c r="I215" i="64"/>
  <c r="AC215" i="64" s="1"/>
  <c r="N215" i="64"/>
  <c r="O215" i="64" s="1"/>
  <c r="Q215" i="64"/>
  <c r="AA215" i="64"/>
  <c r="AE215" i="64"/>
  <c r="I216" i="64"/>
  <c r="AC216" i="64" s="1"/>
  <c r="N216" i="64"/>
  <c r="O216" i="64" s="1"/>
  <c r="Q216" i="64"/>
  <c r="AA216" i="64"/>
  <c r="AE216" i="64"/>
  <c r="I217" i="64"/>
  <c r="AC217" i="64" s="1"/>
  <c r="N217" i="64"/>
  <c r="O217" i="64" s="1"/>
  <c r="Q217" i="64"/>
  <c r="AA217" i="64"/>
  <c r="AE217" i="64"/>
  <c r="I218" i="64"/>
  <c r="AC218" i="64" s="1"/>
  <c r="N218" i="64"/>
  <c r="O218" i="64" s="1"/>
  <c r="Q218" i="64"/>
  <c r="AA218" i="64"/>
  <c r="AE218" i="64"/>
  <c r="I219" i="64"/>
  <c r="AC219" i="64" s="1"/>
  <c r="N219" i="64"/>
  <c r="O219" i="64" s="1"/>
  <c r="Q219" i="64"/>
  <c r="AA219" i="64"/>
  <c r="AE219" i="64"/>
  <c r="I220" i="64"/>
  <c r="AC220" i="64" s="1"/>
  <c r="N220" i="64"/>
  <c r="O220" i="64" s="1"/>
  <c r="Q220" i="64"/>
  <c r="AA220" i="64"/>
  <c r="AE220" i="64"/>
  <c r="I221" i="64"/>
  <c r="AC221" i="64" s="1"/>
  <c r="N221" i="64"/>
  <c r="O221" i="64" s="1"/>
  <c r="Q221" i="64"/>
  <c r="AA221" i="64"/>
  <c r="AE221" i="64"/>
  <c r="I222" i="64"/>
  <c r="AC222" i="64" s="1"/>
  <c r="N222" i="64"/>
  <c r="O222" i="64" s="1"/>
  <c r="Q222" i="64"/>
  <c r="AA222" i="64"/>
  <c r="AE222" i="64"/>
  <c r="I223" i="64"/>
  <c r="AC223" i="64" s="1"/>
  <c r="N223" i="64"/>
  <c r="O223" i="64" s="1"/>
  <c r="Q223" i="64"/>
  <c r="AA223" i="64"/>
  <c r="AE223" i="64"/>
  <c r="I224" i="64"/>
  <c r="AC224" i="64" s="1"/>
  <c r="N224" i="64"/>
  <c r="O224" i="64" s="1"/>
  <c r="Q224" i="64"/>
  <c r="AA224" i="64"/>
  <c r="AE224" i="64"/>
  <c r="I225" i="64"/>
  <c r="AC225" i="64" s="1"/>
  <c r="N225" i="64"/>
  <c r="O225" i="64" s="1"/>
  <c r="Q225" i="64"/>
  <c r="AA225" i="64"/>
  <c r="AE225" i="64"/>
  <c r="I226" i="64"/>
  <c r="AC226" i="64" s="1"/>
  <c r="N226" i="64"/>
  <c r="O226" i="64" s="1"/>
  <c r="Q226" i="64"/>
  <c r="AA226" i="64"/>
  <c r="AE226" i="64"/>
  <c r="I227" i="64"/>
  <c r="AC227" i="64" s="1"/>
  <c r="N227" i="64"/>
  <c r="O227" i="64" s="1"/>
  <c r="Q227" i="64"/>
  <c r="AA227" i="64"/>
  <c r="AE227" i="64"/>
  <c r="I228" i="64"/>
  <c r="AC228" i="64" s="1"/>
  <c r="N228" i="64"/>
  <c r="O228" i="64" s="1"/>
  <c r="Q228" i="64"/>
  <c r="AA228" i="64"/>
  <c r="AE228" i="64"/>
  <c r="I229" i="64"/>
  <c r="AC229" i="64" s="1"/>
  <c r="N229" i="64"/>
  <c r="O229" i="64" s="1"/>
  <c r="Q229" i="64"/>
  <c r="AA229" i="64"/>
  <c r="AE229" i="64"/>
  <c r="I230" i="64"/>
  <c r="AC230" i="64" s="1"/>
  <c r="N230" i="64"/>
  <c r="O230" i="64" s="1"/>
  <c r="Q230" i="64"/>
  <c r="AA230" i="64"/>
  <c r="AE230" i="64"/>
  <c r="I231" i="64"/>
  <c r="AC231" i="64" s="1"/>
  <c r="N231" i="64"/>
  <c r="O231" i="64" s="1"/>
  <c r="Q231" i="64"/>
  <c r="AA231" i="64"/>
  <c r="AE231" i="64"/>
  <c r="I232" i="64"/>
  <c r="AC232" i="64" s="1"/>
  <c r="N232" i="64"/>
  <c r="O232" i="64" s="1"/>
  <c r="Q232" i="64"/>
  <c r="AA232" i="64"/>
  <c r="AE232" i="64"/>
  <c r="I233" i="64"/>
  <c r="AC233" i="64" s="1"/>
  <c r="N233" i="64"/>
  <c r="O233" i="64" s="1"/>
  <c r="Q233" i="64"/>
  <c r="AA233" i="64"/>
  <c r="AE233" i="64"/>
  <c r="I234" i="64"/>
  <c r="AC234" i="64" s="1"/>
  <c r="N234" i="64"/>
  <c r="O234" i="64" s="1"/>
  <c r="Q234" i="64"/>
  <c r="AA234" i="64"/>
  <c r="AE234" i="64"/>
  <c r="I235" i="64"/>
  <c r="AC235" i="64" s="1"/>
  <c r="N235" i="64"/>
  <c r="O235" i="64" s="1"/>
  <c r="Q235" i="64"/>
  <c r="AA235" i="64"/>
  <c r="AE235" i="64"/>
  <c r="I236" i="64"/>
  <c r="AC236" i="64" s="1"/>
  <c r="N236" i="64"/>
  <c r="O236" i="64" s="1"/>
  <c r="Q236" i="64"/>
  <c r="AA236" i="64"/>
  <c r="AE236" i="64"/>
  <c r="I237" i="64"/>
  <c r="AC237" i="64" s="1"/>
  <c r="N237" i="64"/>
  <c r="O237" i="64" s="1"/>
  <c r="Q237" i="64"/>
  <c r="AA237" i="64"/>
  <c r="AE237" i="64"/>
  <c r="I238" i="64"/>
  <c r="AC238" i="64" s="1"/>
  <c r="N238" i="64"/>
  <c r="O238" i="64" s="1"/>
  <c r="Q238" i="64"/>
  <c r="AA238" i="64"/>
  <c r="AE238" i="64"/>
  <c r="I239" i="64"/>
  <c r="AC239" i="64" s="1"/>
  <c r="N239" i="64"/>
  <c r="O239" i="64" s="1"/>
  <c r="Q239" i="64"/>
  <c r="AA239" i="64"/>
  <c r="AE239" i="64"/>
  <c r="I240" i="64"/>
  <c r="AC240" i="64" s="1"/>
  <c r="N240" i="64"/>
  <c r="O240" i="64" s="1"/>
  <c r="Q240" i="64"/>
  <c r="AA240" i="64"/>
  <c r="AE240" i="64"/>
  <c r="I241" i="64"/>
  <c r="AC241" i="64" s="1"/>
  <c r="N241" i="64"/>
  <c r="O241" i="64" s="1"/>
  <c r="Q241" i="64"/>
  <c r="AA241" i="64"/>
  <c r="AE241" i="64"/>
  <c r="I242" i="64"/>
  <c r="AC242" i="64" s="1"/>
  <c r="N242" i="64"/>
  <c r="O242" i="64" s="1"/>
  <c r="Q242" i="64"/>
  <c r="AA242" i="64"/>
  <c r="AE242" i="64"/>
  <c r="I243" i="64"/>
  <c r="AC243" i="64" s="1"/>
  <c r="N243" i="64"/>
  <c r="O243" i="64" s="1"/>
  <c r="Q243" i="64"/>
  <c r="AA243" i="64"/>
  <c r="AE243" i="64"/>
  <c r="I244" i="64"/>
  <c r="AC244" i="64" s="1"/>
  <c r="N244" i="64"/>
  <c r="O244" i="64" s="1"/>
  <c r="Q244" i="64"/>
  <c r="AA244" i="64"/>
  <c r="AE244" i="64"/>
  <c r="I245" i="64"/>
  <c r="AC245" i="64" s="1"/>
  <c r="N245" i="64"/>
  <c r="O245" i="64" s="1"/>
  <c r="Q245" i="64"/>
  <c r="AA245" i="64"/>
  <c r="AE245" i="64"/>
  <c r="I246" i="64"/>
  <c r="AC246" i="64" s="1"/>
  <c r="N246" i="64"/>
  <c r="O246" i="64" s="1"/>
  <c r="Q246" i="64"/>
  <c r="AA246" i="64"/>
  <c r="AE246" i="64"/>
  <c r="I247" i="64"/>
  <c r="AC247" i="64" s="1"/>
  <c r="N247" i="64"/>
  <c r="O247" i="64" s="1"/>
  <c r="Q247" i="64"/>
  <c r="AA247" i="64"/>
  <c r="AE247" i="64"/>
  <c r="I248" i="64"/>
  <c r="AC248" i="64" s="1"/>
  <c r="N248" i="64"/>
  <c r="O248" i="64" s="1"/>
  <c r="Q248" i="64"/>
  <c r="AA248" i="64"/>
  <c r="AE248" i="64"/>
  <c r="I249" i="64"/>
  <c r="AC249" i="64" s="1"/>
  <c r="N249" i="64"/>
  <c r="O249" i="64" s="1"/>
  <c r="Q249" i="64"/>
  <c r="AA249" i="64"/>
  <c r="AE249" i="64"/>
  <c r="I250" i="64"/>
  <c r="AC250" i="64" s="1"/>
  <c r="N250" i="64"/>
  <c r="O250" i="64" s="1"/>
  <c r="Q250" i="64"/>
  <c r="AA250" i="64"/>
  <c r="AE250" i="64"/>
  <c r="I251" i="64"/>
  <c r="AC251" i="64" s="1"/>
  <c r="N251" i="64"/>
  <c r="O251" i="64" s="1"/>
  <c r="Q251" i="64"/>
  <c r="AA251" i="64"/>
  <c r="AE251" i="64"/>
  <c r="I252" i="64"/>
  <c r="AC252" i="64" s="1"/>
  <c r="N252" i="64"/>
  <c r="O252" i="64" s="1"/>
  <c r="Q252" i="64"/>
  <c r="AA252" i="64"/>
  <c r="AE252" i="64"/>
  <c r="I253" i="64"/>
  <c r="AC253" i="64" s="1"/>
  <c r="N253" i="64"/>
  <c r="O253" i="64" s="1"/>
  <c r="Q253" i="64"/>
  <c r="AA253" i="64"/>
  <c r="AE253" i="64"/>
  <c r="I254" i="64"/>
  <c r="AC254" i="64" s="1"/>
  <c r="N254" i="64"/>
  <c r="O254" i="64" s="1"/>
  <c r="Q254" i="64"/>
  <c r="AA254" i="64"/>
  <c r="AE254" i="64"/>
  <c r="Q338" i="64"/>
  <c r="AA338" i="64"/>
  <c r="AE338" i="64"/>
  <c r="I339" i="64"/>
  <c r="AC339" i="64" s="1"/>
  <c r="N339" i="64"/>
  <c r="O339" i="64" s="1"/>
  <c r="Q339" i="64"/>
  <c r="AA339" i="64"/>
  <c r="AE339" i="64"/>
  <c r="I340" i="64"/>
  <c r="AC340" i="64" s="1"/>
  <c r="N340" i="64"/>
  <c r="O340" i="64" s="1"/>
  <c r="Q340" i="64"/>
  <c r="AA340" i="64"/>
  <c r="AE340" i="64"/>
  <c r="I341" i="64"/>
  <c r="AC341" i="64" s="1"/>
  <c r="N341" i="64"/>
  <c r="O341" i="64" s="1"/>
  <c r="Q341" i="64"/>
  <c r="AA341" i="64"/>
  <c r="AE341" i="64"/>
  <c r="I342" i="64"/>
  <c r="AC342" i="64" s="1"/>
  <c r="N342" i="64"/>
  <c r="O342" i="64" s="1"/>
  <c r="Q342" i="64"/>
  <c r="AA342" i="64"/>
  <c r="AE342" i="64"/>
  <c r="I343" i="64"/>
  <c r="AC343" i="64" s="1"/>
  <c r="N343" i="64"/>
  <c r="O343" i="64" s="1"/>
  <c r="Q343" i="64"/>
  <c r="AA343" i="64"/>
  <c r="AE343" i="64"/>
  <c r="I344" i="64"/>
  <c r="AC344" i="64" s="1"/>
  <c r="N344" i="64"/>
  <c r="O344" i="64" s="1"/>
  <c r="Q344" i="64"/>
  <c r="AA344" i="64"/>
  <c r="AE344" i="64"/>
  <c r="I345" i="64"/>
  <c r="AC345" i="64" s="1"/>
  <c r="N345" i="64"/>
  <c r="O345" i="64" s="1"/>
  <c r="Q345" i="64"/>
  <c r="AA345" i="64"/>
  <c r="AE345" i="64"/>
  <c r="I346" i="64"/>
  <c r="AC346" i="64" s="1"/>
  <c r="N346" i="64"/>
  <c r="O346" i="64" s="1"/>
  <c r="Q346" i="64"/>
  <c r="AA346" i="64"/>
  <c r="AE346" i="64"/>
  <c r="I347" i="64"/>
  <c r="AC347" i="64" s="1"/>
  <c r="N347" i="64"/>
  <c r="O347" i="64" s="1"/>
  <c r="Q347" i="64"/>
  <c r="AA347" i="64"/>
  <c r="AE347" i="64"/>
  <c r="I348" i="64"/>
  <c r="AC348" i="64" s="1"/>
  <c r="N348" i="64"/>
  <c r="O348" i="64" s="1"/>
  <c r="Q348" i="64"/>
  <c r="AA348" i="64"/>
  <c r="AE348" i="64"/>
  <c r="I349" i="64"/>
  <c r="AC349" i="64" s="1"/>
  <c r="N349" i="64"/>
  <c r="O349" i="64" s="1"/>
  <c r="Q349" i="64"/>
  <c r="AA349" i="64"/>
  <c r="AE349" i="64"/>
  <c r="I350" i="64"/>
  <c r="AC350" i="64" s="1"/>
  <c r="N350" i="64"/>
  <c r="O350" i="64" s="1"/>
  <c r="Q350" i="64"/>
  <c r="AA350" i="64"/>
  <c r="AE350" i="64"/>
  <c r="I351" i="64"/>
  <c r="AC351" i="64" s="1"/>
  <c r="N351" i="64"/>
  <c r="O351" i="64" s="1"/>
  <c r="Q351" i="64"/>
  <c r="AA351" i="64"/>
  <c r="AE351" i="64"/>
  <c r="I352" i="64"/>
  <c r="AC352" i="64" s="1"/>
  <c r="N352" i="64"/>
  <c r="O352" i="64" s="1"/>
  <c r="Q352" i="64"/>
  <c r="AA352" i="64"/>
  <c r="AE352" i="64"/>
  <c r="I353" i="64"/>
  <c r="AC353" i="64" s="1"/>
  <c r="N353" i="64"/>
  <c r="O353" i="64" s="1"/>
  <c r="Q353" i="64"/>
  <c r="AA353" i="64"/>
  <c r="AE353" i="64"/>
  <c r="I354" i="64"/>
  <c r="AC354" i="64" s="1"/>
  <c r="N354" i="64"/>
  <c r="O354" i="64" s="1"/>
  <c r="Q354" i="64"/>
  <c r="AA354" i="64"/>
  <c r="AE354" i="64"/>
  <c r="I355" i="64"/>
  <c r="AC355" i="64" s="1"/>
  <c r="N355" i="64"/>
  <c r="Q355" i="64"/>
  <c r="AA355" i="64"/>
  <c r="AE355" i="64"/>
  <c r="I356" i="64"/>
  <c r="AC356" i="64" s="1"/>
  <c r="N356" i="64"/>
  <c r="O356" i="64" s="1"/>
  <c r="Q356" i="64"/>
  <c r="AA356" i="64"/>
  <c r="AE356" i="64"/>
  <c r="I357" i="64"/>
  <c r="AC357" i="64" s="1"/>
  <c r="N357" i="64"/>
  <c r="O357" i="64" s="1"/>
  <c r="Q357" i="64"/>
  <c r="AA357" i="64"/>
  <c r="AE357" i="64"/>
  <c r="I358" i="64"/>
  <c r="AC358" i="64" s="1"/>
  <c r="N358" i="64"/>
  <c r="O358" i="64" s="1"/>
  <c r="Q358" i="64"/>
  <c r="AA358" i="64"/>
  <c r="AE358" i="64"/>
  <c r="I359" i="64"/>
  <c r="AC359" i="64" s="1"/>
  <c r="N359" i="64"/>
  <c r="O359" i="64" s="1"/>
  <c r="Q359" i="64"/>
  <c r="AA359" i="64"/>
  <c r="AE359" i="64"/>
  <c r="I360" i="64"/>
  <c r="AC360" i="64" s="1"/>
  <c r="N360" i="64"/>
  <c r="O360" i="64" s="1"/>
  <c r="Q360" i="64"/>
  <c r="AA360" i="64"/>
  <c r="AE360" i="64"/>
  <c r="I361" i="64"/>
  <c r="AC361" i="64" s="1"/>
  <c r="N361" i="64"/>
  <c r="O361" i="64" s="1"/>
  <c r="Q361" i="64"/>
  <c r="AA361" i="64"/>
  <c r="AE361" i="64"/>
  <c r="I362" i="64"/>
  <c r="AC362" i="64" s="1"/>
  <c r="N362" i="64"/>
  <c r="O362" i="64" s="1"/>
  <c r="Q362" i="64"/>
  <c r="AA362" i="64"/>
  <c r="AE362" i="64"/>
  <c r="I363" i="64"/>
  <c r="AC363" i="64" s="1"/>
  <c r="N363" i="64"/>
  <c r="O363" i="64" s="1"/>
  <c r="Q363" i="64"/>
  <c r="AA363" i="64"/>
  <c r="AE363" i="64"/>
  <c r="I364" i="64"/>
  <c r="AC364" i="64" s="1"/>
  <c r="N364" i="64"/>
  <c r="O364" i="64" s="1"/>
  <c r="Q364" i="64"/>
  <c r="AA364" i="64"/>
  <c r="AE364" i="64"/>
  <c r="I365" i="64"/>
  <c r="AC365" i="64" s="1"/>
  <c r="N365" i="64"/>
  <c r="O365" i="64" s="1"/>
  <c r="Q365" i="64"/>
  <c r="AA365" i="64"/>
  <c r="AE365" i="64"/>
  <c r="M368" i="64"/>
  <c r="M369" i="64" s="1"/>
  <c r="D46" i="7"/>
  <c r="E46" i="7"/>
  <c r="F46" i="7"/>
  <c r="H46" i="7"/>
  <c r="I46" i="7"/>
  <c r="J46" i="7"/>
  <c r="K46" i="7"/>
  <c r="L46" i="7"/>
  <c r="M46" i="7"/>
  <c r="N46" i="7"/>
  <c r="C46" i="7"/>
  <c r="O67" i="7"/>
  <c r="O28" i="7"/>
  <c r="C29" i="71" s="1"/>
  <c r="AA45" i="11" s="1"/>
  <c r="C16" i="71"/>
  <c r="G16" i="71" s="1"/>
  <c r="J16" i="71" s="1"/>
  <c r="D36" i="7"/>
  <c r="E36" i="7"/>
  <c r="F36" i="7"/>
  <c r="G36" i="7"/>
  <c r="I36" i="7"/>
  <c r="J36" i="7"/>
  <c r="K36" i="7"/>
  <c r="L36" i="7"/>
  <c r="M36" i="7"/>
  <c r="N36" i="7"/>
  <c r="H36" i="7"/>
  <c r="D70" i="7"/>
  <c r="E70" i="7"/>
  <c r="F70" i="7"/>
  <c r="G70" i="7"/>
  <c r="H70" i="7"/>
  <c r="I70" i="7"/>
  <c r="J70" i="7"/>
  <c r="K70" i="7"/>
  <c r="L70" i="7"/>
  <c r="M70" i="7"/>
  <c r="N70" i="7"/>
  <c r="C70" i="7"/>
  <c r="D85" i="7"/>
  <c r="E85" i="7"/>
  <c r="F85" i="7"/>
  <c r="G85" i="7"/>
  <c r="H85" i="7"/>
  <c r="I85" i="7"/>
  <c r="J85" i="7"/>
  <c r="K85" i="7"/>
  <c r="L85" i="7"/>
  <c r="M85" i="7"/>
  <c r="N85" i="7"/>
  <c r="C85" i="7"/>
  <c r="D75" i="7"/>
  <c r="E75" i="7"/>
  <c r="F75" i="7"/>
  <c r="G75" i="7"/>
  <c r="H75" i="7"/>
  <c r="I75" i="7"/>
  <c r="J75" i="7"/>
  <c r="K75" i="7"/>
  <c r="L75" i="7"/>
  <c r="M75" i="7"/>
  <c r="N75" i="7"/>
  <c r="C75" i="7"/>
  <c r="D78" i="7"/>
  <c r="E78" i="7"/>
  <c r="F78" i="7"/>
  <c r="G78" i="7"/>
  <c r="H78" i="7"/>
  <c r="I78" i="7"/>
  <c r="J78" i="7"/>
  <c r="K78" i="7"/>
  <c r="L78" i="7"/>
  <c r="M78" i="7"/>
  <c r="N78" i="7"/>
  <c r="C78" i="7"/>
  <c r="D31" i="7"/>
  <c r="E31" i="7"/>
  <c r="F31" i="7"/>
  <c r="G31" i="7"/>
  <c r="H31" i="7"/>
  <c r="I31" i="7"/>
  <c r="J31" i="7"/>
  <c r="K31" i="7"/>
  <c r="L31" i="7"/>
  <c r="M31" i="7"/>
  <c r="N31" i="7"/>
  <c r="C31" i="7"/>
  <c r="D82" i="7"/>
  <c r="E82" i="7"/>
  <c r="F82" i="7"/>
  <c r="G82" i="7"/>
  <c r="H82" i="7"/>
  <c r="I82" i="7"/>
  <c r="J82" i="7"/>
  <c r="K82" i="7"/>
  <c r="L82" i="7"/>
  <c r="M82" i="7"/>
  <c r="N82" i="7"/>
  <c r="C82" i="7"/>
  <c r="D49" i="7"/>
  <c r="E49" i="7"/>
  <c r="F49" i="7"/>
  <c r="G49" i="7"/>
  <c r="H49" i="7"/>
  <c r="I49" i="7"/>
  <c r="J49" i="7"/>
  <c r="K49" i="7"/>
  <c r="L49" i="7"/>
  <c r="M49" i="7"/>
  <c r="N49" i="7"/>
  <c r="C49" i="7"/>
  <c r="D68" i="7"/>
  <c r="E68" i="7"/>
  <c r="F68" i="7"/>
  <c r="G68" i="7"/>
  <c r="H68" i="7"/>
  <c r="I68" i="7"/>
  <c r="J68" i="7"/>
  <c r="K68" i="7"/>
  <c r="L68" i="7"/>
  <c r="M68" i="7"/>
  <c r="N68" i="7"/>
  <c r="C68" i="7"/>
  <c r="D61" i="7"/>
  <c r="F61" i="7"/>
  <c r="G61" i="7"/>
  <c r="H61" i="7"/>
  <c r="I61" i="7"/>
  <c r="J61" i="7"/>
  <c r="K61" i="7"/>
  <c r="L61" i="7"/>
  <c r="M61" i="7"/>
  <c r="N61" i="7"/>
  <c r="C61" i="7"/>
  <c r="D42" i="7"/>
  <c r="E42" i="7"/>
  <c r="F42" i="7"/>
  <c r="G42" i="7"/>
  <c r="H42" i="7"/>
  <c r="I42" i="7"/>
  <c r="J42" i="7"/>
  <c r="K42" i="7"/>
  <c r="L42" i="7"/>
  <c r="M42" i="7"/>
  <c r="N42" i="7"/>
  <c r="C42" i="7"/>
  <c r="D41" i="7"/>
  <c r="E41" i="7"/>
  <c r="F41" i="7"/>
  <c r="G41" i="7"/>
  <c r="H41" i="7"/>
  <c r="I41" i="7"/>
  <c r="J41" i="7"/>
  <c r="K41" i="7"/>
  <c r="L41" i="7"/>
  <c r="M41" i="7"/>
  <c r="N41" i="7"/>
  <c r="C41" i="7"/>
  <c r="D47" i="7"/>
  <c r="E47" i="7"/>
  <c r="F47" i="7"/>
  <c r="G47" i="7"/>
  <c r="H47" i="7"/>
  <c r="I47" i="7"/>
  <c r="J47" i="7"/>
  <c r="K47" i="7"/>
  <c r="L47" i="7"/>
  <c r="M47" i="7"/>
  <c r="N47" i="7"/>
  <c r="C47" i="7"/>
  <c r="D30" i="7"/>
  <c r="E30" i="7"/>
  <c r="F30" i="7"/>
  <c r="G30" i="7"/>
  <c r="H30" i="7"/>
  <c r="I30" i="7"/>
  <c r="J30" i="7"/>
  <c r="K30" i="7"/>
  <c r="L30" i="7"/>
  <c r="M30" i="7"/>
  <c r="N30" i="7"/>
  <c r="C30" i="7"/>
  <c r="D29" i="7"/>
  <c r="E29" i="7"/>
  <c r="F29" i="7"/>
  <c r="G29" i="7"/>
  <c r="H29" i="7"/>
  <c r="I29" i="7"/>
  <c r="J29" i="7"/>
  <c r="K29" i="7"/>
  <c r="L29" i="7"/>
  <c r="M29" i="7"/>
  <c r="N29" i="7"/>
  <c r="C29" i="7"/>
  <c r="D32" i="7"/>
  <c r="E32" i="7"/>
  <c r="F32" i="7"/>
  <c r="G32" i="7"/>
  <c r="H32" i="7"/>
  <c r="I32" i="7"/>
  <c r="J32" i="7"/>
  <c r="K32" i="7"/>
  <c r="L32" i="7"/>
  <c r="M32" i="7"/>
  <c r="N32" i="7"/>
  <c r="C32" i="7"/>
  <c r="C17" i="71"/>
  <c r="C15" i="7"/>
  <c r="O6" i="40"/>
  <c r="O7" i="40"/>
  <c r="O8" i="40"/>
  <c r="O9" i="40"/>
  <c r="O10" i="40"/>
  <c r="O11" i="40"/>
  <c r="O12" i="40"/>
  <c r="O13" i="40"/>
  <c r="O14" i="40"/>
  <c r="O15" i="40"/>
  <c r="O16" i="40"/>
  <c r="O17" i="40"/>
  <c r="O18" i="40"/>
  <c r="O19" i="40"/>
  <c r="O20" i="40"/>
  <c r="O21" i="40"/>
  <c r="O40" i="40"/>
  <c r="O41" i="40"/>
  <c r="O42" i="40"/>
  <c r="O43" i="40"/>
  <c r="O44" i="40"/>
  <c r="O45" i="40"/>
  <c r="O46" i="40"/>
  <c r="O47" i="40"/>
  <c r="O48" i="40"/>
  <c r="O49" i="40"/>
  <c r="O50" i="40"/>
  <c r="O51" i="40"/>
  <c r="O52" i="40"/>
  <c r="O53" i="40"/>
  <c r="O54" i="40"/>
  <c r="O55" i="40"/>
  <c r="O56" i="40"/>
  <c r="O57" i="40"/>
  <c r="O58" i="40"/>
  <c r="O59" i="40"/>
  <c r="O60" i="40"/>
  <c r="O61" i="40"/>
  <c r="O62" i="40"/>
  <c r="O63" i="40"/>
  <c r="O64" i="40"/>
  <c r="O65" i="40"/>
  <c r="O66" i="40"/>
  <c r="O67" i="40"/>
  <c r="O68" i="40"/>
  <c r="O69" i="40"/>
  <c r="O70" i="40"/>
  <c r="O71" i="40"/>
  <c r="O72" i="40"/>
  <c r="O73" i="40"/>
  <c r="O74" i="40"/>
  <c r="O75" i="40"/>
  <c r="O76" i="40"/>
  <c r="O77" i="40"/>
  <c r="O78" i="40"/>
  <c r="O79" i="40"/>
  <c r="O80" i="40"/>
  <c r="O82" i="40"/>
  <c r="O83" i="40"/>
  <c r="O84" i="40"/>
  <c r="O85" i="40"/>
  <c r="O86" i="40"/>
  <c r="O87" i="40"/>
  <c r="O88" i="40"/>
  <c r="O89" i="40"/>
  <c r="O90" i="40"/>
  <c r="O91" i="40"/>
  <c r="O92" i="40"/>
  <c r="O93" i="40"/>
  <c r="O94" i="40"/>
  <c r="O95" i="40"/>
  <c r="O96" i="40"/>
  <c r="O97" i="40"/>
  <c r="O98" i="40"/>
  <c r="O99" i="40"/>
  <c r="O100" i="40"/>
  <c r="O101" i="40"/>
  <c r="O102" i="40"/>
  <c r="O103" i="40"/>
  <c r="O104" i="40"/>
  <c r="O105" i="40"/>
  <c r="B62" i="66" s="1"/>
  <c r="O106" i="40"/>
  <c r="O107" i="40"/>
  <c r="O108" i="40"/>
  <c r="O109" i="40"/>
  <c r="O110" i="40"/>
  <c r="O111" i="40"/>
  <c r="O112" i="40"/>
  <c r="O113" i="40"/>
  <c r="O114" i="40"/>
  <c r="O115" i="40"/>
  <c r="O116" i="40"/>
  <c r="O117" i="40"/>
  <c r="O118" i="40"/>
  <c r="O119" i="40"/>
  <c r="O120" i="40"/>
  <c r="O121" i="40"/>
  <c r="O122" i="40"/>
  <c r="O123" i="40"/>
  <c r="O124" i="40"/>
  <c r="O125" i="40"/>
  <c r="O126" i="40"/>
  <c r="O127" i="40"/>
  <c r="O128" i="40"/>
  <c r="O129" i="40"/>
  <c r="O130" i="40"/>
  <c r="O131" i="40"/>
  <c r="O132" i="40"/>
  <c r="O133" i="40"/>
  <c r="O134" i="40"/>
  <c r="O135" i="40"/>
  <c r="O136" i="40"/>
  <c r="O137" i="40"/>
  <c r="O138" i="40"/>
  <c r="O139" i="40"/>
  <c r="O140" i="40"/>
  <c r="O141" i="40"/>
  <c r="O142" i="40"/>
  <c r="O143" i="40"/>
  <c r="B56" i="66" s="1"/>
  <c r="B58" i="66" s="1"/>
  <c r="O144" i="40"/>
  <c r="O145" i="40"/>
  <c r="O146" i="40"/>
  <c r="O147" i="40"/>
  <c r="O148" i="40"/>
  <c r="O149" i="40"/>
  <c r="O152" i="40"/>
  <c r="O153" i="40"/>
  <c r="O154" i="40"/>
  <c r="O155" i="40"/>
  <c r="O156" i="40"/>
  <c r="O157" i="40"/>
  <c r="O158" i="40"/>
  <c r="O161" i="40"/>
  <c r="L39" i="40"/>
  <c r="J32" i="11"/>
  <c r="K33" i="28" s="1"/>
  <c r="N33" i="28" s="1"/>
  <c r="J52" i="11"/>
  <c r="K53" i="28" s="1"/>
  <c r="N53" i="28" s="1"/>
  <c r="J51" i="11"/>
  <c r="K52" i="28" s="1"/>
  <c r="N52" i="28" s="1"/>
  <c r="J47" i="11"/>
  <c r="J46" i="11"/>
  <c r="J38" i="11"/>
  <c r="K39" i="28" s="1"/>
  <c r="J36" i="11"/>
  <c r="J35" i="11"/>
  <c r="J27" i="11"/>
  <c r="K27" i="28" s="1"/>
  <c r="N27" i="28" s="1"/>
  <c r="J25" i="11"/>
  <c r="J24" i="11"/>
  <c r="N24" i="28" s="1"/>
  <c r="J22" i="11"/>
  <c r="K21" i="28" s="1"/>
  <c r="J17" i="11"/>
  <c r="J18" i="11" s="1"/>
  <c r="F53" i="11"/>
  <c r="G53" i="11"/>
  <c r="H53" i="11"/>
  <c r="I53" i="11"/>
  <c r="E33" i="11"/>
  <c r="F33" i="11"/>
  <c r="G33" i="11"/>
  <c r="H33" i="11"/>
  <c r="J21" i="16"/>
  <c r="O5" i="40"/>
  <c r="B39" i="40"/>
  <c r="D39" i="40"/>
  <c r="I39" i="40"/>
  <c r="J39" i="40"/>
  <c r="M39" i="40"/>
  <c r="M162" i="40" s="1"/>
  <c r="C160" i="40"/>
  <c r="D160" i="40"/>
  <c r="E160" i="40"/>
  <c r="F160" i="40"/>
  <c r="G160" i="40"/>
  <c r="H160" i="40"/>
  <c r="I160" i="40"/>
  <c r="J160" i="40"/>
  <c r="K160" i="40"/>
  <c r="L160" i="40"/>
  <c r="A1" i="26"/>
  <c r="A1" i="54" s="1"/>
  <c r="A1" i="49" s="1"/>
  <c r="A1" i="79" s="1"/>
  <c r="A1" i="80" s="1"/>
  <c r="A1" i="82" s="1"/>
  <c r="A1" i="84" s="1"/>
  <c r="A1" i="77" s="1"/>
  <c r="A1" i="86" s="1"/>
  <c r="K18" i="27"/>
  <c r="N18" i="27" s="1"/>
  <c r="A54" i="28"/>
  <c r="A48" i="28"/>
  <c r="A47" i="29" s="1"/>
  <c r="A52" i="28"/>
  <c r="A53" i="28"/>
  <c r="A47" i="28"/>
  <c r="A45" i="28"/>
  <c r="A37" i="28"/>
  <c r="A39" i="28"/>
  <c r="A36" i="28"/>
  <c r="A34" i="28"/>
  <c r="A33" i="28"/>
  <c r="A32" i="28"/>
  <c r="A30" i="28"/>
  <c r="A23" i="28"/>
  <c r="A24" i="28"/>
  <c r="A25" i="28"/>
  <c r="A27" i="28"/>
  <c r="A20" i="28"/>
  <c r="A18" i="28"/>
  <c r="A16" i="28"/>
  <c r="A15" i="28"/>
  <c r="A13" i="28"/>
  <c r="A12" i="28"/>
  <c r="A11" i="28"/>
  <c r="I10" i="27"/>
  <c r="N10" i="27" s="1"/>
  <c r="D40" i="7"/>
  <c r="E40" i="7"/>
  <c r="F40" i="7"/>
  <c r="G40" i="7"/>
  <c r="H40" i="7"/>
  <c r="I40" i="7"/>
  <c r="J40" i="7"/>
  <c r="K40" i="7"/>
  <c r="L40" i="7"/>
  <c r="M40" i="7"/>
  <c r="N40" i="7"/>
  <c r="C40" i="7"/>
  <c r="C39" i="7"/>
  <c r="D37" i="7"/>
  <c r="E37" i="7"/>
  <c r="F37" i="7"/>
  <c r="G37" i="7"/>
  <c r="H37" i="7"/>
  <c r="I37" i="7"/>
  <c r="J37" i="7"/>
  <c r="K37" i="7"/>
  <c r="L37" i="7"/>
  <c r="M37" i="7"/>
  <c r="N37" i="7"/>
  <c r="C37" i="7"/>
  <c r="G23" i="26"/>
  <c r="G22" i="26"/>
  <c r="G20" i="26"/>
  <c r="G19" i="26"/>
  <c r="G18" i="26"/>
  <c r="G17" i="26"/>
  <c r="G16" i="26"/>
  <c r="G15" i="26"/>
  <c r="D60" i="7"/>
  <c r="E60" i="7"/>
  <c r="F60" i="7"/>
  <c r="G60" i="7"/>
  <c r="H60" i="7"/>
  <c r="I60" i="7"/>
  <c r="J60" i="7"/>
  <c r="K60" i="7"/>
  <c r="L60" i="7"/>
  <c r="M60" i="7"/>
  <c r="N60" i="7"/>
  <c r="C60" i="7"/>
  <c r="G14" i="26"/>
  <c r="V53" i="11"/>
  <c r="V33" i="11"/>
  <c r="V18" i="11"/>
  <c r="V13" i="11"/>
  <c r="S53" i="11"/>
  <c r="R53" i="11"/>
  <c r="S33" i="11"/>
  <c r="R33" i="11"/>
  <c r="S18" i="11"/>
  <c r="R18" i="11"/>
  <c r="S13" i="11"/>
  <c r="R13" i="11"/>
  <c r="P53" i="11"/>
  <c r="O53" i="11"/>
  <c r="P33" i="11"/>
  <c r="O33" i="11"/>
  <c r="P18" i="11"/>
  <c r="O18" i="11"/>
  <c r="P13" i="11"/>
  <c r="O13" i="11"/>
  <c r="D83" i="7"/>
  <c r="E83" i="7"/>
  <c r="F83" i="7"/>
  <c r="G83" i="7"/>
  <c r="H83" i="7"/>
  <c r="I83" i="7"/>
  <c r="J83" i="7"/>
  <c r="K83" i="7"/>
  <c r="L83" i="7"/>
  <c r="M83" i="7"/>
  <c r="N83" i="7"/>
  <c r="C83" i="7"/>
  <c r="D86" i="7"/>
  <c r="E86" i="7"/>
  <c r="F86" i="7"/>
  <c r="G86" i="7"/>
  <c r="H86" i="7"/>
  <c r="I86" i="7"/>
  <c r="J86" i="7"/>
  <c r="K86" i="7"/>
  <c r="L86" i="7"/>
  <c r="M86" i="7"/>
  <c r="N86" i="7"/>
  <c r="D84" i="7"/>
  <c r="E84" i="7"/>
  <c r="F84" i="7"/>
  <c r="G84" i="7"/>
  <c r="H84" i="7"/>
  <c r="I84" i="7"/>
  <c r="J84" i="7"/>
  <c r="K84" i="7"/>
  <c r="L84" i="7"/>
  <c r="M84" i="7"/>
  <c r="N84" i="7"/>
  <c r="D81" i="7"/>
  <c r="E81" i="7"/>
  <c r="F81" i="7"/>
  <c r="G81" i="7"/>
  <c r="H81" i="7"/>
  <c r="I81" i="7"/>
  <c r="J81" i="7"/>
  <c r="K81" i="7"/>
  <c r="L81" i="7"/>
  <c r="M81" i="7"/>
  <c r="N81" i="7"/>
  <c r="D80" i="7"/>
  <c r="E80" i="7"/>
  <c r="F80" i="7"/>
  <c r="G80" i="7"/>
  <c r="H80" i="7"/>
  <c r="I80" i="7"/>
  <c r="J80" i="7"/>
  <c r="K80" i="7"/>
  <c r="L80" i="7"/>
  <c r="M80" i="7"/>
  <c r="N80" i="7"/>
  <c r="D79" i="7"/>
  <c r="E79" i="7"/>
  <c r="F79" i="7"/>
  <c r="G79" i="7"/>
  <c r="H79" i="7"/>
  <c r="I79" i="7"/>
  <c r="J79" i="7"/>
  <c r="K79" i="7"/>
  <c r="L79" i="7"/>
  <c r="M79" i="7"/>
  <c r="N79" i="7"/>
  <c r="D77" i="7"/>
  <c r="E77" i="7"/>
  <c r="F77" i="7"/>
  <c r="G77" i="7"/>
  <c r="H77" i="7"/>
  <c r="I77" i="7"/>
  <c r="J77" i="7"/>
  <c r="K77" i="7"/>
  <c r="L77" i="7"/>
  <c r="M77" i="7"/>
  <c r="N77" i="7"/>
  <c r="D76" i="7"/>
  <c r="E76" i="7"/>
  <c r="F76" i="7"/>
  <c r="G76" i="7"/>
  <c r="H76" i="7"/>
  <c r="I76" i="7"/>
  <c r="J76" i="7"/>
  <c r="K76" i="7"/>
  <c r="L76" i="7"/>
  <c r="M76" i="7"/>
  <c r="N76" i="7"/>
  <c r="D74" i="7"/>
  <c r="E74" i="7"/>
  <c r="F74" i="7"/>
  <c r="G74" i="7"/>
  <c r="H74" i="7"/>
  <c r="I74" i="7"/>
  <c r="J74" i="7"/>
  <c r="K74" i="7"/>
  <c r="L74" i="7"/>
  <c r="M74" i="7"/>
  <c r="N74" i="7"/>
  <c r="D73" i="7"/>
  <c r="E73" i="7"/>
  <c r="F73" i="7"/>
  <c r="G73" i="7"/>
  <c r="I73" i="7"/>
  <c r="J73" i="7"/>
  <c r="K73" i="7"/>
  <c r="L73" i="7"/>
  <c r="M73" i="7"/>
  <c r="N73" i="7"/>
  <c r="D72" i="7"/>
  <c r="E72" i="7"/>
  <c r="F72" i="7"/>
  <c r="G72" i="7"/>
  <c r="H72" i="7"/>
  <c r="I72" i="7"/>
  <c r="J72" i="7"/>
  <c r="K72" i="7"/>
  <c r="L72" i="7"/>
  <c r="M72" i="7"/>
  <c r="N72" i="7"/>
  <c r="D69" i="7"/>
  <c r="E69" i="7"/>
  <c r="F69" i="7"/>
  <c r="G69" i="7"/>
  <c r="H69" i="7"/>
  <c r="I69" i="7"/>
  <c r="J69" i="7"/>
  <c r="K69" i="7"/>
  <c r="L69" i="7"/>
  <c r="M69" i="7"/>
  <c r="N69" i="7"/>
  <c r="D66" i="7"/>
  <c r="E66" i="7"/>
  <c r="F66" i="7"/>
  <c r="G66" i="7"/>
  <c r="H66" i="7"/>
  <c r="I66" i="7"/>
  <c r="J66" i="7"/>
  <c r="K66" i="7"/>
  <c r="L66" i="7"/>
  <c r="M66" i="7"/>
  <c r="N66" i="7"/>
  <c r="D65" i="7"/>
  <c r="E65" i="7"/>
  <c r="F65" i="7"/>
  <c r="G65" i="7"/>
  <c r="H65" i="7"/>
  <c r="I65" i="7"/>
  <c r="J65" i="7"/>
  <c r="K65" i="7"/>
  <c r="L65" i="7"/>
  <c r="M65" i="7"/>
  <c r="N65" i="7"/>
  <c r="D64" i="7"/>
  <c r="E64" i="7"/>
  <c r="F64" i="7"/>
  <c r="G64" i="7"/>
  <c r="H64" i="7"/>
  <c r="I64" i="7"/>
  <c r="J64" i="7"/>
  <c r="K64" i="7"/>
  <c r="L64" i="7"/>
  <c r="M64" i="7"/>
  <c r="N64" i="7"/>
  <c r="D63" i="7"/>
  <c r="E63" i="7"/>
  <c r="F63" i="7"/>
  <c r="G63" i="7"/>
  <c r="H63" i="7"/>
  <c r="I63" i="7"/>
  <c r="J63" i="7"/>
  <c r="K63" i="7"/>
  <c r="L63" i="7"/>
  <c r="M63" i="7"/>
  <c r="N63" i="7"/>
  <c r="D62" i="7"/>
  <c r="E62" i="7"/>
  <c r="F62" i="7"/>
  <c r="G62" i="7"/>
  <c r="H62" i="7"/>
  <c r="I62" i="7"/>
  <c r="J62" i="7"/>
  <c r="K62" i="7"/>
  <c r="L62" i="7"/>
  <c r="M62" i="7"/>
  <c r="N62" i="7"/>
  <c r="D58" i="7"/>
  <c r="E58" i="7"/>
  <c r="F58" i="7"/>
  <c r="G58" i="7"/>
  <c r="H58" i="7"/>
  <c r="I58" i="7"/>
  <c r="J58" i="7"/>
  <c r="K58" i="7"/>
  <c r="L58" i="7"/>
  <c r="M58" i="7"/>
  <c r="N58" i="7"/>
  <c r="D57" i="7"/>
  <c r="E57" i="7"/>
  <c r="F57" i="7"/>
  <c r="G57" i="7"/>
  <c r="H57" i="7"/>
  <c r="I57" i="7"/>
  <c r="J57" i="7"/>
  <c r="K57" i="7"/>
  <c r="L57" i="7"/>
  <c r="M57" i="7"/>
  <c r="N57" i="7"/>
  <c r="D56" i="7"/>
  <c r="E56" i="7"/>
  <c r="F56" i="7"/>
  <c r="G56" i="7"/>
  <c r="H56" i="7"/>
  <c r="I56" i="7"/>
  <c r="J56" i="7"/>
  <c r="K56" i="7"/>
  <c r="L56" i="7"/>
  <c r="M56" i="7"/>
  <c r="N56" i="7"/>
  <c r="D55" i="7"/>
  <c r="E55" i="7"/>
  <c r="F55" i="7"/>
  <c r="G55" i="7"/>
  <c r="H55" i="7"/>
  <c r="I55" i="7"/>
  <c r="J55" i="7"/>
  <c r="K55" i="7"/>
  <c r="L55" i="7"/>
  <c r="M55" i="7"/>
  <c r="N55" i="7"/>
  <c r="D54" i="7"/>
  <c r="E54" i="7"/>
  <c r="F54" i="7"/>
  <c r="G54" i="7"/>
  <c r="H54" i="7"/>
  <c r="I54" i="7"/>
  <c r="J54" i="7"/>
  <c r="K54" i="7"/>
  <c r="L54" i="7"/>
  <c r="M54" i="7"/>
  <c r="N54" i="7"/>
  <c r="D53" i="7"/>
  <c r="E53" i="7"/>
  <c r="F53" i="7"/>
  <c r="G53" i="7"/>
  <c r="I53" i="7"/>
  <c r="J53" i="7"/>
  <c r="K53" i="7"/>
  <c r="L53" i="7"/>
  <c r="M53" i="7"/>
  <c r="N53" i="7"/>
  <c r="D52" i="7"/>
  <c r="E52" i="7"/>
  <c r="F52" i="7"/>
  <c r="G52" i="7"/>
  <c r="H52" i="7"/>
  <c r="I52" i="7"/>
  <c r="J52" i="7"/>
  <c r="K52" i="7"/>
  <c r="L52" i="7"/>
  <c r="M52" i="7"/>
  <c r="N52" i="7"/>
  <c r="D48" i="7"/>
  <c r="E48" i="7"/>
  <c r="F48" i="7"/>
  <c r="G48" i="7"/>
  <c r="H48" i="7"/>
  <c r="I48" i="7"/>
  <c r="J48" i="7"/>
  <c r="K48" i="7"/>
  <c r="L48" i="7"/>
  <c r="M48" i="7"/>
  <c r="N48" i="7"/>
  <c r="D45" i="7"/>
  <c r="E45" i="7"/>
  <c r="F45" i="7"/>
  <c r="G45" i="7"/>
  <c r="H45" i="7"/>
  <c r="I45" i="7"/>
  <c r="J45" i="7"/>
  <c r="K45" i="7"/>
  <c r="L45" i="7"/>
  <c r="M45" i="7"/>
  <c r="N45" i="7"/>
  <c r="D44" i="7"/>
  <c r="E44" i="7"/>
  <c r="F44" i="7"/>
  <c r="G44" i="7"/>
  <c r="H44" i="7"/>
  <c r="I44" i="7"/>
  <c r="J44" i="7"/>
  <c r="K44" i="7"/>
  <c r="L44" i="7"/>
  <c r="M44" i="7"/>
  <c r="N44" i="7"/>
  <c r="D39" i="7"/>
  <c r="E39" i="7"/>
  <c r="F39" i="7"/>
  <c r="G39" i="7"/>
  <c r="H39" i="7"/>
  <c r="I39" i="7"/>
  <c r="J39" i="7"/>
  <c r="K39" i="7"/>
  <c r="L39" i="7"/>
  <c r="M39" i="7"/>
  <c r="N39" i="7"/>
  <c r="D38" i="7"/>
  <c r="E38" i="7"/>
  <c r="F38" i="7"/>
  <c r="G38" i="7"/>
  <c r="H38" i="7"/>
  <c r="I38" i="7"/>
  <c r="J38" i="7"/>
  <c r="K38" i="7"/>
  <c r="L38" i="7"/>
  <c r="M38" i="7"/>
  <c r="N38" i="7"/>
  <c r="D35" i="7"/>
  <c r="E35" i="7"/>
  <c r="F35" i="7"/>
  <c r="G35" i="7"/>
  <c r="H35" i="7"/>
  <c r="I35" i="7"/>
  <c r="J35" i="7"/>
  <c r="K35" i="7"/>
  <c r="L35" i="7"/>
  <c r="M35" i="7"/>
  <c r="N35" i="7"/>
  <c r="D34" i="7"/>
  <c r="E34" i="7"/>
  <c r="F34" i="7"/>
  <c r="G34" i="7"/>
  <c r="H34" i="7"/>
  <c r="I34" i="7"/>
  <c r="J34" i="7"/>
  <c r="K34" i="7"/>
  <c r="L34" i="7"/>
  <c r="M34" i="7"/>
  <c r="N34" i="7"/>
  <c r="N33" i="7"/>
  <c r="D33" i="7"/>
  <c r="E33" i="7"/>
  <c r="F33" i="7"/>
  <c r="G33" i="7"/>
  <c r="H33" i="7"/>
  <c r="I33" i="7"/>
  <c r="J33" i="7"/>
  <c r="K33" i="7"/>
  <c r="L33" i="7"/>
  <c r="M33" i="7"/>
  <c r="D27" i="7"/>
  <c r="E27" i="7"/>
  <c r="F27" i="7"/>
  <c r="G27" i="7"/>
  <c r="H27" i="7"/>
  <c r="I27" i="7"/>
  <c r="J27" i="7"/>
  <c r="K27" i="7"/>
  <c r="L27" i="7"/>
  <c r="M27" i="7"/>
  <c r="N27" i="7"/>
  <c r="D25" i="7"/>
  <c r="E25" i="7"/>
  <c r="F25" i="7"/>
  <c r="G25" i="7"/>
  <c r="H25" i="7"/>
  <c r="I25" i="7"/>
  <c r="J25" i="7"/>
  <c r="K25" i="7"/>
  <c r="L25" i="7"/>
  <c r="M25" i="7"/>
  <c r="N25" i="7"/>
  <c r="D23" i="7"/>
  <c r="E23" i="7"/>
  <c r="F23" i="7"/>
  <c r="G23" i="7"/>
  <c r="H23" i="7"/>
  <c r="I23" i="7"/>
  <c r="J23" i="7"/>
  <c r="K23" i="7"/>
  <c r="L23" i="7"/>
  <c r="M23" i="7"/>
  <c r="N23" i="7"/>
  <c r="C73" i="7"/>
  <c r="C53" i="7"/>
  <c r="C69" i="7"/>
  <c r="C33" i="7"/>
  <c r="C81" i="7"/>
  <c r="C74" i="7"/>
  <c r="C54" i="7"/>
  <c r="C79" i="7"/>
  <c r="C66" i="7"/>
  <c r="C48" i="7"/>
  <c r="C55" i="7"/>
  <c r="C57" i="7"/>
  <c r="C86" i="7"/>
  <c r="C77" i="7"/>
  <c r="C76" i="7"/>
  <c r="C58" i="7"/>
  <c r="C72" i="7"/>
  <c r="C63" i="7"/>
  <c r="C84" i="7"/>
  <c r="C80" i="7"/>
  <c r="C36" i="7"/>
  <c r="C64" i="7"/>
  <c r="C62" i="7"/>
  <c r="C56" i="7"/>
  <c r="C44" i="7"/>
  <c r="C45" i="7"/>
  <c r="C65" i="7"/>
  <c r="C52" i="7"/>
  <c r="C38" i="7"/>
  <c r="C35" i="7"/>
  <c r="C23" i="7"/>
  <c r="C27" i="7"/>
  <c r="C25" i="7"/>
  <c r="C34" i="7"/>
  <c r="O24" i="7"/>
  <c r="O26" i="7"/>
  <c r="AA11" i="11" s="1"/>
  <c r="O43" i="7"/>
  <c r="C44" i="71" s="1"/>
  <c r="G44" i="71" s="1"/>
  <c r="J44" i="71" s="1"/>
  <c r="O51" i="7"/>
  <c r="B21" i="16"/>
  <c r="D97" i="16"/>
  <c r="F21" i="16"/>
  <c r="H21" i="16"/>
  <c r="B21" i="17"/>
  <c r="D21" i="17"/>
  <c r="R88" i="7"/>
  <c r="AD16" i="11"/>
  <c r="Y32" i="11"/>
  <c r="G39" i="40"/>
  <c r="C39" i="40"/>
  <c r="Q16" i="7"/>
  <c r="S16" i="7" s="1"/>
  <c r="F39" i="40"/>
  <c r="C27" i="71"/>
  <c r="G46" i="7"/>
  <c r="O22" i="40"/>
  <c r="K39" i="40"/>
  <c r="Q1" i="28"/>
  <c r="L90" i="84"/>
  <c r="M90" i="84" s="1"/>
  <c r="Q90" i="84" s="1"/>
  <c r="H21" i="17"/>
  <c r="H55" i="17" s="1"/>
  <c r="L55" i="17" s="1"/>
  <c r="H39" i="40"/>
  <c r="G95" i="84"/>
  <c r="L22" i="84"/>
  <c r="M22" i="84" s="1"/>
  <c r="Q22" i="84" s="1"/>
  <c r="L32" i="84"/>
  <c r="L82" i="84"/>
  <c r="L30" i="84"/>
  <c r="M30" i="84" s="1"/>
  <c r="Q30" i="84" s="1"/>
  <c r="L14" i="84"/>
  <c r="F49" i="84"/>
  <c r="K52" i="84" s="1"/>
  <c r="E68" i="84"/>
  <c r="E110" i="84" s="1"/>
  <c r="B114" i="84" s="1"/>
  <c r="L11" i="84"/>
  <c r="L63" i="84"/>
  <c r="L25" i="84"/>
  <c r="H37" i="20"/>
  <c r="P36" i="7"/>
  <c r="E39" i="40"/>
  <c r="E61" i="7"/>
  <c r="G162" i="40"/>
  <c r="B22" i="63"/>
  <c r="AD205" i="64"/>
  <c r="AD17" i="64"/>
  <c r="J17" i="63"/>
  <c r="AB25" i="64"/>
  <c r="AD348" i="64"/>
  <c r="AD55" i="64"/>
  <c r="AD37" i="64"/>
  <c r="AD202" i="64"/>
  <c r="AD310" i="64"/>
  <c r="AD243" i="64"/>
  <c r="AD342" i="64"/>
  <c r="AD289" i="64"/>
  <c r="AD196" i="64"/>
  <c r="AD235" i="64"/>
  <c r="AD46" i="11"/>
  <c r="X16" i="11"/>
  <c r="Y14" i="11"/>
  <c r="Y16" i="28"/>
  <c r="Y18" i="28" s="1"/>
  <c r="L33" i="17"/>
  <c r="P42" i="28"/>
  <c r="D19" i="86"/>
  <c r="T11" i="28"/>
  <c r="P40" i="28"/>
  <c r="P38" i="28"/>
  <c r="P32" i="28"/>
  <c r="Y28" i="28"/>
  <c r="X28" i="11"/>
  <c r="X48" i="11"/>
  <c r="Y49" i="28" s="1"/>
  <c r="X15" i="11"/>
  <c r="X37" i="11"/>
  <c r="T25" i="28"/>
  <c r="J22" i="63"/>
  <c r="J21" i="63"/>
  <c r="J15" i="63"/>
  <c r="AB205" i="64"/>
  <c r="AB69" i="64"/>
  <c r="AB22" i="64"/>
  <c r="AB20" i="64"/>
  <c r="AB154" i="64"/>
  <c r="AB91" i="64"/>
  <c r="AB179" i="64"/>
  <c r="AB217" i="64"/>
  <c r="AB263" i="64"/>
  <c r="AB79" i="64"/>
  <c r="AB309" i="64"/>
  <c r="AB80" i="64"/>
  <c r="AB197" i="64"/>
  <c r="AB61" i="64"/>
  <c r="AB221" i="64"/>
  <c r="AB353" i="64"/>
  <c r="AB180" i="64"/>
  <c r="AB242" i="64"/>
  <c r="AB17" i="64"/>
  <c r="AB70" i="64"/>
  <c r="AB26" i="64"/>
  <c r="AB265" i="64"/>
  <c r="AB360" i="64"/>
  <c r="AB87" i="64"/>
  <c r="AB126" i="64"/>
  <c r="AB278" i="64"/>
  <c r="AB290" i="64"/>
  <c r="AB228" i="64"/>
  <c r="AB38" i="64"/>
  <c r="AB202" i="64"/>
  <c r="U202" i="64" s="1"/>
  <c r="V202" i="64" s="1"/>
  <c r="X202" i="64" s="1"/>
  <c r="AB299" i="64"/>
  <c r="AB90" i="64"/>
  <c r="AB250" i="64"/>
  <c r="AB75" i="64"/>
  <c r="G49" i="84"/>
  <c r="L53" i="84" s="1"/>
  <c r="I110" i="84"/>
  <c r="L16" i="84"/>
  <c r="L72" i="84"/>
  <c r="L93" i="84"/>
  <c r="L95" i="84" s="1"/>
  <c r="H77" i="20"/>
  <c r="H87" i="20"/>
  <c r="P86" i="7" s="1"/>
  <c r="H42" i="20"/>
  <c r="H65" i="20"/>
  <c r="H57" i="20"/>
  <c r="H50" i="20"/>
  <c r="H29" i="20"/>
  <c r="P28" i="7" s="1"/>
  <c r="H61" i="20"/>
  <c r="H75" i="20"/>
  <c r="H73" i="20"/>
  <c r="H56" i="20"/>
  <c r="H80" i="20"/>
  <c r="H81" i="20"/>
  <c r="H83" i="20"/>
  <c r="H51" i="20"/>
  <c r="H43" i="20"/>
  <c r="H17" i="20"/>
  <c r="J15" i="77"/>
  <c r="A34" i="77"/>
  <c r="J20" i="63"/>
  <c r="O45" i="64"/>
  <c r="D35" i="87"/>
  <c r="J19" i="63"/>
  <c r="O152" i="64"/>
  <c r="H76" i="20"/>
  <c r="H68" i="20"/>
  <c r="H35" i="20"/>
  <c r="H34" i="20"/>
  <c r="H70" i="20"/>
  <c r="H63" i="20"/>
  <c r="H54" i="20"/>
  <c r="H58" i="20"/>
  <c r="H67" i="20"/>
  <c r="H82" i="20"/>
  <c r="H59" i="20"/>
  <c r="H74" i="20"/>
  <c r="H20" i="20"/>
  <c r="P19" i="7" s="1"/>
  <c r="H32" i="20"/>
  <c r="H52" i="20"/>
  <c r="H62" i="20"/>
  <c r="H78" i="20"/>
  <c r="H30" i="20"/>
  <c r="H48" i="20"/>
  <c r="H47" i="20"/>
  <c r="H64" i="20"/>
  <c r="H33" i="20"/>
  <c r="H69" i="20"/>
  <c r="H85" i="20"/>
  <c r="H84" i="20"/>
  <c r="H44" i="20"/>
  <c r="P43" i="7" s="1"/>
  <c r="H71" i="20"/>
  <c r="H36" i="20"/>
  <c r="H86" i="20"/>
  <c r="H16" i="20"/>
  <c r="H66" i="20"/>
  <c r="H49" i="20"/>
  <c r="H72" i="20"/>
  <c r="H60" i="20"/>
  <c r="H31" i="20"/>
  <c r="H53" i="20"/>
  <c r="H79" i="20"/>
  <c r="H55" i="20"/>
  <c r="J23" i="63"/>
  <c r="AD248" i="64" l="1"/>
  <c r="AD215" i="64"/>
  <c r="AD232" i="64"/>
  <c r="AD271" i="64"/>
  <c r="AD359" i="64"/>
  <c r="AD305" i="64"/>
  <c r="AD27" i="64"/>
  <c r="AD225" i="64"/>
  <c r="AD124" i="64"/>
  <c r="AD135" i="64"/>
  <c r="AD278" i="64"/>
  <c r="P278" i="64" s="1"/>
  <c r="Q43" i="7"/>
  <c r="S43" i="7" s="1"/>
  <c r="AD219" i="64"/>
  <c r="AD311" i="64"/>
  <c r="AD201" i="64"/>
  <c r="AD234" i="64"/>
  <c r="AD56" i="64"/>
  <c r="AD209" i="64"/>
  <c r="AD353" i="64"/>
  <c r="AD198" i="64"/>
  <c r="AD361" i="64"/>
  <c r="AD251" i="64"/>
  <c r="AD303" i="64"/>
  <c r="X41" i="11"/>
  <c r="Y42" i="28" s="1"/>
  <c r="AD298" i="64"/>
  <c r="AD341" i="64"/>
  <c r="AD255" i="64"/>
  <c r="AD294" i="64"/>
  <c r="AD282" i="64"/>
  <c r="AD154" i="64"/>
  <c r="U154" i="64" s="1"/>
  <c r="V154" i="64" s="1"/>
  <c r="X154" i="64" s="1"/>
  <c r="AD346" i="64"/>
  <c r="AD349" i="64"/>
  <c r="AD66" i="64"/>
  <c r="AD158" i="64"/>
  <c r="AD301" i="64"/>
  <c r="U17" i="64"/>
  <c r="V17" i="64" s="1"/>
  <c r="X17" i="64" s="1"/>
  <c r="M102" i="84"/>
  <c r="AB138" i="64"/>
  <c r="AB302" i="64"/>
  <c r="AB160" i="64"/>
  <c r="AB76" i="64"/>
  <c r="AB256" i="64"/>
  <c r="AB310" i="64"/>
  <c r="AB53" i="64"/>
  <c r="AB226" i="64"/>
  <c r="AB106" i="64"/>
  <c r="AB330" i="64"/>
  <c r="AB84" i="64"/>
  <c r="AB343" i="64"/>
  <c r="AB71" i="64"/>
  <c r="U205" i="64"/>
  <c r="V205" i="64" s="1"/>
  <c r="X205" i="64" s="1"/>
  <c r="AB155" i="64"/>
  <c r="AB328" i="64"/>
  <c r="AB243" i="64"/>
  <c r="U243" i="64" s="1"/>
  <c r="V243" i="64" s="1"/>
  <c r="X243" i="64" s="1"/>
  <c r="AB133" i="64"/>
  <c r="AB261" i="64"/>
  <c r="AB252" i="64"/>
  <c r="AB68" i="64"/>
  <c r="AB288" i="64"/>
  <c r="AB354" i="64"/>
  <c r="AB196" i="64"/>
  <c r="AB237" i="64"/>
  <c r="AB296" i="64"/>
  <c r="AB64" i="64"/>
  <c r="AB77" i="64"/>
  <c r="AB249" i="64"/>
  <c r="AB291" i="64"/>
  <c r="AB73" i="64"/>
  <c r="AB74" i="64"/>
  <c r="AB57" i="64"/>
  <c r="AB287" i="64"/>
  <c r="AB85" i="64"/>
  <c r="AB203" i="64"/>
  <c r="AB260" i="64"/>
  <c r="AB207" i="64"/>
  <c r="AB356" i="64"/>
  <c r="AB199" i="64"/>
  <c r="AB355" i="64"/>
  <c r="AB23" i="64"/>
  <c r="AB186" i="64"/>
  <c r="AB292" i="64"/>
  <c r="AB183" i="64"/>
  <c r="AB351" i="64"/>
  <c r="U351" i="64" s="1"/>
  <c r="V351" i="64" s="1"/>
  <c r="X351" i="64" s="1"/>
  <c r="AB279" i="64"/>
  <c r="AB254" i="64"/>
  <c r="X50" i="11"/>
  <c r="X52" i="11"/>
  <c r="B17" i="63"/>
  <c r="B162" i="40"/>
  <c r="P353" i="64"/>
  <c r="R353" i="64" s="1"/>
  <c r="O190" i="64"/>
  <c r="AB136" i="64"/>
  <c r="AB19" i="64"/>
  <c r="AB129" i="64"/>
  <c r="AB283" i="64"/>
  <c r="AB169" i="64"/>
  <c r="AB339" i="64"/>
  <c r="AB281" i="64"/>
  <c r="AB168" i="64"/>
  <c r="AB346" i="64"/>
  <c r="AB320" i="64"/>
  <c r="AB244" i="64"/>
  <c r="AB18" i="64"/>
  <c r="AB268" i="64"/>
  <c r="AB29" i="64"/>
  <c r="AB172" i="64"/>
  <c r="AB49" i="64"/>
  <c r="AB315" i="64"/>
  <c r="AB65" i="64"/>
  <c r="AB209" i="64"/>
  <c r="P209" i="64" s="1"/>
  <c r="AB86" i="64"/>
  <c r="AB272" i="64"/>
  <c r="AB181" i="64"/>
  <c r="AB188" i="64"/>
  <c r="AB119" i="64"/>
  <c r="AB27" i="64"/>
  <c r="AB284" i="64"/>
  <c r="AB312" i="64"/>
  <c r="AB239" i="64"/>
  <c r="AB247" i="64"/>
  <c r="AB141" i="64"/>
  <c r="AB344" i="64"/>
  <c r="AB329" i="64"/>
  <c r="AB271" i="64"/>
  <c r="AB28" i="64"/>
  <c r="AB56" i="64"/>
  <c r="P56" i="64" s="1"/>
  <c r="T56" i="64" s="1"/>
  <c r="AB306" i="64"/>
  <c r="AB185" i="64"/>
  <c r="AB294" i="64"/>
  <c r="AB258" i="64"/>
  <c r="AB63" i="64"/>
  <c r="AB198" i="64"/>
  <c r="AB50" i="64"/>
  <c r="AB227" i="64"/>
  <c r="AB210" i="64"/>
  <c r="AB232" i="64"/>
  <c r="AB365" i="64"/>
  <c r="AB235" i="64"/>
  <c r="U235" i="64" s="1"/>
  <c r="V235" i="64" s="1"/>
  <c r="X235" i="64" s="1"/>
  <c r="AB98" i="64"/>
  <c r="AB269" i="64"/>
  <c r="AB35" i="64"/>
  <c r="AB266" i="64"/>
  <c r="AB120" i="64"/>
  <c r="AB216" i="64"/>
  <c r="AB319" i="64"/>
  <c r="Q368" i="64"/>
  <c r="Q369" i="64" s="1"/>
  <c r="Y56" i="28"/>
  <c r="AC56" i="28" s="1"/>
  <c r="L20" i="7"/>
  <c r="K18" i="77"/>
  <c r="L84" i="84"/>
  <c r="AB11" i="11"/>
  <c r="D27" i="20" s="1"/>
  <c r="O71" i="7"/>
  <c r="P196" i="64"/>
  <c r="R196" i="64" s="1"/>
  <c r="K48" i="28"/>
  <c r="X47" i="11"/>
  <c r="A23" i="20"/>
  <c r="A23" i="17"/>
  <c r="Q40" i="64"/>
  <c r="O192" i="64"/>
  <c r="F21" i="63"/>
  <c r="P17" i="64"/>
  <c r="T17" i="64" s="1"/>
  <c r="Y17" i="64" s="1"/>
  <c r="AB130" i="64"/>
  <c r="AB222" i="64"/>
  <c r="AB153" i="64"/>
  <c r="AB78" i="64"/>
  <c r="AB200" i="64"/>
  <c r="AB251" i="64"/>
  <c r="AB316" i="64"/>
  <c r="AB363" i="64"/>
  <c r="AB33" i="64"/>
  <c r="AB293" i="64"/>
  <c r="AB219" i="64"/>
  <c r="U219" i="64" s="1"/>
  <c r="V219" i="64" s="1"/>
  <c r="X219" i="64" s="1"/>
  <c r="AB359" i="64"/>
  <c r="U359" i="64" s="1"/>
  <c r="V359" i="64" s="1"/>
  <c r="X359" i="64" s="1"/>
  <c r="AB322" i="64"/>
  <c r="AB317" i="64"/>
  <c r="AB156" i="64"/>
  <c r="AB323" i="64"/>
  <c r="AB297" i="64"/>
  <c r="AB257" i="64"/>
  <c r="AB267" i="64"/>
  <c r="AB88" i="64"/>
  <c r="AB81" i="64"/>
  <c r="AB231" i="64"/>
  <c r="AB326" i="64"/>
  <c r="AB152" i="64"/>
  <c r="AB93" i="64"/>
  <c r="AB364" i="64"/>
  <c r="AB313" i="64"/>
  <c r="AB83" i="64"/>
  <c r="AB327" i="64"/>
  <c r="AB307" i="64"/>
  <c r="AB345" i="64"/>
  <c r="AB348" i="64"/>
  <c r="P348" i="64" s="1"/>
  <c r="R348" i="64" s="1"/>
  <c r="AB318" i="64"/>
  <c r="AB361" i="64"/>
  <c r="P361" i="64" s="1"/>
  <c r="AB273" i="64"/>
  <c r="AB96" i="64"/>
  <c r="AB95" i="64"/>
  <c r="AB341" i="64"/>
  <c r="AB67" i="64"/>
  <c r="AB89" i="64"/>
  <c r="AB342" i="64"/>
  <c r="U342" i="64" s="1"/>
  <c r="V342" i="64" s="1"/>
  <c r="X342" i="64" s="1"/>
  <c r="AB30" i="64"/>
  <c r="AB123" i="64"/>
  <c r="AB300" i="64"/>
  <c r="AB212" i="64"/>
  <c r="AB362" i="64"/>
  <c r="AB59" i="64"/>
  <c r="AB72" i="64"/>
  <c r="AB135" i="64"/>
  <c r="U135" i="64" s="1"/>
  <c r="V135" i="64" s="1"/>
  <c r="X135" i="64" s="1"/>
  <c r="AB125" i="64"/>
  <c r="AB21" i="64"/>
  <c r="AB285" i="64"/>
  <c r="AB131" i="64"/>
  <c r="AB275" i="64"/>
  <c r="AB280" i="64"/>
  <c r="AB349" i="64"/>
  <c r="P349" i="64" s="1"/>
  <c r="R349" i="64" s="1"/>
  <c r="AB230" i="64"/>
  <c r="AB92" i="64"/>
  <c r="AB236" i="64"/>
  <c r="AB158" i="64"/>
  <c r="AB289" i="64"/>
  <c r="P289" i="64" s="1"/>
  <c r="T289" i="64" s="1"/>
  <c r="AB122" i="64"/>
  <c r="AB117" i="64"/>
  <c r="AB171" i="64"/>
  <c r="AB124" i="64"/>
  <c r="U124" i="64" s="1"/>
  <c r="V124" i="64" s="1"/>
  <c r="X124" i="64" s="1"/>
  <c r="AB262" i="64"/>
  <c r="AB137" i="64"/>
  <c r="AB66" i="64"/>
  <c r="P66" i="64" s="1"/>
  <c r="AB140" i="64"/>
  <c r="AB248" i="64"/>
  <c r="P248" i="64" s="1"/>
  <c r="AB36" i="64"/>
  <c r="AB304" i="64"/>
  <c r="AB229" i="64"/>
  <c r="AB187" i="64"/>
  <c r="AB173" i="64"/>
  <c r="AB58" i="64"/>
  <c r="AB215" i="64"/>
  <c r="U215" i="64" s="1"/>
  <c r="V215" i="64" s="1"/>
  <c r="X215" i="64" s="1"/>
  <c r="AB276" i="64"/>
  <c r="AB48" i="64"/>
  <c r="AB139" i="64"/>
  <c r="AB161" i="64"/>
  <c r="AB223" i="64"/>
  <c r="AB82" i="64"/>
  <c r="AB245" i="64"/>
  <c r="AB305" i="64"/>
  <c r="AB347" i="64"/>
  <c r="AB184" i="64"/>
  <c r="AB127" i="64"/>
  <c r="AB52" i="64"/>
  <c r="AB311" i="64"/>
  <c r="AB286" i="64"/>
  <c r="AB264" i="64"/>
  <c r="AB301" i="64"/>
  <c r="U301" i="64" s="1"/>
  <c r="V301" i="64" s="1"/>
  <c r="X301" i="64" s="1"/>
  <c r="AB234" i="64"/>
  <c r="U234" i="64" s="1"/>
  <c r="V234" i="64" s="1"/>
  <c r="X234" i="64" s="1"/>
  <c r="AB321" i="64"/>
  <c r="AB37" i="64"/>
  <c r="U37" i="64" s="1"/>
  <c r="V37" i="64" s="1"/>
  <c r="X37" i="64" s="1"/>
  <c r="AB54" i="64"/>
  <c r="AB277" i="64"/>
  <c r="AB31" i="64"/>
  <c r="AB107" i="64"/>
  <c r="AB32" i="64"/>
  <c r="AB116" i="64"/>
  <c r="AB340" i="64"/>
  <c r="AB211" i="64"/>
  <c r="AB62" i="64"/>
  <c r="AB338" i="64"/>
  <c r="AB282" i="64"/>
  <c r="U282" i="64" s="1"/>
  <c r="V282" i="64" s="1"/>
  <c r="X282" i="64" s="1"/>
  <c r="AB270" i="64"/>
  <c r="AB24" i="64"/>
  <c r="AB55" i="64"/>
  <c r="AB357" i="64"/>
  <c r="AB46" i="64"/>
  <c r="AB201" i="64"/>
  <c r="P201" i="64" s="1"/>
  <c r="AB218" i="64"/>
  <c r="AB159" i="64"/>
  <c r="AB206" i="64"/>
  <c r="AB213" i="64"/>
  <c r="AB134" i="64"/>
  <c r="AB128" i="64"/>
  <c r="AB253" i="64"/>
  <c r="AB352" i="64"/>
  <c r="AB182" i="64"/>
  <c r="AB220" i="64"/>
  <c r="AB208" i="64"/>
  <c r="AB350" i="64"/>
  <c r="AB259" i="64"/>
  <c r="AB225" i="64"/>
  <c r="AB358" i="64"/>
  <c r="AB325" i="64"/>
  <c r="AB233" i="64"/>
  <c r="AB118" i="64"/>
  <c r="AB132" i="64"/>
  <c r="AB157" i="64"/>
  <c r="AB224" i="64"/>
  <c r="AB60" i="64"/>
  <c r="AB121" i="64"/>
  <c r="AB204" i="64"/>
  <c r="Q28" i="7"/>
  <c r="S28" i="7" s="1"/>
  <c r="F162" i="40"/>
  <c r="L162" i="40"/>
  <c r="D162" i="40"/>
  <c r="I162" i="40"/>
  <c r="X27" i="11"/>
  <c r="X32" i="11"/>
  <c r="Y33" i="28" s="1"/>
  <c r="E162" i="40"/>
  <c r="P202" i="64"/>
  <c r="O83" i="64"/>
  <c r="O100" i="64" s="1"/>
  <c r="N100" i="64"/>
  <c r="D16" i="63" s="1"/>
  <c r="I33" i="11"/>
  <c r="I55" i="11" s="1"/>
  <c r="J31" i="11"/>
  <c r="L23" i="28"/>
  <c r="AD23" i="11"/>
  <c r="L52" i="28"/>
  <c r="AD51" i="11"/>
  <c r="U209" i="64"/>
  <c r="V209" i="64" s="1"/>
  <c r="X209" i="64" s="1"/>
  <c r="K19" i="77"/>
  <c r="K27" i="77" s="1"/>
  <c r="Q100" i="64"/>
  <c r="J16" i="63" s="1"/>
  <c r="L27" i="28"/>
  <c r="AD27" i="11"/>
  <c r="M16" i="84"/>
  <c r="Q16" i="84" s="1"/>
  <c r="K25" i="28"/>
  <c r="X25" i="11"/>
  <c r="AD221" i="64"/>
  <c r="AD231" i="64"/>
  <c r="AD247" i="64"/>
  <c r="P247" i="64" s="1"/>
  <c r="R247" i="64" s="1"/>
  <c r="AD38" i="64"/>
  <c r="AD268" i="64"/>
  <c r="AD82" i="64"/>
  <c r="AD157" i="64"/>
  <c r="AD94" i="64"/>
  <c r="AD288" i="64"/>
  <c r="P288" i="64" s="1"/>
  <c r="AD60" i="64"/>
  <c r="AD52" i="64"/>
  <c r="AD284" i="64"/>
  <c r="AD338" i="64"/>
  <c r="P338" i="64" s="1"/>
  <c r="AD126" i="64"/>
  <c r="P126" i="64" s="1"/>
  <c r="T126" i="64" s="1"/>
  <c r="AD28" i="64"/>
  <c r="AD168" i="64"/>
  <c r="U168" i="64" s="1"/>
  <c r="V168" i="64" s="1"/>
  <c r="X168" i="64" s="1"/>
  <c r="AD210" i="64"/>
  <c r="U210" i="64" s="1"/>
  <c r="V210" i="64" s="1"/>
  <c r="X210" i="64" s="1"/>
  <c r="AD73" i="64"/>
  <c r="P73" i="64" s="1"/>
  <c r="AD23" i="64"/>
  <c r="AD65" i="64"/>
  <c r="P65" i="64" s="1"/>
  <c r="AD206" i="64"/>
  <c r="AD267" i="64"/>
  <c r="AD131" i="64"/>
  <c r="AD237" i="64"/>
  <c r="AD48" i="64"/>
  <c r="AD183" i="64"/>
  <c r="AD222" i="64"/>
  <c r="P222" i="64" s="1"/>
  <c r="AD19" i="64"/>
  <c r="P19" i="64" s="1"/>
  <c r="AD264" i="64"/>
  <c r="AD128" i="64"/>
  <c r="AD87" i="64"/>
  <c r="P87" i="64" s="1"/>
  <c r="AD67" i="64"/>
  <c r="AD254" i="64"/>
  <c r="P254" i="64" s="1"/>
  <c r="AD54" i="64"/>
  <c r="AD230" i="64"/>
  <c r="AD276" i="64"/>
  <c r="U276" i="64" s="1"/>
  <c r="V276" i="64" s="1"/>
  <c r="X276" i="64" s="1"/>
  <c r="AD47" i="64"/>
  <c r="AD279" i="64"/>
  <c r="AD152" i="64"/>
  <c r="AD269" i="64"/>
  <c r="AD31" i="64"/>
  <c r="AD70" i="64"/>
  <c r="P70" i="64" s="1"/>
  <c r="T70" i="64" s="1"/>
  <c r="AD75" i="64"/>
  <c r="P75" i="64" s="1"/>
  <c r="AD96" i="64"/>
  <c r="AD161" i="64"/>
  <c r="AD307" i="64"/>
  <c r="AD207" i="64"/>
  <c r="P207" i="64" s="1"/>
  <c r="R207" i="64" s="1"/>
  <c r="AD287" i="64"/>
  <c r="AD90" i="64"/>
  <c r="U90" i="64" s="1"/>
  <c r="V90" i="64" s="1"/>
  <c r="X90" i="64" s="1"/>
  <c r="AD29" i="64"/>
  <c r="P29" i="64" s="1"/>
  <c r="AD344" i="64"/>
  <c r="AD246" i="64"/>
  <c r="AD277" i="64"/>
  <c r="U277" i="64" s="1"/>
  <c r="V277" i="64" s="1"/>
  <c r="X277" i="64" s="1"/>
  <c r="AD266" i="64"/>
  <c r="AD273" i="64"/>
  <c r="AD159" i="64"/>
  <c r="AD45" i="64"/>
  <c r="AD265" i="64"/>
  <c r="AD33" i="64"/>
  <c r="AD291" i="64"/>
  <c r="AD89" i="64"/>
  <c r="AD236" i="64"/>
  <c r="AD345" i="64"/>
  <c r="AD32" i="64"/>
  <c r="AD347" i="64"/>
  <c r="U347" i="64" s="1"/>
  <c r="V347" i="64" s="1"/>
  <c r="X347" i="64" s="1"/>
  <c r="AD362" i="64"/>
  <c r="AD343" i="64"/>
  <c r="AD358" i="64"/>
  <c r="AD308" i="64"/>
  <c r="AD238" i="64"/>
  <c r="AD86" i="64"/>
  <c r="U86" i="64" s="1"/>
  <c r="V86" i="64" s="1"/>
  <c r="X86" i="64" s="1"/>
  <c r="AD233" i="64"/>
  <c r="AD186" i="64"/>
  <c r="P186" i="64" s="1"/>
  <c r="AD326" i="64"/>
  <c r="AD321" i="64"/>
  <c r="AD214" i="64"/>
  <c r="AD302" i="64"/>
  <c r="AD229" i="64"/>
  <c r="AD155" i="64"/>
  <c r="AD156" i="64"/>
  <c r="AD36" i="64"/>
  <c r="U36" i="64" s="1"/>
  <c r="V36" i="64" s="1"/>
  <c r="X36" i="64" s="1"/>
  <c r="AD339" i="64"/>
  <c r="AD30" i="64"/>
  <c r="U30" i="64" s="1"/>
  <c r="V30" i="64" s="1"/>
  <c r="X30" i="64" s="1"/>
  <c r="AD80" i="64"/>
  <c r="AD141" i="64"/>
  <c r="P141" i="64" s="1"/>
  <c r="AD130" i="64"/>
  <c r="AD244" i="64"/>
  <c r="AD199" i="64"/>
  <c r="U199" i="64" s="1"/>
  <c r="V199" i="64" s="1"/>
  <c r="X199" i="64" s="1"/>
  <c r="AD272" i="64"/>
  <c r="AD218" i="64"/>
  <c r="AD50" i="64"/>
  <c r="U50" i="64" s="1"/>
  <c r="V50" i="64" s="1"/>
  <c r="X50" i="64" s="1"/>
  <c r="AD297" i="64"/>
  <c r="AD24" i="64"/>
  <c r="AD81" i="64"/>
  <c r="AD208" i="64"/>
  <c r="AD352" i="64"/>
  <c r="AD22" i="64"/>
  <c r="P22" i="64" s="1"/>
  <c r="AD204" i="64"/>
  <c r="AD329" i="64"/>
  <c r="P329" i="64" s="1"/>
  <c r="AD134" i="64"/>
  <c r="AD49" i="64"/>
  <c r="U49" i="64" s="1"/>
  <c r="V49" i="64" s="1"/>
  <c r="X49" i="64" s="1"/>
  <c r="AD354" i="64"/>
  <c r="AD227" i="64"/>
  <c r="AD119" i="64"/>
  <c r="P119" i="64" s="1"/>
  <c r="AD139" i="64"/>
  <c r="AD188" i="64"/>
  <c r="AD360" i="64"/>
  <c r="P360" i="64" s="1"/>
  <c r="AD274" i="64"/>
  <c r="AD323" i="64"/>
  <c r="AD132" i="64"/>
  <c r="AD58" i="64"/>
  <c r="AD365" i="64"/>
  <c r="P365" i="64" s="1"/>
  <c r="AD220" i="64"/>
  <c r="P220" i="64" s="1"/>
  <c r="AD171" i="64"/>
  <c r="P171" i="64" s="1"/>
  <c r="AD259" i="64"/>
  <c r="U259" i="64" s="1"/>
  <c r="V259" i="64" s="1"/>
  <c r="X259" i="64" s="1"/>
  <c r="AD270" i="64"/>
  <c r="AD21" i="64"/>
  <c r="P21" i="64" s="1"/>
  <c r="AD34" i="64"/>
  <c r="P34" i="64" s="1"/>
  <c r="AD203" i="64"/>
  <c r="P203" i="64" s="1"/>
  <c r="R203" i="64" s="1"/>
  <c r="AD181" i="64"/>
  <c r="AD285" i="64"/>
  <c r="AD286" i="64"/>
  <c r="AD280" i="64"/>
  <c r="P280" i="64" s="1"/>
  <c r="AD292" i="64"/>
  <c r="P292" i="64" s="1"/>
  <c r="AD350" i="64"/>
  <c r="AD356" i="64"/>
  <c r="U356" i="64" s="1"/>
  <c r="V356" i="64" s="1"/>
  <c r="X356" i="64" s="1"/>
  <c r="AD68" i="64"/>
  <c r="AD242" i="64"/>
  <c r="U242" i="64" s="1"/>
  <c r="V242" i="64" s="1"/>
  <c r="X242" i="64" s="1"/>
  <c r="AD173" i="64"/>
  <c r="U173" i="64" s="1"/>
  <c r="V173" i="64" s="1"/>
  <c r="X173" i="64" s="1"/>
  <c r="AD320" i="64"/>
  <c r="AD325" i="64"/>
  <c r="AD57" i="64"/>
  <c r="AD160" i="64"/>
  <c r="AD182" i="64"/>
  <c r="AD260" i="64"/>
  <c r="AD74" i="64"/>
  <c r="P74" i="64" s="1"/>
  <c r="AD20" i="64"/>
  <c r="U20" i="64" s="1"/>
  <c r="V20" i="64" s="1"/>
  <c r="X20" i="64" s="1"/>
  <c r="AD69" i="64"/>
  <c r="AD317" i="64"/>
  <c r="AD318" i="64"/>
  <c r="AD257" i="64"/>
  <c r="U257" i="64" s="1"/>
  <c r="V257" i="64" s="1"/>
  <c r="X257" i="64" s="1"/>
  <c r="AD324" i="64"/>
  <c r="AD46" i="64"/>
  <c r="AD125" i="64"/>
  <c r="P125" i="64" s="1"/>
  <c r="AD293" i="64"/>
  <c r="U293" i="64" s="1"/>
  <c r="V293" i="64" s="1"/>
  <c r="X293" i="64" s="1"/>
  <c r="AD327" i="64"/>
  <c r="AD213" i="64"/>
  <c r="AD295" i="64"/>
  <c r="AD312" i="64"/>
  <c r="AD116" i="64"/>
  <c r="AD138" i="64"/>
  <c r="AD262" i="64"/>
  <c r="U262" i="64" s="1"/>
  <c r="V262" i="64" s="1"/>
  <c r="X262" i="64" s="1"/>
  <c r="AD64" i="64"/>
  <c r="P64" i="64" s="1"/>
  <c r="R64" i="64" s="1"/>
  <c r="U64" i="64" s="1"/>
  <c r="V64" i="64" s="1"/>
  <c r="X64" i="64" s="1"/>
  <c r="AD184" i="64"/>
  <c r="AD123" i="64"/>
  <c r="P123" i="64" s="1"/>
  <c r="AD245" i="64"/>
  <c r="AD78" i="64"/>
  <c r="AD72" i="64"/>
  <c r="P72" i="64" s="1"/>
  <c r="AD357" i="64"/>
  <c r="U357" i="64" s="1"/>
  <c r="V357" i="64" s="1"/>
  <c r="X357" i="64" s="1"/>
  <c r="AD195" i="64"/>
  <c r="AD136" i="64"/>
  <c r="AD263" i="64"/>
  <c r="U263" i="64" s="1"/>
  <c r="V263" i="64" s="1"/>
  <c r="X263" i="64" s="1"/>
  <c r="AD241" i="64"/>
  <c r="AD250" i="64"/>
  <c r="U250" i="64" s="1"/>
  <c r="V250" i="64" s="1"/>
  <c r="X250" i="64" s="1"/>
  <c r="AD77" i="64"/>
  <c r="U77" i="64" s="1"/>
  <c r="V77" i="64" s="1"/>
  <c r="X77" i="64" s="1"/>
  <c r="AD197" i="64"/>
  <c r="AD79" i="64"/>
  <c r="U79" i="64" s="1"/>
  <c r="V79" i="64" s="1"/>
  <c r="X79" i="64" s="1"/>
  <c r="AD51" i="64"/>
  <c r="AD18" i="64"/>
  <c r="P18" i="64" s="1"/>
  <c r="AD179" i="64"/>
  <c r="AD253" i="64"/>
  <c r="AD88" i="64"/>
  <c r="AD328" i="64"/>
  <c r="P328" i="64" s="1"/>
  <c r="AD185" i="64"/>
  <c r="P185" i="64" s="1"/>
  <c r="AD275" i="64"/>
  <c r="AD117" i="64"/>
  <c r="AD26" i="64"/>
  <c r="AD92" i="64"/>
  <c r="P92" i="64" s="1"/>
  <c r="AD364" i="64"/>
  <c r="AD59" i="64"/>
  <c r="AD84" i="64"/>
  <c r="P84" i="64" s="1"/>
  <c r="AD300" i="64"/>
  <c r="AD211" i="64"/>
  <c r="AD35" i="64"/>
  <c r="U35" i="64" s="1"/>
  <c r="V35" i="64" s="1"/>
  <c r="X35" i="64" s="1"/>
  <c r="AD121" i="64"/>
  <c r="P121" i="64" s="1"/>
  <c r="AD151" i="64"/>
  <c r="AD180" i="64"/>
  <c r="AD355" i="64"/>
  <c r="AD172" i="64"/>
  <c r="AD97" i="64"/>
  <c r="AD309" i="64"/>
  <c r="P309" i="64" s="1"/>
  <c r="AD217" i="64"/>
  <c r="U217" i="64" s="1"/>
  <c r="V217" i="64" s="1"/>
  <c r="X217" i="64" s="1"/>
  <c r="AD98" i="64"/>
  <c r="P98" i="64" s="1"/>
  <c r="AD212" i="64"/>
  <c r="AD281" i="64"/>
  <c r="AD170" i="64"/>
  <c r="AD93" i="64"/>
  <c r="P93" i="64" s="1"/>
  <c r="AD283" i="64"/>
  <c r="U283" i="64" s="1"/>
  <c r="V283" i="64" s="1"/>
  <c r="X283" i="64" s="1"/>
  <c r="AD340" i="64"/>
  <c r="U340" i="64" s="1"/>
  <c r="V340" i="64" s="1"/>
  <c r="X340" i="64" s="1"/>
  <c r="AD118" i="64"/>
  <c r="AD290" i="64"/>
  <c r="P290" i="64" s="1"/>
  <c r="AD169" i="64"/>
  <c r="U169" i="64" s="1"/>
  <c r="V169" i="64" s="1"/>
  <c r="X169" i="64" s="1"/>
  <c r="AD153" i="64"/>
  <c r="AD240" i="64"/>
  <c r="AD127" i="64"/>
  <c r="AD200" i="64"/>
  <c r="AD313" i="64"/>
  <c r="U313" i="64" s="1"/>
  <c r="V313" i="64" s="1"/>
  <c r="X313" i="64" s="1"/>
  <c r="AD216" i="64"/>
  <c r="AD71" i="64"/>
  <c r="P71" i="64" s="1"/>
  <c r="AD120" i="64"/>
  <c r="P120" i="64" s="1"/>
  <c r="AD140" i="64"/>
  <c r="AD106" i="64"/>
  <c r="AD25" i="64"/>
  <c r="U25" i="64" s="1"/>
  <c r="V25" i="64" s="1"/>
  <c r="X25" i="64" s="1"/>
  <c r="AD363" i="64"/>
  <c r="AD83" i="64"/>
  <c r="AD63" i="64"/>
  <c r="AD129" i="64"/>
  <c r="AD61" i="64"/>
  <c r="P61" i="64" s="1"/>
  <c r="AD306" i="64"/>
  <c r="U306" i="64" s="1"/>
  <c r="V306" i="64" s="1"/>
  <c r="X306" i="64" s="1"/>
  <c r="AD249" i="64"/>
  <c r="AD319" i="64"/>
  <c r="P319" i="64" s="1"/>
  <c r="T319" i="64" s="1"/>
  <c r="AD261" i="64"/>
  <c r="P261" i="64" s="1"/>
  <c r="AD95" i="64"/>
  <c r="AD330" i="64"/>
  <c r="AD187" i="64"/>
  <c r="P187" i="64" s="1"/>
  <c r="AD133" i="64"/>
  <c r="U133" i="64" s="1"/>
  <c r="V133" i="64" s="1"/>
  <c r="X133" i="64" s="1"/>
  <c r="AD53" i="64"/>
  <c r="P53" i="64" s="1"/>
  <c r="AD62" i="64"/>
  <c r="AD107" i="64"/>
  <c r="AD299" i="64"/>
  <c r="AD258" i="64"/>
  <c r="AD91" i="64"/>
  <c r="U91" i="64" s="1"/>
  <c r="V91" i="64" s="1"/>
  <c r="X91" i="64" s="1"/>
  <c r="AD314" i="64"/>
  <c r="P314" i="64" s="1"/>
  <c r="AD76" i="64"/>
  <c r="AD137" i="64"/>
  <c r="AD224" i="64"/>
  <c r="AD304" i="64"/>
  <c r="P304" i="64" s="1"/>
  <c r="AD223" i="64"/>
  <c r="AD316" i="64"/>
  <c r="P316" i="64" s="1"/>
  <c r="AD226" i="64"/>
  <c r="AD296" i="64"/>
  <c r="U296" i="64" s="1"/>
  <c r="V296" i="64" s="1"/>
  <c r="X296" i="64" s="1"/>
  <c r="AD315" i="64"/>
  <c r="AD85" i="64"/>
  <c r="P85" i="64" s="1"/>
  <c r="T85" i="64" s="1"/>
  <c r="AD252" i="64"/>
  <c r="U252" i="64" s="1"/>
  <c r="V252" i="64" s="1"/>
  <c r="X252" i="64" s="1"/>
  <c r="K50" i="28"/>
  <c r="K54" i="28" s="1"/>
  <c r="X49" i="11"/>
  <c r="U137" i="64"/>
  <c r="V137" i="64" s="1"/>
  <c r="X137" i="64" s="1"/>
  <c r="T196" i="64"/>
  <c r="P200" i="64"/>
  <c r="T200" i="64" s="1"/>
  <c r="U361" i="64"/>
  <c r="V361" i="64" s="1"/>
  <c r="X361" i="64" s="1"/>
  <c r="P212" i="64"/>
  <c r="R212" i="64" s="1"/>
  <c r="P273" i="64"/>
  <c r="P67" i="64"/>
  <c r="AD228" i="64"/>
  <c r="AD322" i="64"/>
  <c r="AD256" i="64"/>
  <c r="AD239" i="64"/>
  <c r="U239" i="64" s="1"/>
  <c r="V239" i="64" s="1"/>
  <c r="X239" i="64" s="1"/>
  <c r="AD122" i="64"/>
  <c r="P122" i="64" s="1"/>
  <c r="R122" i="64" s="1"/>
  <c r="P27" i="64"/>
  <c r="U284" i="64"/>
  <c r="V284" i="64" s="1"/>
  <c r="X284" i="64" s="1"/>
  <c r="U247" i="64"/>
  <c r="V247" i="64" s="1"/>
  <c r="X247" i="64" s="1"/>
  <c r="P168" i="64"/>
  <c r="R168" i="64" s="1"/>
  <c r="U310" i="64"/>
  <c r="V310" i="64" s="1"/>
  <c r="X310" i="64" s="1"/>
  <c r="P346" i="64"/>
  <c r="P63" i="64"/>
  <c r="P155" i="64"/>
  <c r="T155" i="64" s="1"/>
  <c r="P250" i="64"/>
  <c r="R250" i="64" s="1"/>
  <c r="P90" i="64"/>
  <c r="U278" i="64"/>
  <c r="V278" i="64" s="1"/>
  <c r="X278" i="64" s="1"/>
  <c r="U87" i="64"/>
  <c r="V87" i="64" s="1"/>
  <c r="X87" i="64" s="1"/>
  <c r="U292" i="64"/>
  <c r="V292" i="64" s="1"/>
  <c r="X292" i="64" s="1"/>
  <c r="P183" i="64"/>
  <c r="T183" i="64" s="1"/>
  <c r="P205" i="64"/>
  <c r="M25" i="84"/>
  <c r="Q25" i="84" s="1"/>
  <c r="C25" i="71"/>
  <c r="AA33" i="11"/>
  <c r="U118" i="64"/>
  <c r="V118" i="64" s="1"/>
  <c r="X118" i="64" s="1"/>
  <c r="U233" i="64"/>
  <c r="V233" i="64" s="1"/>
  <c r="X233" i="64" s="1"/>
  <c r="P159" i="64"/>
  <c r="P55" i="64"/>
  <c r="U338" i="64"/>
  <c r="V338" i="64" s="1"/>
  <c r="X338" i="64" s="1"/>
  <c r="P321" i="64"/>
  <c r="P234" i="64"/>
  <c r="P305" i="64"/>
  <c r="P276" i="64"/>
  <c r="U248" i="64"/>
  <c r="V248" i="64" s="1"/>
  <c r="X248" i="64" s="1"/>
  <c r="M63" i="84"/>
  <c r="M79" i="84"/>
  <c r="Q79" i="84" s="1"/>
  <c r="K95" i="84"/>
  <c r="T122" i="64"/>
  <c r="T207" i="64"/>
  <c r="T349" i="64"/>
  <c r="T247" i="64"/>
  <c r="P310" i="64"/>
  <c r="U55" i="64"/>
  <c r="V55" i="64" s="1"/>
  <c r="X55" i="64" s="1"/>
  <c r="P232" i="64"/>
  <c r="P235" i="64"/>
  <c r="T235" i="64" s="1"/>
  <c r="P35" i="64"/>
  <c r="O34" i="7"/>
  <c r="Q34" i="7" s="1"/>
  <c r="S34" i="7" s="1"/>
  <c r="O35" i="7"/>
  <c r="O45" i="7"/>
  <c r="O64" i="7"/>
  <c r="C65" i="71" s="1"/>
  <c r="T65" i="16" s="1"/>
  <c r="O63" i="7"/>
  <c r="Q63" i="7" s="1"/>
  <c r="S63" i="7" s="1"/>
  <c r="O77" i="7"/>
  <c r="O48" i="7"/>
  <c r="C49" i="71" s="1"/>
  <c r="G49" i="71" s="1"/>
  <c r="J49" i="71" s="1"/>
  <c r="O74" i="7"/>
  <c r="O53" i="7"/>
  <c r="C54" i="71" s="1"/>
  <c r="L87" i="7"/>
  <c r="H87" i="7"/>
  <c r="K87" i="7"/>
  <c r="G87" i="7"/>
  <c r="N87" i="7"/>
  <c r="J87" i="7"/>
  <c r="O165" i="40"/>
  <c r="C103" i="71"/>
  <c r="M55" i="11"/>
  <c r="P284" i="64"/>
  <c r="P131" i="64"/>
  <c r="P340" i="64"/>
  <c r="H162" i="40"/>
  <c r="U160" i="64"/>
  <c r="V160" i="64" s="1"/>
  <c r="X160" i="64" s="1"/>
  <c r="U123" i="64"/>
  <c r="V123" i="64" s="1"/>
  <c r="X123" i="64" s="1"/>
  <c r="T13" i="28"/>
  <c r="Z11" i="28"/>
  <c r="Z13" i="28" s="1"/>
  <c r="O166" i="40"/>
  <c r="C104" i="71"/>
  <c r="P79" i="64"/>
  <c r="H20" i="7"/>
  <c r="D20" i="7"/>
  <c r="P55" i="11"/>
  <c r="M75" i="84"/>
  <c r="Q75" i="84" s="1"/>
  <c r="A12" i="20"/>
  <c r="Q102" i="84"/>
  <c r="M46" i="84"/>
  <c r="Q46" i="84" s="1"/>
  <c r="P181" i="64"/>
  <c r="U181" i="64"/>
  <c r="V181" i="64" s="1"/>
  <c r="X181" i="64" s="1"/>
  <c r="T360" i="64"/>
  <c r="R360" i="64"/>
  <c r="T202" i="64"/>
  <c r="Y202" i="64" s="1"/>
  <c r="Z202" i="64" s="1"/>
  <c r="AF202" i="64" s="1"/>
  <c r="R202" i="64"/>
  <c r="R155" i="64"/>
  <c r="U328" i="64"/>
  <c r="V328" i="64" s="1"/>
  <c r="X328" i="64" s="1"/>
  <c r="R289" i="64"/>
  <c r="U27" i="64"/>
  <c r="V27" i="64" s="1"/>
  <c r="X27" i="64" s="1"/>
  <c r="U125" i="64"/>
  <c r="V125" i="64" s="1"/>
  <c r="X125" i="64" s="1"/>
  <c r="U198" i="64"/>
  <c r="V198" i="64" s="1"/>
  <c r="X198" i="64" s="1"/>
  <c r="U232" i="64"/>
  <c r="V232" i="64" s="1"/>
  <c r="X232" i="64" s="1"/>
  <c r="U346" i="64"/>
  <c r="V346" i="64" s="1"/>
  <c r="X346" i="64" s="1"/>
  <c r="U271" i="64"/>
  <c r="V271" i="64" s="1"/>
  <c r="X271" i="64" s="1"/>
  <c r="P128" i="64"/>
  <c r="U85" i="64"/>
  <c r="V85" i="64" s="1"/>
  <c r="X85" i="64" s="1"/>
  <c r="L88" i="7"/>
  <c r="L95" i="7" s="1"/>
  <c r="E87" i="7"/>
  <c r="O49" i="7"/>
  <c r="C50" i="71" s="1"/>
  <c r="G50" i="71" s="1"/>
  <c r="J50" i="71" s="1"/>
  <c r="O85" i="7"/>
  <c r="C86" i="71" s="1"/>
  <c r="G86" i="71" s="1"/>
  <c r="J86" i="71" s="1"/>
  <c r="AB97" i="64"/>
  <c r="AB45" i="64"/>
  <c r="AB255" i="64"/>
  <c r="AB94" i="64"/>
  <c r="AB195" i="64"/>
  <c r="AB170" i="64"/>
  <c r="AB246" i="64"/>
  <c r="AB238" i="64"/>
  <c r="AB314" i="64"/>
  <c r="AB274" i="64"/>
  <c r="AB241" i="64"/>
  <c r="AB324" i="64"/>
  <c r="AB303" i="64"/>
  <c r="AB295" i="64"/>
  <c r="AB47" i="64"/>
  <c r="AB214" i="64"/>
  <c r="AB51" i="64"/>
  <c r="P51" i="64" s="1"/>
  <c r="AB298" i="64"/>
  <c r="P298" i="64" s="1"/>
  <c r="AB151" i="64"/>
  <c r="AB240" i="64"/>
  <c r="P240" i="64" s="1"/>
  <c r="R240" i="64" s="1"/>
  <c r="D34" i="87"/>
  <c r="N160" i="64"/>
  <c r="O160" i="64" s="1"/>
  <c r="L102" i="64"/>
  <c r="B16" i="63"/>
  <c r="K47" i="28"/>
  <c r="Y47" i="28" s="1"/>
  <c r="X46" i="11"/>
  <c r="U226" i="64"/>
  <c r="V226" i="64" s="1"/>
  <c r="X226" i="64" s="1"/>
  <c r="L41" i="28"/>
  <c r="AD40" i="11"/>
  <c r="L50" i="28"/>
  <c r="U50" i="28" s="1"/>
  <c r="AD49" i="11"/>
  <c r="O40" i="64"/>
  <c r="U28" i="64"/>
  <c r="V28" i="64" s="1"/>
  <c r="X28" i="64" s="1"/>
  <c r="AB40" i="64"/>
  <c r="AB39" i="64"/>
  <c r="U51" i="64"/>
  <c r="V51" i="64" s="1"/>
  <c r="X51" i="64" s="1"/>
  <c r="P263" i="64"/>
  <c r="P216" i="64"/>
  <c r="T216" i="64" s="1"/>
  <c r="Y216" i="64" s="1"/>
  <c r="AD40" i="64"/>
  <c r="AD39" i="64"/>
  <c r="L62" i="16"/>
  <c r="I30" i="26"/>
  <c r="I32" i="26" s="1"/>
  <c r="L377" i="64"/>
  <c r="P69" i="64"/>
  <c r="O60" i="7"/>
  <c r="Q60" i="7" s="1"/>
  <c r="S60" i="7" s="1"/>
  <c r="U348" i="64"/>
  <c r="V348" i="64" s="1"/>
  <c r="X348" i="64" s="1"/>
  <c r="P233" i="64"/>
  <c r="P219" i="64"/>
  <c r="P217" i="64"/>
  <c r="R217" i="64" s="1"/>
  <c r="U207" i="64"/>
  <c r="V207" i="64" s="1"/>
  <c r="X207" i="64" s="1"/>
  <c r="U203" i="64"/>
  <c r="V203" i="64" s="1"/>
  <c r="X203" i="64" s="1"/>
  <c r="N40" i="64"/>
  <c r="F20" i="7"/>
  <c r="M20" i="7"/>
  <c r="I20" i="7"/>
  <c r="E20" i="7"/>
  <c r="O18" i="7"/>
  <c r="Q18" i="7" s="1"/>
  <c r="S18" i="7" s="1"/>
  <c r="K20" i="7"/>
  <c r="O59" i="7"/>
  <c r="O91" i="7"/>
  <c r="Q91" i="7" s="1"/>
  <c r="Y38" i="28"/>
  <c r="C20" i="18"/>
  <c r="C22" i="18" s="1"/>
  <c r="T222" i="64"/>
  <c r="R222" i="64"/>
  <c r="T75" i="64"/>
  <c r="R75" i="64"/>
  <c r="U75" i="64" s="1"/>
  <c r="V75" i="64" s="1"/>
  <c r="X75" i="64" s="1"/>
  <c r="Y75" i="64" s="1"/>
  <c r="Z75" i="64" s="1"/>
  <c r="R85" i="64"/>
  <c r="T348" i="64"/>
  <c r="B118" i="84"/>
  <c r="C118" i="84"/>
  <c r="R361" i="64"/>
  <c r="T361" i="64"/>
  <c r="Y361" i="64" s="1"/>
  <c r="Q49" i="7"/>
  <c r="S49" i="7" s="1"/>
  <c r="L145" i="64"/>
  <c r="L147" i="64" s="1"/>
  <c r="B18" i="63"/>
  <c r="P252" i="64"/>
  <c r="T125" i="64"/>
  <c r="R125" i="64"/>
  <c r="P226" i="64"/>
  <c r="U134" i="64"/>
  <c r="V134" i="64" s="1"/>
  <c r="X134" i="64" s="1"/>
  <c r="P134" i="64"/>
  <c r="U29" i="64"/>
  <c r="V29" i="64" s="1"/>
  <c r="X29" i="64" s="1"/>
  <c r="U329" i="64"/>
  <c r="V329" i="64" s="1"/>
  <c r="X329" i="64" s="1"/>
  <c r="U330" i="64"/>
  <c r="V330" i="64" s="1"/>
  <c r="X330" i="64" s="1"/>
  <c r="P330" i="64"/>
  <c r="U316" i="64"/>
  <c r="V316" i="64" s="1"/>
  <c r="X316" i="64" s="1"/>
  <c r="P251" i="64"/>
  <c r="U251" i="64"/>
  <c r="V251" i="64" s="1"/>
  <c r="X251" i="64" s="1"/>
  <c r="R70" i="64"/>
  <c r="U70" i="64" s="1"/>
  <c r="V70" i="64" s="1"/>
  <c r="X70" i="64" s="1"/>
  <c r="P50" i="64"/>
  <c r="P30" i="64"/>
  <c r="U364" i="64"/>
  <c r="V364" i="64" s="1"/>
  <c r="X364" i="64" s="1"/>
  <c r="P364" i="64"/>
  <c r="U258" i="64"/>
  <c r="V258" i="64" s="1"/>
  <c r="X258" i="64" s="1"/>
  <c r="P294" i="64"/>
  <c r="U294" i="64"/>
  <c r="V294" i="64" s="1"/>
  <c r="X294" i="64" s="1"/>
  <c r="O38" i="7"/>
  <c r="F39" i="20" s="1"/>
  <c r="O66" i="7"/>
  <c r="K32" i="28"/>
  <c r="J33" i="11"/>
  <c r="N47" i="28"/>
  <c r="O39" i="40"/>
  <c r="O47" i="7"/>
  <c r="O41" i="7"/>
  <c r="Q41" i="7" s="1"/>
  <c r="S41" i="7" s="1"/>
  <c r="O68" i="7"/>
  <c r="O31" i="7"/>
  <c r="O75" i="7"/>
  <c r="C68" i="71"/>
  <c r="Q67" i="7"/>
  <c r="S67" i="7" s="1"/>
  <c r="T63" i="16"/>
  <c r="K26" i="28"/>
  <c r="X26" i="11"/>
  <c r="G20" i="7"/>
  <c r="O12" i="7"/>
  <c r="C12" i="71" s="1"/>
  <c r="C18" i="71"/>
  <c r="E12" i="21" s="1"/>
  <c r="N20" i="7"/>
  <c r="N88" i="7" s="1"/>
  <c r="N95" i="7" s="1"/>
  <c r="O19" i="7"/>
  <c r="C19" i="71" s="1"/>
  <c r="O93" i="7"/>
  <c r="Q93" i="7" s="1"/>
  <c r="O92" i="7"/>
  <c r="Q92" i="7" s="1"/>
  <c r="AD17" i="11"/>
  <c r="L17" i="28"/>
  <c r="U17" i="28" s="1"/>
  <c r="L26" i="28"/>
  <c r="U26" i="28" s="1"/>
  <c r="AD26" i="11"/>
  <c r="L21" i="28"/>
  <c r="AD22" i="11"/>
  <c r="AD41" i="11"/>
  <c r="L42" i="28"/>
  <c r="K56" i="84"/>
  <c r="L56" i="84"/>
  <c r="P208" i="64"/>
  <c r="P199" i="64"/>
  <c r="P198" i="64"/>
  <c r="P111" i="64"/>
  <c r="T111" i="64" s="1"/>
  <c r="P262" i="64"/>
  <c r="R262" i="64" s="1"/>
  <c r="P357" i="64"/>
  <c r="U249" i="64"/>
  <c r="V249" i="64" s="1"/>
  <c r="X249" i="64" s="1"/>
  <c r="U216" i="64"/>
  <c r="V216" i="64" s="1"/>
  <c r="X216" i="64" s="1"/>
  <c r="X31" i="11"/>
  <c r="G25" i="26"/>
  <c r="O143" i="64"/>
  <c r="O145" i="64" s="1"/>
  <c r="U56" i="64"/>
  <c r="V56" i="64" s="1"/>
  <c r="X56" i="64" s="1"/>
  <c r="P117" i="64"/>
  <c r="F55" i="11"/>
  <c r="J44" i="11"/>
  <c r="M32" i="84"/>
  <c r="Q32" i="84" s="1"/>
  <c r="AD32" i="11"/>
  <c r="L33" i="28"/>
  <c r="V55" i="11"/>
  <c r="O37" i="7"/>
  <c r="C38" i="71" s="1"/>
  <c r="H55" i="11"/>
  <c r="L36" i="28"/>
  <c r="Y44" i="11"/>
  <c r="Y45" i="11" s="1"/>
  <c r="AB45" i="11" s="1"/>
  <c r="AD35" i="11"/>
  <c r="AD52" i="11"/>
  <c r="L53" i="28"/>
  <c r="AD48" i="11"/>
  <c r="L49" i="28"/>
  <c r="L42" i="64"/>
  <c r="B15" i="63"/>
  <c r="P275" i="64"/>
  <c r="U196" i="64"/>
  <c r="V196" i="64" s="1"/>
  <c r="X196" i="64" s="1"/>
  <c r="U353" i="64"/>
  <c r="V353" i="64" s="1"/>
  <c r="X353" i="64" s="1"/>
  <c r="U365" i="64"/>
  <c r="V365" i="64" s="1"/>
  <c r="X365" i="64" s="1"/>
  <c r="P351" i="64"/>
  <c r="P97" i="64"/>
  <c r="P224" i="64"/>
  <c r="U281" i="64"/>
  <c r="V281" i="64" s="1"/>
  <c r="X281" i="64" s="1"/>
  <c r="M14" i="84"/>
  <c r="Q14" i="84" s="1"/>
  <c r="K162" i="40"/>
  <c r="Q332" i="64"/>
  <c r="L39" i="28"/>
  <c r="U39" i="28" s="1"/>
  <c r="D33" i="87"/>
  <c r="D36" i="87" s="1"/>
  <c r="D20" i="87" s="1"/>
  <c r="N155" i="64"/>
  <c r="O155" i="64" s="1"/>
  <c r="Q109" i="64"/>
  <c r="L20" i="28"/>
  <c r="Y29" i="11"/>
  <c r="Y30" i="11" s="1"/>
  <c r="N143" i="64"/>
  <c r="L48" i="28"/>
  <c r="Y53" i="11"/>
  <c r="Y54" i="11" s="1"/>
  <c r="G55" i="11"/>
  <c r="AD31" i="11"/>
  <c r="L32" i="28"/>
  <c r="Y33" i="11"/>
  <c r="X20" i="11"/>
  <c r="O13" i="7"/>
  <c r="C13" i="71" s="1"/>
  <c r="L19" i="77"/>
  <c r="L27" i="77" s="1"/>
  <c r="O21" i="77"/>
  <c r="AD28" i="11"/>
  <c r="L28" i="28"/>
  <c r="AD24" i="11"/>
  <c r="L24" i="28"/>
  <c r="AD43" i="11"/>
  <c r="L44" i="28"/>
  <c r="U44" i="28" s="1"/>
  <c r="AD39" i="11"/>
  <c r="AD36" i="11"/>
  <c r="L163" i="64"/>
  <c r="Q190" i="64"/>
  <c r="L15" i="28"/>
  <c r="Y18" i="11"/>
  <c r="Y19" i="11" s="1"/>
  <c r="O14" i="7"/>
  <c r="C14" i="71" s="1"/>
  <c r="G14" i="71" s="1"/>
  <c r="J14" i="71" s="1"/>
  <c r="AD42" i="11"/>
  <c r="L43" i="28"/>
  <c r="X29" i="28"/>
  <c r="X44" i="28"/>
  <c r="AC44" i="28" s="1"/>
  <c r="X22" i="28"/>
  <c r="Y27" i="28"/>
  <c r="T24" i="28"/>
  <c r="Z24" i="28" s="1"/>
  <c r="X38" i="11"/>
  <c r="X51" i="11"/>
  <c r="X42" i="11"/>
  <c r="X39" i="11"/>
  <c r="K40" i="28"/>
  <c r="T28" i="28"/>
  <c r="Z28" i="28" s="1"/>
  <c r="J53" i="11"/>
  <c r="X23" i="11"/>
  <c r="Y23" i="28" s="1"/>
  <c r="Y52" i="28"/>
  <c r="AD38" i="11"/>
  <c r="X40" i="11"/>
  <c r="K41" i="28"/>
  <c r="N41" i="28" s="1"/>
  <c r="X35" i="11"/>
  <c r="K36" i="28"/>
  <c r="S55" i="11"/>
  <c r="X17" i="11"/>
  <c r="X18" i="11" s="1"/>
  <c r="K17" i="28"/>
  <c r="K18" i="28" s="1"/>
  <c r="X36" i="11"/>
  <c r="K37" i="28"/>
  <c r="N38" i="28" s="1"/>
  <c r="T38" i="28" s="1"/>
  <c r="U38" i="28" s="1"/>
  <c r="H71" i="17"/>
  <c r="L71" i="17" s="1"/>
  <c r="D18" i="77"/>
  <c r="C19" i="77"/>
  <c r="C27" i="77" s="1"/>
  <c r="L15" i="77"/>
  <c r="D19" i="77"/>
  <c r="D27" i="77" s="1"/>
  <c r="H18" i="77"/>
  <c r="L18" i="77"/>
  <c r="M18" i="77"/>
  <c r="L23" i="77"/>
  <c r="B18" i="77"/>
  <c r="F18" i="77"/>
  <c r="J19" i="77"/>
  <c r="J27" i="77" s="1"/>
  <c r="M19" i="77"/>
  <c r="M27" i="77" s="1"/>
  <c r="C21" i="19"/>
  <c r="C28" i="19" s="1"/>
  <c r="B19" i="77"/>
  <c r="B27" i="77" s="1"/>
  <c r="O12" i="77"/>
  <c r="O13" i="77"/>
  <c r="G18" i="77"/>
  <c r="E19" i="77"/>
  <c r="E27" i="77" s="1"/>
  <c r="I19" i="77"/>
  <c r="I27" i="77" s="1"/>
  <c r="F19" i="77"/>
  <c r="F27" i="77" s="1"/>
  <c r="J18" i="77"/>
  <c r="H19" i="77"/>
  <c r="H27" i="77" s="1"/>
  <c r="E15" i="77"/>
  <c r="G19" i="77"/>
  <c r="G27" i="77" s="1"/>
  <c r="B15" i="77"/>
  <c r="M15" i="77"/>
  <c r="I15" i="77"/>
  <c r="E18" i="77"/>
  <c r="I18" i="77"/>
  <c r="C15" i="77"/>
  <c r="O20" i="77"/>
  <c r="F15" i="77"/>
  <c r="C18" i="77"/>
  <c r="K25" i="77"/>
  <c r="I23" i="77"/>
  <c r="F97" i="17"/>
  <c r="F99" i="17" s="1"/>
  <c r="D97" i="17"/>
  <c r="D99" i="17" s="1"/>
  <c r="A5" i="27"/>
  <c r="A5" i="26" s="1"/>
  <c r="A5" i="54" s="1"/>
  <c r="A5" i="87" s="1"/>
  <c r="A5" i="66" s="1"/>
  <c r="A5" i="38" s="1"/>
  <c r="A36" i="38" s="1"/>
  <c r="A83" i="38" s="1"/>
  <c r="X24" i="11"/>
  <c r="P137" i="64"/>
  <c r="T137" i="64" s="1"/>
  <c r="Y137" i="64" s="1"/>
  <c r="Z137" i="64" s="1"/>
  <c r="AF137" i="64" s="1"/>
  <c r="M18" i="84"/>
  <c r="Q18" i="84" s="1"/>
  <c r="M40" i="84"/>
  <c r="Q40" i="84" s="1"/>
  <c r="K84" i="84"/>
  <c r="M105" i="84"/>
  <c r="T23" i="28"/>
  <c r="U23" i="28" s="1"/>
  <c r="P27" i="28"/>
  <c r="T27" i="28" s="1"/>
  <c r="Y51" i="28"/>
  <c r="U25" i="28"/>
  <c r="Y53" i="28"/>
  <c r="K53" i="84"/>
  <c r="M53" i="84" s="1"/>
  <c r="G110" i="84"/>
  <c r="B116" i="84" s="1"/>
  <c r="R216" i="64"/>
  <c r="T217" i="64"/>
  <c r="Y217" i="64" s="1"/>
  <c r="R248" i="64"/>
  <c r="T248" i="64"/>
  <c r="Y248" i="64" s="1"/>
  <c r="R126" i="64"/>
  <c r="T205" i="64"/>
  <c r="R205" i="64"/>
  <c r="T262" i="64"/>
  <c r="Y262" i="64" s="1"/>
  <c r="Q77" i="7"/>
  <c r="S77" i="7" s="1"/>
  <c r="C78" i="71"/>
  <c r="G78" i="71" s="1"/>
  <c r="J78" i="71" s="1"/>
  <c r="C67" i="71"/>
  <c r="Q66" i="7"/>
  <c r="S66" i="7" s="1"/>
  <c r="Y48" i="28"/>
  <c r="N48" i="28"/>
  <c r="C36" i="71"/>
  <c r="Q35" i="7"/>
  <c r="S35" i="7" s="1"/>
  <c r="Q45" i="7"/>
  <c r="S45" i="7" s="1"/>
  <c r="C46" i="71"/>
  <c r="AA12" i="11"/>
  <c r="C12" i="11"/>
  <c r="D87" i="7"/>
  <c r="O23" i="7"/>
  <c r="O27" i="7"/>
  <c r="O33" i="7"/>
  <c r="O44" i="7"/>
  <c r="O52" i="7"/>
  <c r="O54" i="7"/>
  <c r="O55" i="7"/>
  <c r="O56" i="7"/>
  <c r="O57" i="7"/>
  <c r="O58" i="7"/>
  <c r="O62" i="7"/>
  <c r="O65" i="7"/>
  <c r="O69" i="7"/>
  <c r="O72" i="7"/>
  <c r="O73" i="7"/>
  <c r="O76" i="7"/>
  <c r="O79" i="7"/>
  <c r="O80" i="7"/>
  <c r="O81" i="7"/>
  <c r="O84" i="7"/>
  <c r="O86" i="7"/>
  <c r="O83" i="7"/>
  <c r="O55" i="11"/>
  <c r="R55" i="11"/>
  <c r="O355" i="64"/>
  <c r="O367" i="64" s="1"/>
  <c r="N368" i="64"/>
  <c r="P213" i="64"/>
  <c r="U201" i="64"/>
  <c r="V201" i="64" s="1"/>
  <c r="X201" i="64" s="1"/>
  <c r="N176" i="64"/>
  <c r="D20" i="63" s="1"/>
  <c r="O168" i="64"/>
  <c r="O176" i="64" s="1"/>
  <c r="F20" i="63" s="1"/>
  <c r="P157" i="64"/>
  <c r="O25" i="7"/>
  <c r="K68" i="84"/>
  <c r="M66" i="84"/>
  <c r="M68" i="84" s="1"/>
  <c r="Q68" i="84" s="1"/>
  <c r="U275" i="64"/>
  <c r="V275" i="64" s="1"/>
  <c r="X275" i="64" s="1"/>
  <c r="U81" i="64"/>
  <c r="U305" i="64"/>
  <c r="V305" i="64" s="1"/>
  <c r="X305" i="64" s="1"/>
  <c r="P28" i="64"/>
  <c r="U298" i="64"/>
  <c r="V298" i="64" s="1"/>
  <c r="X298" i="64" s="1"/>
  <c r="P106" i="64"/>
  <c r="U224" i="64"/>
  <c r="V224" i="64" s="1"/>
  <c r="X224" i="64" s="1"/>
  <c r="P118" i="64"/>
  <c r="U82" i="64"/>
  <c r="V82" i="64" s="1"/>
  <c r="X82" i="64" s="1"/>
  <c r="Q48" i="7"/>
  <c r="S48" i="7" s="1"/>
  <c r="O39" i="7"/>
  <c r="C72" i="71"/>
  <c r="Q71" i="7"/>
  <c r="S71" i="7" s="1"/>
  <c r="C162" i="40"/>
  <c r="Q51" i="7"/>
  <c r="S51" i="7" s="1"/>
  <c r="C52" i="71"/>
  <c r="G52" i="71" s="1"/>
  <c r="J162" i="40"/>
  <c r="N109" i="64"/>
  <c r="O106" i="64"/>
  <c r="O109" i="64" s="1"/>
  <c r="L49" i="84"/>
  <c r="C87" i="7"/>
  <c r="C20" i="7"/>
  <c r="O15" i="7"/>
  <c r="O32" i="7"/>
  <c r="O29" i="7"/>
  <c r="O30" i="7"/>
  <c r="O42" i="7"/>
  <c r="O61" i="7"/>
  <c r="O82" i="7"/>
  <c r="M87" i="7"/>
  <c r="I87" i="7"/>
  <c r="O78" i="7"/>
  <c r="O70" i="7"/>
  <c r="O36" i="7"/>
  <c r="O46" i="7"/>
  <c r="O163" i="64"/>
  <c r="O332" i="64"/>
  <c r="F87" i="7"/>
  <c r="F88" i="7" s="1"/>
  <c r="F95" i="7" s="1"/>
  <c r="O40" i="7"/>
  <c r="P51" i="28"/>
  <c r="T51" i="28" s="1"/>
  <c r="P47" i="28"/>
  <c r="P36" i="28"/>
  <c r="N332" i="64"/>
  <c r="Q163" i="64"/>
  <c r="N190" i="64"/>
  <c r="O160" i="40"/>
  <c r="O162" i="40" s="1"/>
  <c r="O164" i="40" s="1"/>
  <c r="O167" i="40" s="1"/>
  <c r="Q143" i="64"/>
  <c r="O50" i="7"/>
  <c r="J20" i="7"/>
  <c r="J88" i="7" s="1"/>
  <c r="J95" i="7" s="1"/>
  <c r="AD20" i="11"/>
  <c r="G15" i="77"/>
  <c r="G23" i="77"/>
  <c r="AD15" i="11"/>
  <c r="N367" i="64"/>
  <c r="P53" i="28"/>
  <c r="T53" i="28" s="1"/>
  <c r="P49" i="28"/>
  <c r="P52" i="28"/>
  <c r="T52" i="28" s="1"/>
  <c r="P48" i="28"/>
  <c r="P43" i="28"/>
  <c r="T43" i="28" s="1"/>
  <c r="E55" i="11"/>
  <c r="T42" i="28"/>
  <c r="X25" i="28"/>
  <c r="W25" i="28"/>
  <c r="Z25" i="28"/>
  <c r="V25" i="28"/>
  <c r="X50" i="28"/>
  <c r="Z50" i="28"/>
  <c r="W50" i="28"/>
  <c r="V50" i="28"/>
  <c r="X26" i="28"/>
  <c r="W26" i="28"/>
  <c r="V26" i="28"/>
  <c r="P16" i="28"/>
  <c r="W17" i="28"/>
  <c r="P33" i="28"/>
  <c r="P41" i="28"/>
  <c r="U11" i="28"/>
  <c r="X22" i="11"/>
  <c r="J29" i="11"/>
  <c r="J55" i="11" s="1"/>
  <c r="C68" i="11" s="1"/>
  <c r="C70" i="11" s="1"/>
  <c r="Y11" i="28"/>
  <c r="Y13" i="28" s="1"/>
  <c r="M35" i="27"/>
  <c r="E35" i="27"/>
  <c r="J67" i="16"/>
  <c r="T67" i="16" s="1"/>
  <c r="I35" i="27"/>
  <c r="N28" i="27"/>
  <c r="K35" i="27"/>
  <c r="M72" i="84"/>
  <c r="P72" i="84" s="1"/>
  <c r="R84" i="84" s="1"/>
  <c r="O37" i="84"/>
  <c r="M35" i="84"/>
  <c r="O35" i="84" s="1"/>
  <c r="M82" i="84"/>
  <c r="Q82" i="84" s="1"/>
  <c r="M11" i="84"/>
  <c r="Q11" i="84" s="1"/>
  <c r="M51" i="84"/>
  <c r="Q63" i="84"/>
  <c r="C114" i="84"/>
  <c r="B117" i="84"/>
  <c r="C117" i="84"/>
  <c r="M93" i="84"/>
  <c r="Q93" i="84" s="1"/>
  <c r="L52" i="84"/>
  <c r="M52" i="84" s="1"/>
  <c r="L68" i="84"/>
  <c r="F110" i="84"/>
  <c r="K49" i="84"/>
  <c r="C116" i="84"/>
  <c r="Q27" i="84"/>
  <c r="Y125" i="64" l="1"/>
  <c r="Z125" i="64" s="1"/>
  <c r="U341" i="64"/>
  <c r="V341" i="64" s="1"/>
  <c r="X341" i="64" s="1"/>
  <c r="U311" i="64"/>
  <c r="V311" i="64" s="1"/>
  <c r="X311" i="64" s="1"/>
  <c r="P161" i="64"/>
  <c r="R278" i="64"/>
  <c r="T278" i="64"/>
  <c r="Y278" i="64" s="1"/>
  <c r="Z278" i="64" s="1"/>
  <c r="AF278" i="64" s="1"/>
  <c r="U220" i="64"/>
  <c r="V220" i="64" s="1"/>
  <c r="X220" i="64" s="1"/>
  <c r="U319" i="64"/>
  <c r="V319" i="64" s="1"/>
  <c r="X319" i="64" s="1"/>
  <c r="U21" i="64"/>
  <c r="V21" i="64" s="1"/>
  <c r="X21" i="64" s="1"/>
  <c r="P184" i="64"/>
  <c r="U286" i="64"/>
  <c r="V286" i="64" s="1"/>
  <c r="X286" i="64" s="1"/>
  <c r="U128" i="64"/>
  <c r="V128" i="64" s="1"/>
  <c r="X128" i="64" s="1"/>
  <c r="P60" i="64"/>
  <c r="P82" i="64"/>
  <c r="R82" i="64" s="1"/>
  <c r="P225" i="64"/>
  <c r="P271" i="64"/>
  <c r="P45" i="64"/>
  <c r="P344" i="64"/>
  <c r="U172" i="64"/>
  <c r="V172" i="64" s="1"/>
  <c r="X172" i="64" s="1"/>
  <c r="U260" i="64"/>
  <c r="V260" i="64" s="1"/>
  <c r="X260" i="64" s="1"/>
  <c r="P68" i="64"/>
  <c r="U106" i="64"/>
  <c r="V106" i="64" s="1"/>
  <c r="X106" i="64" s="1"/>
  <c r="T64" i="64"/>
  <c r="P59" i="64"/>
  <c r="U156" i="64"/>
  <c r="V156" i="64" s="1"/>
  <c r="X156" i="64" s="1"/>
  <c r="U159" i="64"/>
  <c r="V159" i="64" s="1"/>
  <c r="X159" i="64" s="1"/>
  <c r="P243" i="64"/>
  <c r="U321" i="64"/>
  <c r="V321" i="64" s="1"/>
  <c r="X321" i="64" s="1"/>
  <c r="U345" i="64"/>
  <c r="V345" i="64" s="1"/>
  <c r="X345" i="64" s="1"/>
  <c r="U273" i="64"/>
  <c r="V273" i="64" s="1"/>
  <c r="X273" i="64" s="1"/>
  <c r="U157" i="64"/>
  <c r="V157" i="64" s="1"/>
  <c r="X157" i="64" s="1"/>
  <c r="U24" i="64"/>
  <c r="V24" i="64" s="1"/>
  <c r="X24" i="64" s="1"/>
  <c r="U161" i="64"/>
  <c r="V161" i="64" s="1"/>
  <c r="X161" i="64" s="1"/>
  <c r="U230" i="64"/>
  <c r="V230" i="64" s="1"/>
  <c r="X230" i="64" s="1"/>
  <c r="P318" i="64"/>
  <c r="U322" i="64"/>
  <c r="V322" i="64" s="1"/>
  <c r="X322" i="64" s="1"/>
  <c r="T209" i="64"/>
  <c r="R209" i="64"/>
  <c r="P154" i="64"/>
  <c r="L34" i="28"/>
  <c r="P342" i="64"/>
  <c r="P124" i="64"/>
  <c r="R319" i="64"/>
  <c r="P172" i="64"/>
  <c r="R235" i="64"/>
  <c r="P311" i="64"/>
  <c r="P77" i="64"/>
  <c r="U84" i="64"/>
  <c r="V84" i="64" s="1"/>
  <c r="X84" i="64" s="1"/>
  <c r="T353" i="64"/>
  <c r="U290" i="64"/>
  <c r="V290" i="64" s="1"/>
  <c r="X290" i="64" s="1"/>
  <c r="U18" i="64"/>
  <c r="V18" i="64" s="1"/>
  <c r="X18" i="64" s="1"/>
  <c r="P62" i="64"/>
  <c r="P249" i="64"/>
  <c r="U318" i="64"/>
  <c r="V318" i="64" s="1"/>
  <c r="X318" i="64" s="1"/>
  <c r="P297" i="64"/>
  <c r="U32" i="64"/>
  <c r="V32" i="64" s="1"/>
  <c r="X32" i="64" s="1"/>
  <c r="U237" i="64"/>
  <c r="V237" i="64" s="1"/>
  <c r="X237" i="64" s="1"/>
  <c r="U158" i="64"/>
  <c r="V158" i="64" s="1"/>
  <c r="X158" i="64" s="1"/>
  <c r="P24" i="64"/>
  <c r="P173" i="64"/>
  <c r="P215" i="64"/>
  <c r="R215" i="64" s="1"/>
  <c r="U289" i="64"/>
  <c r="V289" i="64" s="1"/>
  <c r="X289" i="64" s="1"/>
  <c r="P160" i="64"/>
  <c r="T160" i="64" s="1"/>
  <c r="U45" i="64"/>
  <c r="V45" i="64" s="1"/>
  <c r="X45" i="64" s="1"/>
  <c r="P301" i="64"/>
  <c r="P25" i="64"/>
  <c r="Y247" i="64"/>
  <c r="U254" i="64"/>
  <c r="V254" i="64" s="1"/>
  <c r="X254" i="64" s="1"/>
  <c r="P296" i="64"/>
  <c r="U288" i="64"/>
  <c r="V288" i="64" s="1"/>
  <c r="X288" i="64" s="1"/>
  <c r="P322" i="64"/>
  <c r="P258" i="64"/>
  <c r="U95" i="64"/>
  <c r="V95" i="64" s="1"/>
  <c r="X95" i="64" s="1"/>
  <c r="P140" i="64"/>
  <c r="P281" i="64"/>
  <c r="P138" i="64"/>
  <c r="U213" i="64"/>
  <c r="V213" i="64" s="1"/>
  <c r="X213" i="64" s="1"/>
  <c r="P260" i="64"/>
  <c r="U325" i="64"/>
  <c r="V325" i="64" s="1"/>
  <c r="X325" i="64" s="1"/>
  <c r="P227" i="64"/>
  <c r="P244" i="64"/>
  <c r="P33" i="64"/>
  <c r="U344" i="64"/>
  <c r="V344" i="64" s="1"/>
  <c r="X344" i="64" s="1"/>
  <c r="P230" i="64"/>
  <c r="R230" i="64" s="1"/>
  <c r="U131" i="64"/>
  <c r="V131" i="64" s="1"/>
  <c r="X131" i="64" s="1"/>
  <c r="U225" i="64"/>
  <c r="V225" i="64" s="1"/>
  <c r="X225" i="64" s="1"/>
  <c r="R183" i="64"/>
  <c r="U183" i="64" s="1"/>
  <c r="U93" i="64"/>
  <c r="V93" i="64" s="1"/>
  <c r="X93" i="64" s="1"/>
  <c r="P347" i="64"/>
  <c r="U314" i="64"/>
  <c r="V314" i="64" s="1"/>
  <c r="X314" i="64" s="1"/>
  <c r="P293" i="64"/>
  <c r="N102" i="64"/>
  <c r="P20" i="64"/>
  <c r="P277" i="64"/>
  <c r="U22" i="64"/>
  <c r="V22" i="64" s="1"/>
  <c r="X22" i="64" s="1"/>
  <c r="P49" i="64"/>
  <c r="P257" i="64"/>
  <c r="U200" i="64"/>
  <c r="V200" i="64" s="1"/>
  <c r="X200" i="64" s="1"/>
  <c r="U212" i="64"/>
  <c r="V212" i="64" s="1"/>
  <c r="X212" i="64" s="1"/>
  <c r="P81" i="64"/>
  <c r="P130" i="64"/>
  <c r="U229" i="64"/>
  <c r="V229" i="64" s="1"/>
  <c r="X229" i="64" s="1"/>
  <c r="U266" i="64"/>
  <c r="V266" i="64" s="1"/>
  <c r="X266" i="64" s="1"/>
  <c r="P341" i="64"/>
  <c r="T215" i="64"/>
  <c r="P358" i="64"/>
  <c r="P264" i="64"/>
  <c r="T87" i="64"/>
  <c r="Y87" i="64" s="1"/>
  <c r="R87" i="64"/>
  <c r="T250" i="64"/>
  <c r="Y250" i="64" s="1"/>
  <c r="Z250" i="64" s="1"/>
  <c r="AF250" i="64" s="1"/>
  <c r="U53" i="64"/>
  <c r="V53" i="64" s="1"/>
  <c r="X53" i="64" s="1"/>
  <c r="AC11" i="11"/>
  <c r="L110" i="84"/>
  <c r="R160" i="64"/>
  <c r="Y56" i="64"/>
  <c r="P95" i="64"/>
  <c r="U121" i="64"/>
  <c r="V121" i="64" s="1"/>
  <c r="X121" i="64" s="1"/>
  <c r="U208" i="64"/>
  <c r="V208" i="64" s="1"/>
  <c r="X208" i="64" s="1"/>
  <c r="U107" i="64"/>
  <c r="V107" i="64" s="1"/>
  <c r="X107" i="64" s="1"/>
  <c r="X109" i="64" s="1"/>
  <c r="P139" i="64"/>
  <c r="U304" i="64"/>
  <c r="V304" i="64" s="1"/>
  <c r="X304" i="64" s="1"/>
  <c r="U171" i="64"/>
  <c r="V171" i="64" s="1"/>
  <c r="X171" i="64" s="1"/>
  <c r="U285" i="64"/>
  <c r="V285" i="64" s="1"/>
  <c r="X285" i="64" s="1"/>
  <c r="P300" i="64"/>
  <c r="U89" i="64"/>
  <c r="V89" i="64" s="1"/>
  <c r="X89" i="64" s="1"/>
  <c r="P96" i="64"/>
  <c r="P83" i="64"/>
  <c r="T83" i="64" s="1"/>
  <c r="U152" i="64"/>
  <c r="V152" i="64" s="1"/>
  <c r="X152" i="64" s="1"/>
  <c r="U88" i="64"/>
  <c r="V88" i="64" s="1"/>
  <c r="X88" i="64" s="1"/>
  <c r="P306" i="64"/>
  <c r="P86" i="64"/>
  <c r="R61" i="64"/>
  <c r="U61" i="64" s="1"/>
  <c r="V61" i="64" s="1"/>
  <c r="X61" i="64" s="1"/>
  <c r="T61" i="64"/>
  <c r="T185" i="64"/>
  <c r="R185" i="64"/>
  <c r="U185" i="64" s="1"/>
  <c r="V185" i="64" s="1"/>
  <c r="X185" i="64" s="1"/>
  <c r="R243" i="64"/>
  <c r="T243" i="64"/>
  <c r="Y243" i="64" s="1"/>
  <c r="Z243" i="64" s="1"/>
  <c r="AF243" i="64" s="1"/>
  <c r="X53" i="11"/>
  <c r="P37" i="64"/>
  <c r="T37" i="64" s="1"/>
  <c r="Y37" i="64" s="1"/>
  <c r="Z37" i="64" s="1"/>
  <c r="AF37" i="64" s="1"/>
  <c r="P283" i="64"/>
  <c r="T283" i="64" s="1"/>
  <c r="Y283" i="64" s="1"/>
  <c r="Z283" i="64" s="1"/>
  <c r="AF283" i="64" s="1"/>
  <c r="P107" i="64"/>
  <c r="P78" i="64"/>
  <c r="P285" i="64"/>
  <c r="R285" i="64" s="1"/>
  <c r="P323" i="64"/>
  <c r="P89" i="64"/>
  <c r="P91" i="64"/>
  <c r="Y209" i="64"/>
  <c r="Z209" i="64" s="1"/>
  <c r="AF209" i="64" s="1"/>
  <c r="P133" i="64"/>
  <c r="P158" i="64"/>
  <c r="P282" i="64"/>
  <c r="C64" i="71"/>
  <c r="T240" i="64"/>
  <c r="R56" i="64"/>
  <c r="T168" i="64"/>
  <c r="G12" i="21"/>
  <c r="B19" i="20" s="1"/>
  <c r="H19" i="20" s="1"/>
  <c r="F12" i="21"/>
  <c r="U261" i="64"/>
  <c r="V261" i="64" s="1"/>
  <c r="X261" i="64" s="1"/>
  <c r="M88" i="7"/>
  <c r="M95" i="7" s="1"/>
  <c r="F18" i="63"/>
  <c r="Q85" i="7"/>
  <c r="S85" i="7" s="1"/>
  <c r="U264" i="64"/>
  <c r="V264" i="64" s="1"/>
  <c r="X264" i="64" s="1"/>
  <c r="Q64" i="7"/>
  <c r="S64" i="7" s="1"/>
  <c r="U300" i="64"/>
  <c r="V300" i="64" s="1"/>
  <c r="X300" i="64" s="1"/>
  <c r="C35" i="71"/>
  <c r="G35" i="71" s="1"/>
  <c r="J35" i="71" s="1"/>
  <c r="U358" i="64"/>
  <c r="V358" i="64" s="1"/>
  <c r="X358" i="64" s="1"/>
  <c r="U92" i="64"/>
  <c r="V92" i="64" s="1"/>
  <c r="X92" i="64" s="1"/>
  <c r="C61" i="71"/>
  <c r="U139" i="64"/>
  <c r="V139" i="64" s="1"/>
  <c r="X139" i="64" s="1"/>
  <c r="P286" i="64"/>
  <c r="R286" i="64" s="1"/>
  <c r="P359" i="64"/>
  <c r="T359" i="64" s="1"/>
  <c r="Y359" i="64" s="1"/>
  <c r="Z359" i="64" s="1"/>
  <c r="AF359" i="64" s="1"/>
  <c r="R17" i="64"/>
  <c r="T212" i="64"/>
  <c r="P88" i="64"/>
  <c r="R88" i="64" s="1"/>
  <c r="U96" i="64"/>
  <c r="V96" i="64" s="1"/>
  <c r="X96" i="64" s="1"/>
  <c r="P156" i="64"/>
  <c r="U33" i="64"/>
  <c r="V33" i="64" s="1"/>
  <c r="X33" i="64" s="1"/>
  <c r="P135" i="64"/>
  <c r="Y215" i="64"/>
  <c r="U126" i="64"/>
  <c r="V126" i="64" s="1"/>
  <c r="X126" i="64" s="1"/>
  <c r="AF125" i="64"/>
  <c r="T230" i="64"/>
  <c r="Y230" i="64" s="1"/>
  <c r="P266" i="64"/>
  <c r="T266" i="64" s="1"/>
  <c r="Y266" i="64" s="1"/>
  <c r="Z266" i="64" s="1"/>
  <c r="AF266" i="64" s="1"/>
  <c r="U42" i="28"/>
  <c r="U240" i="64"/>
  <c r="V240" i="64" s="1"/>
  <c r="X240" i="64" s="1"/>
  <c r="Q53" i="7"/>
  <c r="S53" i="7" s="1"/>
  <c r="D88" i="7"/>
  <c r="D95" i="7" s="1"/>
  <c r="P356" i="64"/>
  <c r="U349" i="64"/>
  <c r="V349" i="64" s="1"/>
  <c r="X349" i="64" s="1"/>
  <c r="Y349" i="64" s="1"/>
  <c r="G88" i="7"/>
  <c r="G95" i="7" s="1"/>
  <c r="U34" i="64"/>
  <c r="V34" i="64" s="1"/>
  <c r="X34" i="64" s="1"/>
  <c r="R200" i="64"/>
  <c r="U83" i="64"/>
  <c r="V83" i="64" s="1"/>
  <c r="X83" i="64" s="1"/>
  <c r="P152" i="64"/>
  <c r="U138" i="64"/>
  <c r="V138" i="64" s="1"/>
  <c r="X138" i="64" s="1"/>
  <c r="A26" i="66"/>
  <c r="A5" i="49"/>
  <c r="A5" i="79" s="1"/>
  <c r="A5" i="80" s="1"/>
  <c r="A5" i="82" s="1"/>
  <c r="A5" i="84" s="1"/>
  <c r="A5" i="77" s="1"/>
  <c r="A5" i="86" s="1"/>
  <c r="T92" i="64"/>
  <c r="R92" i="64"/>
  <c r="Q74" i="7"/>
  <c r="S74" i="7" s="1"/>
  <c r="C75" i="71"/>
  <c r="F75" i="16" s="1"/>
  <c r="T75" i="16" s="1"/>
  <c r="E75" i="71" s="1"/>
  <c r="G75" i="71" s="1"/>
  <c r="J75" i="71" s="1"/>
  <c r="R21" i="64"/>
  <c r="T21" i="64"/>
  <c r="Y21" i="64" s="1"/>
  <c r="Z21" i="64" s="1"/>
  <c r="AF21" i="64" s="1"/>
  <c r="R161" i="64"/>
  <c r="T161" i="64"/>
  <c r="Y161" i="64" s="1"/>
  <c r="Y348" i="64"/>
  <c r="Z348" i="64" s="1"/>
  <c r="AF348" i="64" s="1"/>
  <c r="K88" i="7"/>
  <c r="K95" i="7" s="1"/>
  <c r="P169" i="64"/>
  <c r="R169" i="64" s="1"/>
  <c r="R340" i="64"/>
  <c r="T340" i="64"/>
  <c r="Y340" i="64" s="1"/>
  <c r="Z340" i="64" s="1"/>
  <c r="AF340" i="64" s="1"/>
  <c r="T68" i="64"/>
  <c r="R68" i="64"/>
  <c r="U68" i="64" s="1"/>
  <c r="V68" i="64" s="1"/>
  <c r="X68" i="64" s="1"/>
  <c r="U130" i="64"/>
  <c r="V130" i="64" s="1"/>
  <c r="X130" i="64" s="1"/>
  <c r="T281" i="64"/>
  <c r="Y281" i="64" s="1"/>
  <c r="Z281" i="64" s="1"/>
  <c r="AF281" i="64" s="1"/>
  <c r="R281" i="64"/>
  <c r="T59" i="64"/>
  <c r="R59" i="64"/>
  <c r="U59" i="64" s="1"/>
  <c r="V59" i="64" s="1"/>
  <c r="X59" i="64" s="1"/>
  <c r="T88" i="64"/>
  <c r="R283" i="64"/>
  <c r="U256" i="64"/>
  <c r="V256" i="64" s="1"/>
  <c r="X256" i="64" s="1"/>
  <c r="P256" i="64"/>
  <c r="R256" i="64" s="1"/>
  <c r="R98" i="64"/>
  <c r="T98" i="64"/>
  <c r="R133" i="64"/>
  <c r="T133" i="64"/>
  <c r="Y133" i="64" s="1"/>
  <c r="Z133" i="64" s="1"/>
  <c r="AF133" i="64" s="1"/>
  <c r="I88" i="7"/>
  <c r="I95" i="7" s="1"/>
  <c r="T82" i="64"/>
  <c r="G65" i="71"/>
  <c r="J65" i="71" s="1"/>
  <c r="Y319" i="64"/>
  <c r="Z319" i="64" s="1"/>
  <c r="T55" i="64"/>
  <c r="R55" i="64"/>
  <c r="R90" i="64"/>
  <c r="T90" i="64"/>
  <c r="Y90" i="64" s="1"/>
  <c r="Z90" i="64" s="1"/>
  <c r="AF90" i="64" s="1"/>
  <c r="R271" i="64"/>
  <c r="T271" i="64"/>
  <c r="Y271" i="64" s="1"/>
  <c r="Z271" i="64" s="1"/>
  <c r="AF271" i="64" s="1"/>
  <c r="T53" i="64"/>
  <c r="Y53" i="64" s="1"/>
  <c r="R53" i="64"/>
  <c r="R138" i="64"/>
  <c r="T138" i="64"/>
  <c r="R329" i="64"/>
  <c r="T329" i="64"/>
  <c r="Y329" i="64" s="1"/>
  <c r="Z329" i="64" s="1"/>
  <c r="AF329" i="64" s="1"/>
  <c r="T244" i="64"/>
  <c r="R244" i="64"/>
  <c r="R33" i="64"/>
  <c r="T33" i="64"/>
  <c r="Y33" i="64" s="1"/>
  <c r="Z33" i="64" s="1"/>
  <c r="AF33" i="64" s="1"/>
  <c r="R96" i="64"/>
  <c r="T96" i="64"/>
  <c r="Y96" i="64" s="1"/>
  <c r="Z96" i="64" s="1"/>
  <c r="AF96" i="64" s="1"/>
  <c r="T156" i="64"/>
  <c r="Y156" i="64" s="1"/>
  <c r="Z156" i="64" s="1"/>
  <c r="AF156" i="64" s="1"/>
  <c r="R156" i="64"/>
  <c r="R91" i="64"/>
  <c r="T91" i="64"/>
  <c r="Y91" i="64" s="1"/>
  <c r="Z91" i="64" s="1"/>
  <c r="AF91" i="64" s="1"/>
  <c r="R86" i="64"/>
  <c r="T86" i="64"/>
  <c r="Y86" i="64" s="1"/>
  <c r="Z86" i="64" s="1"/>
  <c r="AF86" i="64" s="1"/>
  <c r="Z247" i="64"/>
  <c r="AF247" i="64" s="1"/>
  <c r="T93" i="64"/>
  <c r="R93" i="64"/>
  <c r="R84" i="64"/>
  <c r="T84" i="64"/>
  <c r="Y84" i="64" s="1"/>
  <c r="Z84" i="64" s="1"/>
  <c r="AF84" i="64" s="1"/>
  <c r="T141" i="64"/>
  <c r="R141" i="64"/>
  <c r="T95" i="64"/>
  <c r="Y95" i="64" s="1"/>
  <c r="Z95" i="64" s="1"/>
  <c r="AF95" i="64" s="1"/>
  <c r="R95" i="64"/>
  <c r="Y54" i="28"/>
  <c r="T305" i="64"/>
  <c r="R305" i="64"/>
  <c r="R37" i="64"/>
  <c r="T60" i="64"/>
  <c r="R60" i="64"/>
  <c r="U60" i="64" s="1"/>
  <c r="V60" i="64" s="1"/>
  <c r="X60" i="64" s="1"/>
  <c r="P315" i="64"/>
  <c r="U315" i="64"/>
  <c r="V315" i="64" s="1"/>
  <c r="X315" i="64" s="1"/>
  <c r="P223" i="64"/>
  <c r="U223" i="64"/>
  <c r="V223" i="64" s="1"/>
  <c r="X223" i="64" s="1"/>
  <c r="P76" i="64"/>
  <c r="P299" i="64"/>
  <c r="U299" i="64"/>
  <c r="V299" i="64" s="1"/>
  <c r="X299" i="64" s="1"/>
  <c r="R261" i="64"/>
  <c r="T261" i="64"/>
  <c r="Y261" i="64" s="1"/>
  <c r="Z261" i="64" s="1"/>
  <c r="AF261" i="64" s="1"/>
  <c r="U363" i="64"/>
  <c r="V363" i="64" s="1"/>
  <c r="X363" i="64" s="1"/>
  <c r="P363" i="64"/>
  <c r="T120" i="64"/>
  <c r="R120" i="64"/>
  <c r="U120" i="64" s="1"/>
  <c r="V120" i="64" s="1"/>
  <c r="X120" i="64" s="1"/>
  <c r="Y120" i="64" s="1"/>
  <c r="Z120" i="64" s="1"/>
  <c r="AF120" i="64" s="1"/>
  <c r="Y200" i="64"/>
  <c r="Z200" i="64" s="1"/>
  <c r="AF200" i="64" s="1"/>
  <c r="Y212" i="64"/>
  <c r="U179" i="64"/>
  <c r="V179" i="64" s="1"/>
  <c r="X179" i="64" s="1"/>
  <c r="P179" i="64"/>
  <c r="P197" i="64"/>
  <c r="U197" i="64"/>
  <c r="V197" i="64" s="1"/>
  <c r="X197" i="64" s="1"/>
  <c r="R72" i="64"/>
  <c r="U72" i="64" s="1"/>
  <c r="V72" i="64" s="1"/>
  <c r="X72" i="64" s="1"/>
  <c r="T72" i="64"/>
  <c r="P116" i="64"/>
  <c r="U116" i="64"/>
  <c r="V116" i="64" s="1"/>
  <c r="X116" i="64" s="1"/>
  <c r="U327" i="64"/>
  <c r="V327" i="64" s="1"/>
  <c r="X327" i="64" s="1"/>
  <c r="P327" i="64"/>
  <c r="U182" i="64"/>
  <c r="V182" i="64" s="1"/>
  <c r="X182" i="64" s="1"/>
  <c r="P182" i="64"/>
  <c r="U320" i="64"/>
  <c r="V320" i="64" s="1"/>
  <c r="X320" i="64" s="1"/>
  <c r="P320" i="64"/>
  <c r="R34" i="64"/>
  <c r="T34" i="64"/>
  <c r="Y34" i="64" s="1"/>
  <c r="Z34" i="64" s="1"/>
  <c r="AF34" i="64" s="1"/>
  <c r="U132" i="64"/>
  <c r="V132" i="64" s="1"/>
  <c r="X132" i="64" s="1"/>
  <c r="P132" i="64"/>
  <c r="U188" i="64"/>
  <c r="V188" i="64" s="1"/>
  <c r="X188" i="64" s="1"/>
  <c r="P188" i="64"/>
  <c r="U354" i="64"/>
  <c r="V354" i="64" s="1"/>
  <c r="X354" i="64" s="1"/>
  <c r="P354" i="64"/>
  <c r="P204" i="64"/>
  <c r="U204" i="64"/>
  <c r="V204" i="64" s="1"/>
  <c r="X204" i="64" s="1"/>
  <c r="U218" i="64"/>
  <c r="V218" i="64" s="1"/>
  <c r="X218" i="64" s="1"/>
  <c r="P218" i="64"/>
  <c r="P339" i="64"/>
  <c r="U339" i="64"/>
  <c r="V339" i="64" s="1"/>
  <c r="X339" i="64" s="1"/>
  <c r="P326" i="64"/>
  <c r="U326" i="64"/>
  <c r="V326" i="64" s="1"/>
  <c r="X326" i="64" s="1"/>
  <c r="P362" i="64"/>
  <c r="U236" i="64"/>
  <c r="V236" i="64" s="1"/>
  <c r="X236" i="64" s="1"/>
  <c r="P236" i="64"/>
  <c r="R236" i="64" s="1"/>
  <c r="U265" i="64"/>
  <c r="V265" i="64" s="1"/>
  <c r="X265" i="64" s="1"/>
  <c r="P265" i="64"/>
  <c r="U307" i="64"/>
  <c r="V307" i="64" s="1"/>
  <c r="X307" i="64" s="1"/>
  <c r="P307" i="64"/>
  <c r="U279" i="64"/>
  <c r="V279" i="64" s="1"/>
  <c r="X279" i="64" s="1"/>
  <c r="P279" i="64"/>
  <c r="U54" i="64"/>
  <c r="V54" i="64" s="1"/>
  <c r="X54" i="64" s="1"/>
  <c r="P54" i="64"/>
  <c r="U267" i="64"/>
  <c r="V267" i="64" s="1"/>
  <c r="X267" i="64" s="1"/>
  <c r="P267" i="64"/>
  <c r="T267" i="64" s="1"/>
  <c r="T73" i="64"/>
  <c r="R73" i="64"/>
  <c r="U73" i="64" s="1"/>
  <c r="V73" i="64" s="1"/>
  <c r="X73" i="64" s="1"/>
  <c r="U231" i="64"/>
  <c r="V231" i="64" s="1"/>
  <c r="X231" i="64" s="1"/>
  <c r="P231" i="64"/>
  <c r="T322" i="64"/>
  <c r="R322" i="64"/>
  <c r="U362" i="64"/>
  <c r="V362" i="64" s="1"/>
  <c r="X362" i="64" s="1"/>
  <c r="P229" i="64"/>
  <c r="P239" i="64"/>
  <c r="R239" i="64" s="1"/>
  <c r="Y235" i="64"/>
  <c r="Z235" i="64" s="1"/>
  <c r="AF235" i="64" s="1"/>
  <c r="U244" i="64"/>
  <c r="V244" i="64" s="1"/>
  <c r="X244" i="64" s="1"/>
  <c r="H88" i="7"/>
  <c r="H95" i="7" s="1"/>
  <c r="U360" i="64"/>
  <c r="V360" i="64" s="1"/>
  <c r="X360" i="64" s="1"/>
  <c r="Y360" i="64" s="1"/>
  <c r="T203" i="64"/>
  <c r="Y203" i="64" s="1"/>
  <c r="Z203" i="64" s="1"/>
  <c r="R264" i="64"/>
  <c r="T264" i="64"/>
  <c r="T159" i="64"/>
  <c r="Y159" i="64" s="1"/>
  <c r="Z159" i="64" s="1"/>
  <c r="AF159" i="64" s="1"/>
  <c r="R159" i="64"/>
  <c r="R49" i="64"/>
  <c r="T49" i="64"/>
  <c r="Y49" i="64" s="1"/>
  <c r="T27" i="64"/>
  <c r="Y27" i="64" s="1"/>
  <c r="Z27" i="64" s="1"/>
  <c r="AF27" i="64" s="1"/>
  <c r="R27" i="64"/>
  <c r="R67" i="64"/>
  <c r="U67" i="64" s="1"/>
  <c r="V67" i="64" s="1"/>
  <c r="X67" i="64" s="1"/>
  <c r="T67" i="64"/>
  <c r="R107" i="64"/>
  <c r="T107" i="64"/>
  <c r="P129" i="64"/>
  <c r="U129" i="64"/>
  <c r="V129" i="64" s="1"/>
  <c r="X129" i="64" s="1"/>
  <c r="P127" i="64"/>
  <c r="U127" i="64"/>
  <c r="V127" i="64" s="1"/>
  <c r="X127" i="64" s="1"/>
  <c r="R290" i="64"/>
  <c r="T290" i="64"/>
  <c r="Y290" i="64" s="1"/>
  <c r="Z290" i="64" s="1"/>
  <c r="AF290" i="64" s="1"/>
  <c r="P26" i="64"/>
  <c r="U26" i="64"/>
  <c r="V26" i="64" s="1"/>
  <c r="X26" i="64" s="1"/>
  <c r="T18" i="64"/>
  <c r="Y18" i="64" s="1"/>
  <c r="Z18" i="64" s="1"/>
  <c r="AF18" i="64" s="1"/>
  <c r="R18" i="64"/>
  <c r="P136" i="64"/>
  <c r="U136" i="64"/>
  <c r="V136" i="64" s="1"/>
  <c r="X136" i="64" s="1"/>
  <c r="P312" i="64"/>
  <c r="U312" i="64"/>
  <c r="V312" i="64" s="1"/>
  <c r="X312" i="64" s="1"/>
  <c r="P350" i="64"/>
  <c r="U350" i="64"/>
  <c r="V350" i="64" s="1"/>
  <c r="X350" i="64" s="1"/>
  <c r="R323" i="64"/>
  <c r="T323" i="64"/>
  <c r="R22" i="64"/>
  <c r="T22" i="64"/>
  <c r="Y22" i="64" s="1"/>
  <c r="Z22" i="64" s="1"/>
  <c r="AF22" i="64" s="1"/>
  <c r="P272" i="64"/>
  <c r="U272" i="64"/>
  <c r="V272" i="64" s="1"/>
  <c r="X272" i="64" s="1"/>
  <c r="P302" i="64"/>
  <c r="U302" i="64"/>
  <c r="V302" i="64" s="1"/>
  <c r="X302" i="64" s="1"/>
  <c r="R186" i="64"/>
  <c r="U186" i="64" s="1"/>
  <c r="V186" i="64" s="1"/>
  <c r="X186" i="64" s="1"/>
  <c r="T186" i="64"/>
  <c r="P308" i="64"/>
  <c r="U308" i="64"/>
  <c r="V308" i="64" s="1"/>
  <c r="X308" i="64" s="1"/>
  <c r="R89" i="64"/>
  <c r="T89" i="64"/>
  <c r="Y89" i="64" s="1"/>
  <c r="Z89" i="64" s="1"/>
  <c r="AF89" i="64" s="1"/>
  <c r="P31" i="64"/>
  <c r="U31" i="64"/>
  <c r="V31" i="64" s="1"/>
  <c r="X31" i="64" s="1"/>
  <c r="R254" i="64"/>
  <c r="T254" i="64"/>
  <c r="Y254" i="64" s="1"/>
  <c r="Z254" i="64" s="1"/>
  <c r="AF254" i="64" s="1"/>
  <c r="U48" i="64"/>
  <c r="V48" i="64" s="1"/>
  <c r="X48" i="64" s="1"/>
  <c r="P48" i="64"/>
  <c r="P206" i="64"/>
  <c r="U206" i="64"/>
  <c r="V206" i="64" s="1"/>
  <c r="X206" i="64" s="1"/>
  <c r="R338" i="64"/>
  <c r="T338" i="64"/>
  <c r="Y338" i="64" s="1"/>
  <c r="Z338" i="64" s="1"/>
  <c r="R288" i="64"/>
  <c r="T288" i="64"/>
  <c r="Y288" i="64" s="1"/>
  <c r="Z288" i="64" s="1"/>
  <c r="AF288" i="64" s="1"/>
  <c r="U268" i="64"/>
  <c r="V268" i="64" s="1"/>
  <c r="X268" i="64" s="1"/>
  <c r="P268" i="64"/>
  <c r="U221" i="64"/>
  <c r="V221" i="64" s="1"/>
  <c r="X221" i="64" s="1"/>
  <c r="P221" i="64"/>
  <c r="U297" i="64"/>
  <c r="V297" i="64" s="1"/>
  <c r="X297" i="64" s="1"/>
  <c r="U323" i="64"/>
  <c r="V323" i="64" s="1"/>
  <c r="X323" i="64" s="1"/>
  <c r="U98" i="64"/>
  <c r="V98" i="64" s="1"/>
  <c r="X98" i="64" s="1"/>
  <c r="U141" i="64"/>
  <c r="V141" i="64" s="1"/>
  <c r="X141" i="64" s="1"/>
  <c r="P237" i="64"/>
  <c r="U97" i="64"/>
  <c r="V97" i="64" s="1"/>
  <c r="X97" i="64" s="1"/>
  <c r="P325" i="64"/>
  <c r="R325" i="64" s="1"/>
  <c r="P259" i="64"/>
  <c r="T259" i="64" s="1"/>
  <c r="Y259" i="64" s="1"/>
  <c r="U309" i="64"/>
  <c r="V309" i="64" s="1"/>
  <c r="X309" i="64" s="1"/>
  <c r="R234" i="64"/>
  <c r="T234" i="64"/>
  <c r="Y234" i="64" s="1"/>
  <c r="Z234" i="64" s="1"/>
  <c r="AF234" i="64" s="1"/>
  <c r="U227" i="64"/>
  <c r="V227" i="64" s="1"/>
  <c r="X227" i="64" s="1"/>
  <c r="R346" i="64"/>
  <c r="T346" i="64"/>
  <c r="Y346" i="64" s="1"/>
  <c r="Z346" i="64" s="1"/>
  <c r="AF346" i="64" s="1"/>
  <c r="P228" i="64"/>
  <c r="U228" i="64"/>
  <c r="V228" i="64" s="1"/>
  <c r="X228" i="64" s="1"/>
  <c r="U245" i="64"/>
  <c r="V245" i="64" s="1"/>
  <c r="X245" i="64" s="1"/>
  <c r="P245" i="64"/>
  <c r="R74" i="64"/>
  <c r="U74" i="64" s="1"/>
  <c r="V74" i="64" s="1"/>
  <c r="X74" i="64" s="1"/>
  <c r="T74" i="64"/>
  <c r="P57" i="64"/>
  <c r="U57" i="64"/>
  <c r="V57" i="64" s="1"/>
  <c r="X57" i="64" s="1"/>
  <c r="T292" i="64"/>
  <c r="Y292" i="64" s="1"/>
  <c r="Z292" i="64" s="1"/>
  <c r="AF292" i="64" s="1"/>
  <c r="R292" i="64"/>
  <c r="U270" i="64"/>
  <c r="V270" i="64" s="1"/>
  <c r="X270" i="64" s="1"/>
  <c r="P270" i="64"/>
  <c r="T365" i="64"/>
  <c r="R365" i="64"/>
  <c r="T119" i="64"/>
  <c r="R119" i="64"/>
  <c r="U119" i="64" s="1"/>
  <c r="V119" i="64" s="1"/>
  <c r="X119" i="64" s="1"/>
  <c r="P352" i="64"/>
  <c r="U352" i="64"/>
  <c r="V352" i="64" s="1"/>
  <c r="X352" i="64" s="1"/>
  <c r="R297" i="64"/>
  <c r="T297" i="64"/>
  <c r="U80" i="64"/>
  <c r="V80" i="64" s="1"/>
  <c r="X80" i="64" s="1"/>
  <c r="P80" i="64"/>
  <c r="U291" i="64"/>
  <c r="V291" i="64" s="1"/>
  <c r="X291" i="64" s="1"/>
  <c r="P291" i="64"/>
  <c r="P287" i="64"/>
  <c r="U287" i="64"/>
  <c r="V287" i="64" s="1"/>
  <c r="X287" i="64" s="1"/>
  <c r="U269" i="64"/>
  <c r="V269" i="64" s="1"/>
  <c r="X269" i="64" s="1"/>
  <c r="P269" i="64"/>
  <c r="R19" i="64"/>
  <c r="U19" i="64" s="1"/>
  <c r="V19" i="64" s="1"/>
  <c r="X19" i="64" s="1"/>
  <c r="T19" i="64"/>
  <c r="T65" i="64"/>
  <c r="R65" i="64"/>
  <c r="U65" i="64" s="1"/>
  <c r="V65" i="64" s="1"/>
  <c r="X65" i="64" s="1"/>
  <c r="U38" i="64"/>
  <c r="V38" i="64" s="1"/>
  <c r="X38" i="64" s="1"/>
  <c r="P38" i="64"/>
  <c r="U222" i="64"/>
  <c r="V222" i="64" s="1"/>
  <c r="X222" i="64" s="1"/>
  <c r="Y222" i="64" s="1"/>
  <c r="Z222" i="64" s="1"/>
  <c r="AF222" i="64" s="1"/>
  <c r="P313" i="64"/>
  <c r="P345" i="64"/>
  <c r="U280" i="64"/>
  <c r="V280" i="64" s="1"/>
  <c r="X280" i="64" s="1"/>
  <c r="U140" i="64"/>
  <c r="V140" i="64" s="1"/>
  <c r="X140" i="64" s="1"/>
  <c r="P242" i="64"/>
  <c r="F16" i="63"/>
  <c r="O102" i="64"/>
  <c r="U122" i="64"/>
  <c r="V122" i="64" s="1"/>
  <c r="X122" i="64" s="1"/>
  <c r="T276" i="64"/>
  <c r="Y276" i="64" s="1"/>
  <c r="Z276" i="64" s="1"/>
  <c r="AF276" i="64" s="1"/>
  <c r="R276" i="64"/>
  <c r="R321" i="64"/>
  <c r="T321" i="64"/>
  <c r="Y321" i="64" s="1"/>
  <c r="Z321" i="64" s="1"/>
  <c r="AF321" i="64" s="1"/>
  <c r="R296" i="64"/>
  <c r="T296" i="64"/>
  <c r="Y296" i="64" s="1"/>
  <c r="Z296" i="64" s="1"/>
  <c r="AF296" i="64" s="1"/>
  <c r="T63" i="64"/>
  <c r="R63" i="64"/>
  <c r="U63" i="64" s="1"/>
  <c r="V63" i="64" s="1"/>
  <c r="X63" i="64" s="1"/>
  <c r="T306" i="64"/>
  <c r="Y306" i="64" s="1"/>
  <c r="R306" i="64"/>
  <c r="R344" i="64"/>
  <c r="T344" i="64"/>
  <c r="Y344" i="64" s="1"/>
  <c r="Z344" i="64" s="1"/>
  <c r="AF344" i="64" s="1"/>
  <c r="T273" i="64"/>
  <c r="Y273" i="64" s="1"/>
  <c r="Z273" i="64" s="1"/>
  <c r="AF273" i="64" s="1"/>
  <c r="R273" i="64"/>
  <c r="R140" i="64"/>
  <c r="T140" i="64"/>
  <c r="U153" i="64"/>
  <c r="V153" i="64" s="1"/>
  <c r="X153" i="64" s="1"/>
  <c r="P153" i="64"/>
  <c r="T309" i="64"/>
  <c r="R309" i="64"/>
  <c r="U180" i="64"/>
  <c r="V180" i="64" s="1"/>
  <c r="X180" i="64" s="1"/>
  <c r="P180" i="64"/>
  <c r="U211" i="64"/>
  <c r="V211" i="64" s="1"/>
  <c r="X211" i="64" s="1"/>
  <c r="P211" i="64"/>
  <c r="P253" i="64"/>
  <c r="U253" i="64"/>
  <c r="V253" i="64" s="1"/>
  <c r="X253" i="64" s="1"/>
  <c r="T123" i="64"/>
  <c r="Y123" i="64" s="1"/>
  <c r="Z123" i="64" s="1"/>
  <c r="AF123" i="64" s="1"/>
  <c r="R123" i="64"/>
  <c r="P46" i="64"/>
  <c r="U46" i="64"/>
  <c r="V46" i="64" s="1"/>
  <c r="X46" i="64" s="1"/>
  <c r="P317" i="64"/>
  <c r="U317" i="64"/>
  <c r="V317" i="64" s="1"/>
  <c r="X317" i="64" s="1"/>
  <c r="T260" i="64"/>
  <c r="Y260" i="64" s="1"/>
  <c r="Z260" i="64" s="1"/>
  <c r="AF260" i="64" s="1"/>
  <c r="R260" i="64"/>
  <c r="T280" i="64"/>
  <c r="R280" i="64"/>
  <c r="P58" i="64"/>
  <c r="U58" i="64"/>
  <c r="V58" i="64" s="1"/>
  <c r="X58" i="64" s="1"/>
  <c r="P343" i="64"/>
  <c r="U343" i="64"/>
  <c r="V343" i="64" s="1"/>
  <c r="X343" i="64" s="1"/>
  <c r="U23" i="64"/>
  <c r="V23" i="64" s="1"/>
  <c r="X23" i="64" s="1"/>
  <c r="P23" i="64"/>
  <c r="P52" i="64"/>
  <c r="U52" i="64"/>
  <c r="V52" i="64" s="1"/>
  <c r="X52" i="64" s="1"/>
  <c r="P210" i="64"/>
  <c r="U78" i="64"/>
  <c r="V78" i="64" s="1"/>
  <c r="X78" i="64" s="1"/>
  <c r="P32" i="64"/>
  <c r="P36" i="64"/>
  <c r="Y85" i="64"/>
  <c r="Z85" i="64" s="1"/>
  <c r="AF85" i="64" s="1"/>
  <c r="Y160" i="64"/>
  <c r="Z160" i="64" s="1"/>
  <c r="AF160" i="64" s="1"/>
  <c r="T131" i="64"/>
  <c r="Y131" i="64" s="1"/>
  <c r="R131" i="64"/>
  <c r="T325" i="64"/>
  <c r="Y325" i="64" s="1"/>
  <c r="Z325" i="64" s="1"/>
  <c r="R259" i="64"/>
  <c r="T171" i="64"/>
  <c r="Y171" i="64" s="1"/>
  <c r="Z171" i="64" s="1"/>
  <c r="R171" i="64"/>
  <c r="R79" i="64"/>
  <c r="T79" i="64"/>
  <c r="Y79" i="64" s="1"/>
  <c r="Z79" i="64" s="1"/>
  <c r="AF79" i="64" s="1"/>
  <c r="R301" i="64"/>
  <c r="T301" i="64"/>
  <c r="Y301" i="64" s="1"/>
  <c r="R25" i="64"/>
  <c r="T25" i="64"/>
  <c r="Y25" i="64" s="1"/>
  <c r="Z25" i="64" s="1"/>
  <c r="AF25" i="64" s="1"/>
  <c r="T54" i="16"/>
  <c r="G54" i="71"/>
  <c r="J54" i="71" s="1"/>
  <c r="T35" i="64"/>
  <c r="Y35" i="64" s="1"/>
  <c r="R35" i="64"/>
  <c r="T232" i="64"/>
  <c r="Y232" i="64" s="1"/>
  <c r="Z232" i="64" s="1"/>
  <c r="AF232" i="64" s="1"/>
  <c r="R232" i="64"/>
  <c r="Y55" i="64"/>
  <c r="Z55" i="64" s="1"/>
  <c r="T169" i="64"/>
  <c r="Y169" i="64" s="1"/>
  <c r="Z169" i="64" s="1"/>
  <c r="T284" i="64"/>
  <c r="Y284" i="64" s="1"/>
  <c r="Z284" i="64" s="1"/>
  <c r="AF284" i="64" s="1"/>
  <c r="R284" i="64"/>
  <c r="T20" i="64"/>
  <c r="Y20" i="64" s="1"/>
  <c r="Z20" i="64" s="1"/>
  <c r="AF20" i="64" s="1"/>
  <c r="R20" i="64"/>
  <c r="R29" i="64"/>
  <c r="T29" i="64"/>
  <c r="T310" i="64"/>
  <c r="Y310" i="64" s="1"/>
  <c r="R310" i="64"/>
  <c r="C124" i="84"/>
  <c r="V57" i="11"/>
  <c r="T187" i="64"/>
  <c r="R187" i="64"/>
  <c r="U187" i="64" s="1"/>
  <c r="V187" i="64" s="1"/>
  <c r="X187" i="64" s="1"/>
  <c r="T236" i="64"/>
  <c r="Y236" i="64" s="1"/>
  <c r="Z236" i="64" s="1"/>
  <c r="AF236" i="64" s="1"/>
  <c r="Q66" i="84"/>
  <c r="C128" i="84"/>
  <c r="X44" i="11"/>
  <c r="T225" i="64"/>
  <c r="Y225" i="64" s="1"/>
  <c r="Z225" i="64" s="1"/>
  <c r="AF225" i="64" s="1"/>
  <c r="R225" i="64"/>
  <c r="R77" i="64"/>
  <c r="T77" i="64"/>
  <c r="Y77" i="64" s="1"/>
  <c r="Z77" i="64" s="1"/>
  <c r="O42" i="64"/>
  <c r="F15" i="63"/>
  <c r="R81" i="64"/>
  <c r="T81" i="64"/>
  <c r="R359" i="64"/>
  <c r="U295" i="64"/>
  <c r="V295" i="64" s="1"/>
  <c r="X295" i="64" s="1"/>
  <c r="P295" i="64"/>
  <c r="P274" i="64"/>
  <c r="U274" i="64"/>
  <c r="V274" i="64" s="1"/>
  <c r="X274" i="64" s="1"/>
  <c r="U170" i="64"/>
  <c r="V170" i="64" s="1"/>
  <c r="X170" i="64" s="1"/>
  <c r="P170" i="64"/>
  <c r="E88" i="7"/>
  <c r="E95" i="7" s="1"/>
  <c r="T256" i="64"/>
  <c r="Y256" i="64" s="1"/>
  <c r="Z35" i="64"/>
  <c r="AF35" i="64" s="1"/>
  <c r="Q59" i="7"/>
  <c r="S59" i="7" s="1"/>
  <c r="C60" i="71"/>
  <c r="G60" i="71" s="1"/>
  <c r="J60" i="71" s="1"/>
  <c r="T233" i="64"/>
  <c r="Y233" i="64" s="1"/>
  <c r="Z233" i="64" s="1"/>
  <c r="AF233" i="64" s="1"/>
  <c r="R233" i="64"/>
  <c r="Y289" i="64"/>
  <c r="T318" i="64"/>
  <c r="Y318" i="64" s="1"/>
  <c r="Z318" i="64" s="1"/>
  <c r="AF318" i="64" s="1"/>
  <c r="R318" i="64"/>
  <c r="T51" i="64"/>
  <c r="Y51" i="64" s="1"/>
  <c r="Z51" i="64" s="1"/>
  <c r="AF51" i="64" s="1"/>
  <c r="R51" i="64"/>
  <c r="U303" i="64"/>
  <c r="V303" i="64" s="1"/>
  <c r="X303" i="64" s="1"/>
  <c r="P303" i="64"/>
  <c r="P195" i="64"/>
  <c r="U195" i="64"/>
  <c r="V195" i="64" s="1"/>
  <c r="X195" i="64" s="1"/>
  <c r="T130" i="64"/>
  <c r="Y130" i="64" s="1"/>
  <c r="R130" i="64"/>
  <c r="T328" i="64"/>
  <c r="Y328" i="64" s="1"/>
  <c r="Z328" i="64" s="1"/>
  <c r="AF328" i="64" s="1"/>
  <c r="R328" i="64"/>
  <c r="Y207" i="64"/>
  <c r="Z207" i="64" s="1"/>
  <c r="R181" i="64"/>
  <c r="T181" i="64"/>
  <c r="Y181" i="64" s="1"/>
  <c r="N42" i="64"/>
  <c r="D15" i="63"/>
  <c r="U214" i="64"/>
  <c r="V214" i="64" s="1"/>
  <c r="X214" i="64" s="1"/>
  <c r="P214" i="64"/>
  <c r="P324" i="64"/>
  <c r="U324" i="64"/>
  <c r="V324" i="64" s="1"/>
  <c r="X324" i="64" s="1"/>
  <c r="P238" i="64"/>
  <c r="U238" i="64"/>
  <c r="V238" i="64" s="1"/>
  <c r="X238" i="64" s="1"/>
  <c r="P94" i="64"/>
  <c r="U94" i="64"/>
  <c r="V94" i="64" s="1"/>
  <c r="X94" i="64" s="1"/>
  <c r="R128" i="64"/>
  <c r="T128" i="64"/>
  <c r="Y128" i="64" s="1"/>
  <c r="T293" i="64"/>
  <c r="Y293" i="64" s="1"/>
  <c r="Z293" i="64" s="1"/>
  <c r="AF293" i="64" s="1"/>
  <c r="R293" i="64"/>
  <c r="R220" i="64"/>
  <c r="T220" i="64"/>
  <c r="Y220" i="64" s="1"/>
  <c r="Z220" i="64" s="1"/>
  <c r="AF220" i="64" s="1"/>
  <c r="M25" i="77"/>
  <c r="M56" i="84"/>
  <c r="T219" i="64"/>
  <c r="Y219" i="64" s="1"/>
  <c r="R219" i="64"/>
  <c r="R69" i="64"/>
  <c r="U69" i="64" s="1"/>
  <c r="V69" i="64" s="1"/>
  <c r="X69" i="64" s="1"/>
  <c r="T69" i="64"/>
  <c r="R263" i="64"/>
  <c r="T263" i="64"/>
  <c r="Y263" i="64" s="1"/>
  <c r="Z263" i="64" s="1"/>
  <c r="AF263" i="64" s="1"/>
  <c r="U39" i="64"/>
  <c r="V39" i="64" s="1"/>
  <c r="X39" i="64" s="1"/>
  <c r="P39" i="64"/>
  <c r="P151" i="64"/>
  <c r="U151" i="64"/>
  <c r="V151" i="64" s="1"/>
  <c r="U47" i="64"/>
  <c r="V47" i="64" s="1"/>
  <c r="X47" i="64" s="1"/>
  <c r="P47" i="64"/>
  <c r="P241" i="64"/>
  <c r="U241" i="64"/>
  <c r="V241" i="64" s="1"/>
  <c r="X241" i="64" s="1"/>
  <c r="U246" i="64"/>
  <c r="V246" i="64" s="1"/>
  <c r="X246" i="64" s="1"/>
  <c r="P246" i="64"/>
  <c r="U255" i="64"/>
  <c r="V255" i="64" s="1"/>
  <c r="X255" i="64" s="1"/>
  <c r="P255" i="64"/>
  <c r="T71" i="64"/>
  <c r="R71" i="64"/>
  <c r="U71" i="64" s="1"/>
  <c r="V71" i="64" s="1"/>
  <c r="X71" i="64" s="1"/>
  <c r="R304" i="64"/>
  <c r="T304" i="64"/>
  <c r="Y304" i="64" s="1"/>
  <c r="Z304" i="64" s="1"/>
  <c r="AF304" i="64" s="1"/>
  <c r="L45" i="28"/>
  <c r="T61" i="16"/>
  <c r="D25" i="77"/>
  <c r="N145" i="64"/>
  <c r="D18" i="63"/>
  <c r="R351" i="64"/>
  <c r="T351" i="64"/>
  <c r="Y351" i="64" s="1"/>
  <c r="R357" i="64"/>
  <c r="T357" i="64"/>
  <c r="Y357" i="64" s="1"/>
  <c r="Z212" i="64"/>
  <c r="AF212" i="64" s="1"/>
  <c r="T66" i="64"/>
  <c r="R66" i="64"/>
  <c r="U66" i="64" s="1"/>
  <c r="V66" i="64" s="1"/>
  <c r="X66" i="64" s="1"/>
  <c r="R226" i="64"/>
  <c r="T226" i="64"/>
  <c r="Y226" i="64" s="1"/>
  <c r="Z226" i="64" s="1"/>
  <c r="AF226" i="64" s="1"/>
  <c r="N163" i="64"/>
  <c r="D19" i="63" s="1"/>
  <c r="C42" i="71"/>
  <c r="B38" i="66" s="1"/>
  <c r="AF75" i="64"/>
  <c r="B19" i="63"/>
  <c r="B25" i="63" s="1"/>
  <c r="L165" i="64"/>
  <c r="L166" i="64" s="1"/>
  <c r="L30" i="28"/>
  <c r="T201" i="64"/>
  <c r="Y201" i="64" s="1"/>
  <c r="Z201" i="64" s="1"/>
  <c r="R201" i="64"/>
  <c r="R356" i="64"/>
  <c r="T356" i="64"/>
  <c r="Y356" i="64" s="1"/>
  <c r="Z356" i="64" s="1"/>
  <c r="AF356" i="64" s="1"/>
  <c r="R300" i="64"/>
  <c r="T300" i="64"/>
  <c r="Y300" i="64" s="1"/>
  <c r="Z300" i="64" s="1"/>
  <c r="R111" i="64"/>
  <c r="U111" i="64" s="1"/>
  <c r="V111" i="64" s="1"/>
  <c r="X111" i="64" s="1"/>
  <c r="Y111" i="64" s="1"/>
  <c r="AF111" i="64" s="1"/>
  <c r="T45" i="64"/>
  <c r="Y45" i="64" s="1"/>
  <c r="R45" i="64"/>
  <c r="C76" i="71"/>
  <c r="G76" i="71" s="1"/>
  <c r="J76" i="71" s="1"/>
  <c r="Q75" i="7"/>
  <c r="S75" i="7" s="1"/>
  <c r="C48" i="71"/>
  <c r="G48" i="71" s="1"/>
  <c r="J48" i="71" s="1"/>
  <c r="Q47" i="7"/>
  <c r="S47" i="7" s="1"/>
  <c r="R294" i="64"/>
  <c r="T294" i="64"/>
  <c r="Y294" i="64" s="1"/>
  <c r="Z294" i="64" s="1"/>
  <c r="AF294" i="64" s="1"/>
  <c r="R124" i="64"/>
  <c r="T124" i="64"/>
  <c r="Y124" i="64" s="1"/>
  <c r="T316" i="64"/>
  <c r="Y316" i="64" s="1"/>
  <c r="Z316" i="64" s="1"/>
  <c r="AF316" i="64" s="1"/>
  <c r="R316" i="64"/>
  <c r="R139" i="64"/>
  <c r="T139" i="64"/>
  <c r="Y139" i="64" s="1"/>
  <c r="Z139" i="64" s="1"/>
  <c r="AF139" i="64" s="1"/>
  <c r="R347" i="64"/>
  <c r="T347" i="64"/>
  <c r="Y347" i="64" s="1"/>
  <c r="Z347" i="64" s="1"/>
  <c r="AF347" i="64" s="1"/>
  <c r="Z87" i="64"/>
  <c r="AF87" i="64" s="1"/>
  <c r="T172" i="64"/>
  <c r="Y172" i="64" s="1"/>
  <c r="Z172" i="64" s="1"/>
  <c r="R172" i="64"/>
  <c r="Z215" i="64"/>
  <c r="AF215" i="64" s="1"/>
  <c r="Q19" i="7"/>
  <c r="S19" i="7" s="1"/>
  <c r="R184" i="64"/>
  <c r="U184" i="64" s="1"/>
  <c r="V184" i="64" s="1"/>
  <c r="X184" i="64" s="1"/>
  <c r="T184" i="64"/>
  <c r="T30" i="64"/>
  <c r="Y30" i="64" s="1"/>
  <c r="Z30" i="64" s="1"/>
  <c r="AF30" i="64" s="1"/>
  <c r="R30" i="64"/>
  <c r="R252" i="64"/>
  <c r="T252" i="64"/>
  <c r="Y252" i="64" s="1"/>
  <c r="C88" i="7"/>
  <c r="C95" i="7" s="1"/>
  <c r="L12" i="28"/>
  <c r="C13" i="11"/>
  <c r="C55" i="11" s="1"/>
  <c r="C62" i="11" s="1"/>
  <c r="C39" i="71"/>
  <c r="C37" i="77" s="1"/>
  <c r="C39" i="77" s="1"/>
  <c r="C48" i="77" s="1"/>
  <c r="C50" i="77" s="1"/>
  <c r="J25" i="77"/>
  <c r="K20" i="28"/>
  <c r="X29" i="11"/>
  <c r="T224" i="64"/>
  <c r="Y224" i="64" s="1"/>
  <c r="Z224" i="64" s="1"/>
  <c r="R224" i="64"/>
  <c r="Y365" i="64"/>
  <c r="Z365" i="64" s="1"/>
  <c r="AF365" i="64" s="1"/>
  <c r="T275" i="64"/>
  <c r="R275" i="64"/>
  <c r="Y32" i="28"/>
  <c r="Y34" i="28" s="1"/>
  <c r="X33" i="11"/>
  <c r="T24" i="64"/>
  <c r="Y24" i="64" s="1"/>
  <c r="R24" i="64"/>
  <c r="T198" i="64"/>
  <c r="Y198" i="64" s="1"/>
  <c r="Z198" i="64" s="1"/>
  <c r="AF198" i="64" s="1"/>
  <c r="R198" i="64"/>
  <c r="R208" i="64"/>
  <c r="T208" i="64"/>
  <c r="Y208" i="64" s="1"/>
  <c r="Z208" i="64" s="1"/>
  <c r="AF208" i="64" s="1"/>
  <c r="Y92" i="64"/>
  <c r="C32" i="71"/>
  <c r="G32" i="71" s="1"/>
  <c r="J32" i="71" s="1"/>
  <c r="Q31" i="7"/>
  <c r="S31" i="7" s="1"/>
  <c r="N32" i="28"/>
  <c r="T32" i="28" s="1"/>
  <c r="Z32" i="28" s="1"/>
  <c r="K34" i="28"/>
  <c r="T258" i="64"/>
  <c r="Y258" i="64" s="1"/>
  <c r="Z258" i="64" s="1"/>
  <c r="AF258" i="64" s="1"/>
  <c r="R258" i="64"/>
  <c r="T239" i="64"/>
  <c r="Y239" i="64" s="1"/>
  <c r="T50" i="64"/>
  <c r="Y50" i="64" s="1"/>
  <c r="Z50" i="64" s="1"/>
  <c r="R50" i="64"/>
  <c r="Y70" i="64"/>
  <c r="Z70" i="64" s="1"/>
  <c r="AF70" i="64" s="1"/>
  <c r="T173" i="64"/>
  <c r="Y173" i="64" s="1"/>
  <c r="R173" i="64"/>
  <c r="R330" i="64"/>
  <c r="T330" i="64"/>
  <c r="Y330" i="64" s="1"/>
  <c r="Z330" i="64" s="1"/>
  <c r="T134" i="64"/>
  <c r="Y134" i="64" s="1"/>
  <c r="Z134" i="64" s="1"/>
  <c r="AF134" i="64" s="1"/>
  <c r="R134" i="64"/>
  <c r="Y88" i="64"/>
  <c r="Z88" i="64" s="1"/>
  <c r="AF172" i="64"/>
  <c r="Z361" i="64"/>
  <c r="AF361" i="64" s="1"/>
  <c r="Z49" i="64"/>
  <c r="AF49" i="64" s="1"/>
  <c r="T342" i="64"/>
  <c r="Y342" i="64" s="1"/>
  <c r="R342" i="64"/>
  <c r="T117" i="64"/>
  <c r="R117" i="64"/>
  <c r="U117" i="64" s="1"/>
  <c r="V117" i="64" s="1"/>
  <c r="X117" i="64" s="1"/>
  <c r="E19" i="71"/>
  <c r="E20" i="71" s="1"/>
  <c r="D20" i="16"/>
  <c r="Y322" i="64"/>
  <c r="Z322" i="64" s="1"/>
  <c r="R364" i="64"/>
  <c r="T364" i="64"/>
  <c r="Y364" i="64" s="1"/>
  <c r="Z364" i="64" s="1"/>
  <c r="AF364" i="64" s="1"/>
  <c r="T286" i="64"/>
  <c r="Y286" i="64" s="1"/>
  <c r="O23" i="77"/>
  <c r="Y36" i="28"/>
  <c r="K45" i="28"/>
  <c r="L18" i="28"/>
  <c r="L54" i="28"/>
  <c r="R97" i="64"/>
  <c r="T97" i="64"/>
  <c r="Y97" i="64" s="1"/>
  <c r="Z97" i="64" s="1"/>
  <c r="AF97" i="64" s="1"/>
  <c r="Y353" i="64"/>
  <c r="Z353" i="64" s="1"/>
  <c r="AF353" i="64" s="1"/>
  <c r="T199" i="64"/>
  <c r="Y199" i="64" s="1"/>
  <c r="Z199" i="64" s="1"/>
  <c r="AF199" i="64" s="1"/>
  <c r="R199" i="64"/>
  <c r="C69" i="71"/>
  <c r="G69" i="71" s="1"/>
  <c r="J69" i="71" s="1"/>
  <c r="Q68" i="7"/>
  <c r="S68" i="7" s="1"/>
  <c r="R251" i="64"/>
  <c r="T251" i="64"/>
  <c r="Y251" i="64" s="1"/>
  <c r="Z251" i="64" s="1"/>
  <c r="AF251" i="64" s="1"/>
  <c r="Z173" i="64"/>
  <c r="AF173" i="64" s="1"/>
  <c r="Y196" i="64"/>
  <c r="Z196" i="64" s="1"/>
  <c r="U155" i="64"/>
  <c r="Y29" i="64"/>
  <c r="Z29" i="64" s="1"/>
  <c r="AF29" i="64" s="1"/>
  <c r="Y68" i="64"/>
  <c r="Z68" i="64" s="1"/>
  <c r="AF68" i="64" s="1"/>
  <c r="U43" i="28"/>
  <c r="W43" i="28"/>
  <c r="V43" i="28"/>
  <c r="X43" i="28"/>
  <c r="U24" i="28"/>
  <c r="Y41" i="28"/>
  <c r="V38" i="28"/>
  <c r="X38" i="28"/>
  <c r="W38" i="28"/>
  <c r="P55" i="28"/>
  <c r="T48" i="28"/>
  <c r="U48" i="28" s="1"/>
  <c r="T21" i="28"/>
  <c r="X24" i="28"/>
  <c r="V24" i="28"/>
  <c r="W24" i="28"/>
  <c r="U28" i="28"/>
  <c r="V23" i="28"/>
  <c r="X28" i="28"/>
  <c r="V28" i="28"/>
  <c r="W28" i="28"/>
  <c r="C63" i="11"/>
  <c r="AB33" i="11"/>
  <c r="D25" i="20" s="1"/>
  <c r="Y34" i="11"/>
  <c r="AB34" i="11" s="1"/>
  <c r="Y40" i="28"/>
  <c r="N40" i="28"/>
  <c r="T40" i="28" s="1"/>
  <c r="L57" i="84"/>
  <c r="H25" i="77"/>
  <c r="I25" i="77"/>
  <c r="C25" i="77"/>
  <c r="O27" i="77"/>
  <c r="L25" i="77"/>
  <c r="E25" i="77"/>
  <c r="O19" i="77"/>
  <c r="F25" i="77"/>
  <c r="B25" i="77"/>
  <c r="O15" i="77"/>
  <c r="O18" i="77"/>
  <c r="L52" i="17"/>
  <c r="H52" i="71" s="1"/>
  <c r="J52" i="71" s="1"/>
  <c r="X42" i="28"/>
  <c r="W42" i="28"/>
  <c r="T41" i="28"/>
  <c r="U41" i="28" s="1"/>
  <c r="T33" i="28"/>
  <c r="U33" i="28" s="1"/>
  <c r="W23" i="28"/>
  <c r="Z23" i="28"/>
  <c r="X23" i="28"/>
  <c r="R137" i="64"/>
  <c r="X27" i="28"/>
  <c r="W27" i="28"/>
  <c r="Z27" i="28"/>
  <c r="V27" i="28"/>
  <c r="U27" i="28"/>
  <c r="T47" i="28"/>
  <c r="O38" i="84"/>
  <c r="Q38" i="84" s="1"/>
  <c r="W51" i="28"/>
  <c r="X51" i="28"/>
  <c r="U51" i="28"/>
  <c r="V51" i="28"/>
  <c r="Z51" i="28"/>
  <c r="V183" i="64"/>
  <c r="Z216" i="64"/>
  <c r="AF216" i="64" s="1"/>
  <c r="W53" i="28"/>
  <c r="V53" i="28"/>
  <c r="X53" i="28"/>
  <c r="Z53" i="28"/>
  <c r="U53" i="28"/>
  <c r="U52" i="28"/>
  <c r="V52" i="28"/>
  <c r="Z52" i="28"/>
  <c r="W52" i="28"/>
  <c r="X52" i="28"/>
  <c r="N334" i="64"/>
  <c r="D22" i="63"/>
  <c r="O334" i="64"/>
  <c r="F22" i="63"/>
  <c r="Q46" i="7"/>
  <c r="S46" i="7" s="1"/>
  <c r="C47" i="71"/>
  <c r="C23" i="18" s="1"/>
  <c r="C24" i="18" s="1"/>
  <c r="J47" i="16" s="1"/>
  <c r="Q42" i="7"/>
  <c r="S42" i="7" s="1"/>
  <c r="C43" i="71"/>
  <c r="G43" i="71" s="1"/>
  <c r="J43" i="71" s="1"/>
  <c r="F40" i="20"/>
  <c r="C40" i="71"/>
  <c r="Y126" i="64"/>
  <c r="Z126" i="64" s="1"/>
  <c r="AF126" i="64" s="1"/>
  <c r="Y168" i="64"/>
  <c r="F23" i="63"/>
  <c r="C37" i="71"/>
  <c r="G37" i="71" s="1"/>
  <c r="J37" i="71" s="1"/>
  <c r="Q36" i="7"/>
  <c r="S36" i="7" s="1"/>
  <c r="T49" i="28"/>
  <c r="U49" i="28" s="1"/>
  <c r="T36" i="28"/>
  <c r="Z36" i="28" s="1"/>
  <c r="Z45" i="28" s="1"/>
  <c r="V42" i="28"/>
  <c r="Q145" i="64"/>
  <c r="J18" i="63"/>
  <c r="J25" i="63" s="1"/>
  <c r="C41" i="71"/>
  <c r="G42" i="71"/>
  <c r="J42" i="71" s="1"/>
  <c r="O165" i="64"/>
  <c r="F19" i="63"/>
  <c r="Q70" i="7"/>
  <c r="S70" i="7" s="1"/>
  <c r="C71" i="71"/>
  <c r="G71" i="71" s="1"/>
  <c r="J71" i="71" s="1"/>
  <c r="C83" i="71"/>
  <c r="Q82" i="7"/>
  <c r="S82" i="7" s="1"/>
  <c r="C30" i="71"/>
  <c r="G30" i="71" s="1"/>
  <c r="J30" i="71" s="1"/>
  <c r="Q29" i="7"/>
  <c r="S29" i="7" s="1"/>
  <c r="O113" i="64"/>
  <c r="O147" i="64" s="1"/>
  <c r="F17" i="63"/>
  <c r="P109" i="64"/>
  <c r="R106" i="64"/>
  <c r="T106" i="64"/>
  <c r="R28" i="64"/>
  <c r="T28" i="64"/>
  <c r="Y28" i="64" s="1"/>
  <c r="Y305" i="64"/>
  <c r="Z305" i="64" s="1"/>
  <c r="AF305" i="64" s="1"/>
  <c r="Y93" i="64"/>
  <c r="Z93" i="64" s="1"/>
  <c r="AF93" i="64" s="1"/>
  <c r="P355" i="64"/>
  <c r="U355" i="64"/>
  <c r="O368" i="64"/>
  <c r="O369" i="64" s="1"/>
  <c r="C87" i="71"/>
  <c r="Q86" i="7"/>
  <c r="S86" i="7" s="1"/>
  <c r="C80" i="71"/>
  <c r="Q79" i="7"/>
  <c r="S79" i="7" s="1"/>
  <c r="Q69" i="7"/>
  <c r="S69" i="7" s="1"/>
  <c r="C70" i="71"/>
  <c r="C58" i="71"/>
  <c r="D17" i="80" s="1"/>
  <c r="D18" i="80" s="1"/>
  <c r="Q57" i="7"/>
  <c r="S57" i="7" s="1"/>
  <c r="Q52" i="7"/>
  <c r="S52" i="7" s="1"/>
  <c r="C53" i="71"/>
  <c r="G53" i="71" s="1"/>
  <c r="J53" i="71" s="1"/>
  <c r="C57" i="11"/>
  <c r="Y57" i="11" s="1"/>
  <c r="AA29" i="11"/>
  <c r="C24" i="71"/>
  <c r="B40" i="66"/>
  <c r="G46" i="71"/>
  <c r="Y205" i="64"/>
  <c r="Z217" i="64"/>
  <c r="AF217" i="64" s="1"/>
  <c r="Z301" i="64"/>
  <c r="AF301" i="64" s="1"/>
  <c r="Z230" i="64"/>
  <c r="AF230" i="64" s="1"/>
  <c r="AF338" i="64"/>
  <c r="G25" i="77"/>
  <c r="AF325" i="64"/>
  <c r="Y64" i="64"/>
  <c r="Q50" i="7"/>
  <c r="S50" i="7" s="1"/>
  <c r="C51" i="71"/>
  <c r="G51" i="71" s="1"/>
  <c r="J51" i="71" s="1"/>
  <c r="C15" i="71"/>
  <c r="Q15" i="7"/>
  <c r="S15" i="7" s="1"/>
  <c r="O20" i="7"/>
  <c r="R314" i="64"/>
  <c r="T314" i="64"/>
  <c r="Y314" i="64" s="1"/>
  <c r="Q73" i="7"/>
  <c r="S73" i="7" s="1"/>
  <c r="C74" i="71"/>
  <c r="Q55" i="7"/>
  <c r="S55" i="7" s="1"/>
  <c r="C56" i="71"/>
  <c r="Y12" i="11"/>
  <c r="Y13" i="11" s="1"/>
  <c r="Z56" i="64"/>
  <c r="AF56" i="64" s="1"/>
  <c r="Z17" i="64"/>
  <c r="AF17" i="64" s="1"/>
  <c r="M84" i="84"/>
  <c r="Q84" i="84" s="1"/>
  <c r="D23" i="63"/>
  <c r="N369" i="64"/>
  <c r="N192" i="64"/>
  <c r="D21" i="63"/>
  <c r="Q78" i="7"/>
  <c r="S78" i="7" s="1"/>
  <c r="C79" i="71"/>
  <c r="C62" i="71"/>
  <c r="Q61" i="7"/>
  <c r="S61" i="7" s="1"/>
  <c r="Q32" i="7"/>
  <c r="S32" i="7" s="1"/>
  <c r="C33" i="71"/>
  <c r="O87" i="7"/>
  <c r="N113" i="64"/>
  <c r="N147" i="64" s="1"/>
  <c r="D17" i="63"/>
  <c r="C13" i="82"/>
  <c r="E13" i="82" s="1"/>
  <c r="G72" i="71"/>
  <c r="J72" i="71" s="1"/>
  <c r="Y240" i="64"/>
  <c r="Z240" i="64" s="1"/>
  <c r="R118" i="64"/>
  <c r="T118" i="64"/>
  <c r="R121" i="64"/>
  <c r="T121" i="64"/>
  <c r="Y121" i="64" s="1"/>
  <c r="V81" i="64"/>
  <c r="C26" i="71"/>
  <c r="AA53" i="11"/>
  <c r="AB53" i="11" s="1"/>
  <c r="D26" i="20" s="1"/>
  <c r="Z24" i="64"/>
  <c r="AF24" i="64" s="1"/>
  <c r="U176" i="64"/>
  <c r="N20" i="63" s="1"/>
  <c r="R157" i="64"/>
  <c r="T157" i="64"/>
  <c r="Q84" i="7"/>
  <c r="S84" i="7" s="1"/>
  <c r="C85" i="71"/>
  <c r="G85" i="71" s="1"/>
  <c r="J85" i="71" s="1"/>
  <c r="C77" i="71"/>
  <c r="Q76" i="7"/>
  <c r="S76" i="7" s="1"/>
  <c r="Q65" i="7"/>
  <c r="S65" i="7" s="1"/>
  <c r="C66" i="71"/>
  <c r="G66" i="71" s="1"/>
  <c r="J66" i="71" s="1"/>
  <c r="Q56" i="7"/>
  <c r="S56" i="7" s="1"/>
  <c r="C57" i="71"/>
  <c r="G57" i="71" s="1"/>
  <c r="J57" i="71" s="1"/>
  <c r="C45" i="71"/>
  <c r="AA18" i="11"/>
  <c r="U109" i="64"/>
  <c r="F38" i="20"/>
  <c r="D39" i="71"/>
  <c r="G39" i="71" s="1"/>
  <c r="J39" i="71" s="1"/>
  <c r="H39" i="20"/>
  <c r="P38" i="7" s="1"/>
  <c r="Q38" i="7" s="1"/>
  <c r="S38" i="7" s="1"/>
  <c r="Z262" i="64"/>
  <c r="AF262" i="64" s="1"/>
  <c r="V176" i="64"/>
  <c r="X151" i="64"/>
  <c r="Y185" i="64"/>
  <c r="Z185" i="64" s="1"/>
  <c r="AF185" i="64" s="1"/>
  <c r="Y82" i="64"/>
  <c r="Z82" i="64" s="1"/>
  <c r="AF82" i="64" s="1"/>
  <c r="T213" i="64"/>
  <c r="Y213" i="64" s="1"/>
  <c r="R213" i="64"/>
  <c r="Q81" i="7"/>
  <c r="S81" i="7" s="1"/>
  <c r="C82" i="71"/>
  <c r="Q62" i="7"/>
  <c r="S62" i="7" s="1"/>
  <c r="C63" i="71"/>
  <c r="G63" i="71" s="1"/>
  <c r="J63" i="71" s="1"/>
  <c r="Q33" i="7"/>
  <c r="S33" i="7" s="1"/>
  <c r="C34" i="71"/>
  <c r="G34" i="71" s="1"/>
  <c r="J34" i="71" s="1"/>
  <c r="Z248" i="64"/>
  <c r="AF248" i="64" s="1"/>
  <c r="C31" i="71"/>
  <c r="G31" i="71" s="1"/>
  <c r="J31" i="71" s="1"/>
  <c r="Q30" i="7"/>
  <c r="S30" i="7" s="1"/>
  <c r="R358" i="64"/>
  <c r="T358" i="64"/>
  <c r="Y358" i="64" s="1"/>
  <c r="T64" i="16"/>
  <c r="Y107" i="64"/>
  <c r="Z107" i="64" s="1"/>
  <c r="T298" i="64"/>
  <c r="Y298" i="64" s="1"/>
  <c r="R298" i="64"/>
  <c r="Y264" i="64"/>
  <c r="Z264" i="64" s="1"/>
  <c r="Y275" i="64"/>
  <c r="Z275" i="64" s="1"/>
  <c r="AF275" i="64" s="1"/>
  <c r="V109" i="64"/>
  <c r="V113" i="64" s="1"/>
  <c r="Q83" i="7"/>
  <c r="S83" i="7" s="1"/>
  <c r="C84" i="71"/>
  <c r="G84" i="71" s="1"/>
  <c r="J84" i="71" s="1"/>
  <c r="Q80" i="7"/>
  <c r="S80" i="7" s="1"/>
  <c r="C81" i="71"/>
  <c r="G81" i="71" s="1"/>
  <c r="J81" i="71" s="1"/>
  <c r="C73" i="71"/>
  <c r="G73" i="71" s="1"/>
  <c r="J73" i="71" s="1"/>
  <c r="Q72" i="7"/>
  <c r="S72" i="7" s="1"/>
  <c r="C59" i="71"/>
  <c r="G59" i="71" s="1"/>
  <c r="J59" i="71" s="1"/>
  <c r="Q58" i="7"/>
  <c r="S58" i="7" s="1"/>
  <c r="C55" i="71"/>
  <c r="G55" i="71" s="1"/>
  <c r="J55" i="71" s="1"/>
  <c r="Q54" i="7"/>
  <c r="S54" i="7" s="1"/>
  <c r="AA44" i="11"/>
  <c r="AB44" i="11" s="1"/>
  <c r="D28" i="20" s="1"/>
  <c r="P27" i="7" s="1"/>
  <c r="Q27" i="7" s="1"/>
  <c r="S27" i="7" s="1"/>
  <c r="C28" i="71"/>
  <c r="G36" i="71"/>
  <c r="E32" i="49"/>
  <c r="E34" i="49" s="1"/>
  <c r="C15" i="19" s="1"/>
  <c r="X176" i="64"/>
  <c r="X11" i="28"/>
  <c r="X13" i="28" s="1"/>
  <c r="V17" i="28"/>
  <c r="X17" i="28"/>
  <c r="W33" i="28"/>
  <c r="W37" i="28"/>
  <c r="X37" i="28"/>
  <c r="V37" i="28"/>
  <c r="T16" i="28"/>
  <c r="AC50" i="28"/>
  <c r="W11" i="28"/>
  <c r="W13" i="28" s="1"/>
  <c r="V11" i="28"/>
  <c r="V13" i="28" s="1"/>
  <c r="V39" i="28"/>
  <c r="X39" i="28"/>
  <c r="W39" i="28"/>
  <c r="U32" i="28"/>
  <c r="U34" i="28" s="1"/>
  <c r="X32" i="28"/>
  <c r="V32" i="28"/>
  <c r="T15" i="28"/>
  <c r="G67" i="71"/>
  <c r="J67" i="71" s="1"/>
  <c r="J68" i="16"/>
  <c r="N35" i="27"/>
  <c r="M49" i="84"/>
  <c r="Q49" i="84" s="1"/>
  <c r="B115" i="84"/>
  <c r="B119" i="84" s="1"/>
  <c r="C121" i="84" s="1"/>
  <c r="C115" i="84"/>
  <c r="C119" i="84" s="1"/>
  <c r="C122" i="84" s="1"/>
  <c r="K110" i="84"/>
  <c r="K57" i="84"/>
  <c r="Q72" i="84"/>
  <c r="M95" i="84"/>
  <c r="Q95" i="84" s="1"/>
  <c r="AF50" i="64" l="1"/>
  <c r="G61" i="71"/>
  <c r="J61" i="71" s="1"/>
  <c r="T154" i="64"/>
  <c r="Y154" i="64" s="1"/>
  <c r="Z154" i="64" s="1"/>
  <c r="AF154" i="64" s="1"/>
  <c r="R154" i="64"/>
  <c r="R277" i="64"/>
  <c r="T277" i="64"/>
  <c r="Y277" i="64" s="1"/>
  <c r="Z277" i="64" s="1"/>
  <c r="AF277" i="64" s="1"/>
  <c r="R311" i="64"/>
  <c r="T311" i="64"/>
  <c r="Y311" i="64" s="1"/>
  <c r="Z311" i="64" s="1"/>
  <c r="AF311" i="64" s="1"/>
  <c r="T257" i="64"/>
  <c r="Y257" i="64" s="1"/>
  <c r="Z257" i="64" s="1"/>
  <c r="AF257" i="64" s="1"/>
  <c r="R257" i="64"/>
  <c r="R249" i="64"/>
  <c r="T249" i="64"/>
  <c r="Y249" i="64" s="1"/>
  <c r="Z249" i="64" s="1"/>
  <c r="T341" i="64"/>
  <c r="Y341" i="64" s="1"/>
  <c r="Z341" i="64" s="1"/>
  <c r="R341" i="64"/>
  <c r="R227" i="64"/>
  <c r="T227" i="64"/>
  <c r="Y227" i="64" s="1"/>
  <c r="Z227" i="64" s="1"/>
  <c r="AF227" i="64" s="1"/>
  <c r="T62" i="64"/>
  <c r="R62" i="64"/>
  <c r="U62" i="64" s="1"/>
  <c r="V62" i="64" s="1"/>
  <c r="X62" i="64" s="1"/>
  <c r="Y62" i="64" s="1"/>
  <c r="Z62" i="64" s="1"/>
  <c r="AF62" i="64" s="1"/>
  <c r="Z349" i="64"/>
  <c r="AF349" i="64" s="1"/>
  <c r="R83" i="64"/>
  <c r="P100" i="64"/>
  <c r="Y138" i="64"/>
  <c r="Z138" i="64" s="1"/>
  <c r="AF138" i="64" s="1"/>
  <c r="X59" i="28"/>
  <c r="T18" i="28"/>
  <c r="AB18" i="11"/>
  <c r="D45" i="20" s="1"/>
  <c r="Y73" i="64"/>
  <c r="Z73" i="64" s="1"/>
  <c r="AF73" i="64" s="1"/>
  <c r="P143" i="64"/>
  <c r="D28" i="71"/>
  <c r="Y323" i="64"/>
  <c r="Z323" i="64" s="1"/>
  <c r="H28" i="20"/>
  <c r="P332" i="64"/>
  <c r="P334" i="64" s="1"/>
  <c r="P190" i="64"/>
  <c r="H21" i="63" s="1"/>
  <c r="Y61" i="64"/>
  <c r="Z53" i="64"/>
  <c r="AF53" i="64" s="1"/>
  <c r="Z161" i="64"/>
  <c r="AF161" i="64" s="1"/>
  <c r="R109" i="64"/>
  <c r="T285" i="64"/>
  <c r="Y285" i="64" s="1"/>
  <c r="Z285" i="64" s="1"/>
  <c r="AF285" i="64" s="1"/>
  <c r="R135" i="64"/>
  <c r="T135" i="64"/>
  <c r="Y135" i="64" s="1"/>
  <c r="Z135" i="64" s="1"/>
  <c r="AF135" i="64" s="1"/>
  <c r="T282" i="64"/>
  <c r="Y282" i="64" s="1"/>
  <c r="Z282" i="64" s="1"/>
  <c r="AF282" i="64" s="1"/>
  <c r="R282" i="64"/>
  <c r="T152" i="64"/>
  <c r="Y152" i="64" s="1"/>
  <c r="Z152" i="64" s="1"/>
  <c r="AF152" i="64" s="1"/>
  <c r="R152" i="64"/>
  <c r="R266" i="64"/>
  <c r="U40" i="64"/>
  <c r="W32" i="28"/>
  <c r="W34" i="28" s="1"/>
  <c r="AB12" i="11"/>
  <c r="AC12" i="11" s="1"/>
  <c r="P163" i="64"/>
  <c r="AF169" i="64"/>
  <c r="X113" i="64"/>
  <c r="Y67" i="64"/>
  <c r="Z67" i="64" s="1"/>
  <c r="AF67" i="64" s="1"/>
  <c r="D18" i="71"/>
  <c r="G18" i="71" s="1"/>
  <c r="J18" i="71" s="1"/>
  <c r="F13" i="21"/>
  <c r="R158" i="64"/>
  <c r="T158" i="64"/>
  <c r="Y158" i="64" s="1"/>
  <c r="Z158" i="64" s="1"/>
  <c r="AF158" i="64" s="1"/>
  <c r="R78" i="64"/>
  <c r="T78" i="64"/>
  <c r="Y78" i="64" s="1"/>
  <c r="Z78" i="64" s="1"/>
  <c r="AF78" i="64" s="1"/>
  <c r="Y83" i="64"/>
  <c r="Z83" i="64" s="1"/>
  <c r="AF83" i="64" s="1"/>
  <c r="V143" i="64"/>
  <c r="V145" i="64" s="1"/>
  <c r="V40" i="64"/>
  <c r="V42" i="64" s="1"/>
  <c r="Y244" i="64"/>
  <c r="Z244" i="64" s="1"/>
  <c r="AF244" i="64" s="1"/>
  <c r="Y267" i="64"/>
  <c r="Z267" i="64" s="1"/>
  <c r="AF267" i="64" s="1"/>
  <c r="Y98" i="64"/>
  <c r="Z98" i="64" s="1"/>
  <c r="Y59" i="64"/>
  <c r="Z59" i="64" s="1"/>
  <c r="AF59" i="64" s="1"/>
  <c r="O25" i="77"/>
  <c r="Z306" i="64"/>
  <c r="AF306" i="64"/>
  <c r="R36" i="64"/>
  <c r="T36" i="64"/>
  <c r="Y36" i="64" s="1"/>
  <c r="Y119" i="64"/>
  <c r="Z119" i="64" s="1"/>
  <c r="AF119" i="64" s="1"/>
  <c r="V332" i="64"/>
  <c r="V334" i="64" s="1"/>
  <c r="V335" i="64" s="1"/>
  <c r="P40" i="64"/>
  <c r="T45" i="28"/>
  <c r="AF319" i="64"/>
  <c r="R32" i="64"/>
  <c r="T32" i="64"/>
  <c r="Y32" i="64" s="1"/>
  <c r="R52" i="64"/>
  <c r="T52" i="64"/>
  <c r="Y52" i="64" s="1"/>
  <c r="T343" i="64"/>
  <c r="Y343" i="64" s="1"/>
  <c r="Z343" i="64" s="1"/>
  <c r="AF343" i="64" s="1"/>
  <c r="R343" i="64"/>
  <c r="T317" i="64"/>
  <c r="R317" i="64"/>
  <c r="Y63" i="64"/>
  <c r="Z63" i="64" s="1"/>
  <c r="AF63" i="64" s="1"/>
  <c r="T242" i="64"/>
  <c r="Y242" i="64" s="1"/>
  <c r="Z242" i="64" s="1"/>
  <c r="AF242" i="64" s="1"/>
  <c r="R242" i="64"/>
  <c r="T313" i="64"/>
  <c r="Y313" i="64" s="1"/>
  <c r="Z313" i="64" s="1"/>
  <c r="AF313" i="64" s="1"/>
  <c r="R313" i="64"/>
  <c r="Y65" i="64"/>
  <c r="Z65" i="64" s="1"/>
  <c r="Y19" i="64"/>
  <c r="Y74" i="64"/>
  <c r="Z74" i="64" s="1"/>
  <c r="T228" i="64"/>
  <c r="Y228" i="64" s="1"/>
  <c r="R228" i="64"/>
  <c r="T206" i="64"/>
  <c r="Y206" i="64" s="1"/>
  <c r="Z206" i="64" s="1"/>
  <c r="AF206" i="64" s="1"/>
  <c r="R206" i="64"/>
  <c r="Y186" i="64"/>
  <c r="R272" i="64"/>
  <c r="T272" i="64"/>
  <c r="Y272" i="64" s="1"/>
  <c r="Z272" i="64" s="1"/>
  <c r="AF272" i="64" s="1"/>
  <c r="T312" i="64"/>
  <c r="Y312" i="64" s="1"/>
  <c r="Z312" i="64" s="1"/>
  <c r="AF312" i="64" s="1"/>
  <c r="R312" i="64"/>
  <c r="R129" i="64"/>
  <c r="T129" i="64"/>
  <c r="Y129" i="64" s="1"/>
  <c r="Z129" i="64" s="1"/>
  <c r="AF129" i="64" s="1"/>
  <c r="T362" i="64"/>
  <c r="Y362" i="64" s="1"/>
  <c r="Z362" i="64" s="1"/>
  <c r="AF362" i="64" s="1"/>
  <c r="R362" i="64"/>
  <c r="R188" i="64"/>
  <c r="T188" i="64"/>
  <c r="Y188" i="64" s="1"/>
  <c r="Z188" i="64" s="1"/>
  <c r="AF188" i="64" s="1"/>
  <c r="T182" i="64"/>
  <c r="R182" i="64"/>
  <c r="Y72" i="64"/>
  <c r="Z72" i="64" s="1"/>
  <c r="AF72" i="64" s="1"/>
  <c r="T76" i="64"/>
  <c r="R76" i="64"/>
  <c r="U76" i="64" s="1"/>
  <c r="V76" i="64" s="1"/>
  <c r="X76" i="64" s="1"/>
  <c r="R315" i="64"/>
  <c r="T315" i="64"/>
  <c r="T211" i="64"/>
  <c r="Y211" i="64" s="1"/>
  <c r="Z211" i="64" s="1"/>
  <c r="AF211" i="64" s="1"/>
  <c r="R211" i="64"/>
  <c r="T345" i="64"/>
  <c r="Y345" i="64" s="1"/>
  <c r="R345" i="64"/>
  <c r="T291" i="64"/>
  <c r="Y291" i="64" s="1"/>
  <c r="Z291" i="64" s="1"/>
  <c r="AF291" i="64" s="1"/>
  <c r="R291" i="64"/>
  <c r="R221" i="64"/>
  <c r="T221" i="64"/>
  <c r="Y221" i="64" s="1"/>
  <c r="Z221" i="64" s="1"/>
  <c r="AF221" i="64" s="1"/>
  <c r="R279" i="64"/>
  <c r="T279" i="64"/>
  <c r="Y279" i="64" s="1"/>
  <c r="Z279" i="64" s="1"/>
  <c r="AF279" i="64" s="1"/>
  <c r="T326" i="64"/>
  <c r="R326" i="64"/>
  <c r="R179" i="64"/>
  <c r="T179" i="64"/>
  <c r="X143" i="64"/>
  <c r="X145" i="64" s="1"/>
  <c r="X147" i="64" s="1"/>
  <c r="U332" i="64"/>
  <c r="R267" i="64"/>
  <c r="R23" i="64"/>
  <c r="T23" i="64"/>
  <c r="Y23" i="64" s="1"/>
  <c r="R180" i="64"/>
  <c r="T180" i="64"/>
  <c r="Y180" i="64" s="1"/>
  <c r="Z180" i="64" s="1"/>
  <c r="AF180" i="64" s="1"/>
  <c r="T153" i="64"/>
  <c r="Y153" i="64" s="1"/>
  <c r="Z153" i="64" s="1"/>
  <c r="AF153" i="64" s="1"/>
  <c r="R153" i="64"/>
  <c r="Y122" i="64"/>
  <c r="Z122" i="64" s="1"/>
  <c r="Y140" i="64"/>
  <c r="Z140" i="64" s="1"/>
  <c r="AF140" i="64" s="1"/>
  <c r="T287" i="64"/>
  <c r="Y287" i="64" s="1"/>
  <c r="R287" i="64"/>
  <c r="T80" i="64"/>
  <c r="R80" i="64"/>
  <c r="R245" i="64"/>
  <c r="T245" i="64"/>
  <c r="Y245" i="64" s="1"/>
  <c r="Z245" i="64" s="1"/>
  <c r="AF245" i="64" s="1"/>
  <c r="AF323" i="64"/>
  <c r="R268" i="64"/>
  <c r="T268" i="64"/>
  <c r="Y268" i="64" s="1"/>
  <c r="Z268" i="64" s="1"/>
  <c r="AF268" i="64" s="1"/>
  <c r="T48" i="64"/>
  <c r="Y48" i="64" s="1"/>
  <c r="Z48" i="64" s="1"/>
  <c r="AF48" i="64" s="1"/>
  <c r="R48" i="64"/>
  <c r="R229" i="64"/>
  <c r="T229" i="64"/>
  <c r="Y229" i="64" s="1"/>
  <c r="Z229" i="64" s="1"/>
  <c r="AF229" i="64" s="1"/>
  <c r="R54" i="64"/>
  <c r="T54" i="64"/>
  <c r="Y54" i="64" s="1"/>
  <c r="Z54" i="64" s="1"/>
  <c r="AF54" i="64" s="1"/>
  <c r="R307" i="64"/>
  <c r="T307" i="64"/>
  <c r="Y307" i="64" s="1"/>
  <c r="Z307" i="64" s="1"/>
  <c r="AF307" i="64" s="1"/>
  <c r="R339" i="64"/>
  <c r="T339" i="64"/>
  <c r="Y339" i="64" s="1"/>
  <c r="T204" i="64"/>
  <c r="Y204" i="64" s="1"/>
  <c r="Z204" i="64" s="1"/>
  <c r="AF204" i="64" s="1"/>
  <c r="R204" i="64"/>
  <c r="R363" i="64"/>
  <c r="T363" i="64"/>
  <c r="Y363" i="64" s="1"/>
  <c r="Y60" i="64"/>
  <c r="Z60" i="64" s="1"/>
  <c r="Y317" i="64"/>
  <c r="Z317" i="64" s="1"/>
  <c r="AF317" i="64" s="1"/>
  <c r="T270" i="64"/>
  <c r="Y270" i="64" s="1"/>
  <c r="Z270" i="64" s="1"/>
  <c r="AF270" i="64" s="1"/>
  <c r="R270" i="64"/>
  <c r="R231" i="64"/>
  <c r="T231" i="64"/>
  <c r="Y231" i="64" s="1"/>
  <c r="R265" i="64"/>
  <c r="T265" i="64"/>
  <c r="Y265" i="64" s="1"/>
  <c r="Z265" i="64" s="1"/>
  <c r="AF265" i="64" s="1"/>
  <c r="R327" i="64"/>
  <c r="T327" i="64"/>
  <c r="Y327" i="64" s="1"/>
  <c r="Z327" i="64" s="1"/>
  <c r="AF327" i="64" s="1"/>
  <c r="Y315" i="64"/>
  <c r="Z315" i="64" s="1"/>
  <c r="X332" i="64"/>
  <c r="X334" i="64" s="1"/>
  <c r="X335" i="64" s="1"/>
  <c r="U100" i="64"/>
  <c r="U143" i="64"/>
  <c r="U145" i="64" s="1"/>
  <c r="U190" i="64"/>
  <c r="X40" i="64"/>
  <c r="X42" i="64" s="1"/>
  <c r="T210" i="64"/>
  <c r="Y210" i="64" s="1"/>
  <c r="Z210" i="64" s="1"/>
  <c r="AF210" i="64" s="1"/>
  <c r="R210" i="64"/>
  <c r="T58" i="64"/>
  <c r="Y58" i="64" s="1"/>
  <c r="R58" i="64"/>
  <c r="T46" i="64"/>
  <c r="Y46" i="64" s="1"/>
  <c r="Z46" i="64" s="1"/>
  <c r="AF46" i="64" s="1"/>
  <c r="R46" i="64"/>
  <c r="T253" i="64"/>
  <c r="Y253" i="64" s="1"/>
  <c r="Z253" i="64" s="1"/>
  <c r="AF253" i="64" s="1"/>
  <c r="R253" i="64"/>
  <c r="Y280" i="64"/>
  <c r="Z280" i="64" s="1"/>
  <c r="AF280" i="64" s="1"/>
  <c r="R38" i="64"/>
  <c r="T38" i="64"/>
  <c r="Y38" i="64" s="1"/>
  <c r="Z38" i="64" s="1"/>
  <c r="R269" i="64"/>
  <c r="T269" i="64"/>
  <c r="Y269" i="64" s="1"/>
  <c r="Z269" i="64" s="1"/>
  <c r="AF269" i="64" s="1"/>
  <c r="Y80" i="64"/>
  <c r="R352" i="64"/>
  <c r="T352" i="64"/>
  <c r="Y352" i="64" s="1"/>
  <c r="Z352" i="64" s="1"/>
  <c r="AF352" i="64" s="1"/>
  <c r="R57" i="64"/>
  <c r="T57" i="64"/>
  <c r="Y57" i="64" s="1"/>
  <c r="Z57" i="64" s="1"/>
  <c r="AF57" i="64" s="1"/>
  <c r="Y309" i="64"/>
  <c r="Z309" i="64" s="1"/>
  <c r="AF309" i="64" s="1"/>
  <c r="R237" i="64"/>
  <c r="T237" i="64"/>
  <c r="Y237" i="64" s="1"/>
  <c r="Y297" i="64"/>
  <c r="Z297" i="64" s="1"/>
  <c r="AF297" i="64" s="1"/>
  <c r="R31" i="64"/>
  <c r="T31" i="64"/>
  <c r="Y31" i="64" s="1"/>
  <c r="Z31" i="64" s="1"/>
  <c r="AF31" i="64" s="1"/>
  <c r="R308" i="64"/>
  <c r="T308" i="64"/>
  <c r="Y308" i="64" s="1"/>
  <c r="Z308" i="64" s="1"/>
  <c r="AF308" i="64" s="1"/>
  <c r="T302" i="64"/>
  <c r="Y302" i="64" s="1"/>
  <c r="Z302" i="64" s="1"/>
  <c r="AF302" i="64" s="1"/>
  <c r="R302" i="64"/>
  <c r="R350" i="64"/>
  <c r="T350" i="64"/>
  <c r="Y350" i="64" s="1"/>
  <c r="Z350" i="64" s="1"/>
  <c r="AF350" i="64" s="1"/>
  <c r="T136" i="64"/>
  <c r="Y136" i="64" s="1"/>
  <c r="Z136" i="64" s="1"/>
  <c r="AF136" i="64" s="1"/>
  <c r="R136" i="64"/>
  <c r="R26" i="64"/>
  <c r="T26" i="64"/>
  <c r="Y26" i="64" s="1"/>
  <c r="Z26" i="64" s="1"/>
  <c r="AF26" i="64" s="1"/>
  <c r="R127" i="64"/>
  <c r="T127" i="64"/>
  <c r="Y127" i="64" s="1"/>
  <c r="Z127" i="64" s="1"/>
  <c r="AF127" i="64" s="1"/>
  <c r="Y326" i="64"/>
  <c r="Z326" i="64" s="1"/>
  <c r="AF326" i="64" s="1"/>
  <c r="T218" i="64"/>
  <c r="Y218" i="64" s="1"/>
  <c r="Z218" i="64" s="1"/>
  <c r="AF218" i="64" s="1"/>
  <c r="R218" i="64"/>
  <c r="T354" i="64"/>
  <c r="Y354" i="64" s="1"/>
  <c r="Z354" i="64" s="1"/>
  <c r="AF354" i="64" s="1"/>
  <c r="R354" i="64"/>
  <c r="R132" i="64"/>
  <c r="T132" i="64"/>
  <c r="Y132" i="64" s="1"/>
  <c r="Z132" i="64" s="1"/>
  <c r="R320" i="64"/>
  <c r="T320" i="64"/>
  <c r="Y320" i="64" s="1"/>
  <c r="Y182" i="64"/>
  <c r="Z182" i="64" s="1"/>
  <c r="T116" i="64"/>
  <c r="Y116" i="64" s="1"/>
  <c r="Z116" i="64" s="1"/>
  <c r="AF116" i="64" s="1"/>
  <c r="R116" i="64"/>
  <c r="T197" i="64"/>
  <c r="Y197" i="64" s="1"/>
  <c r="Z197" i="64" s="1"/>
  <c r="R197" i="64"/>
  <c r="Z363" i="64"/>
  <c r="AF363" i="64" s="1"/>
  <c r="T299" i="64"/>
  <c r="Y299" i="64" s="1"/>
  <c r="Z299" i="64" s="1"/>
  <c r="AF299" i="64" s="1"/>
  <c r="R299" i="64"/>
  <c r="R223" i="64"/>
  <c r="T223" i="64"/>
  <c r="Y223" i="64" s="1"/>
  <c r="Z223" i="64" s="1"/>
  <c r="AF223" i="64" s="1"/>
  <c r="Y141" i="64"/>
  <c r="Z141" i="64" s="1"/>
  <c r="AF141" i="64" s="1"/>
  <c r="T54" i="28"/>
  <c r="Y69" i="64"/>
  <c r="AF55" i="64"/>
  <c r="L373" i="64"/>
  <c r="L378" i="64" s="1"/>
  <c r="L382" i="64" s="1"/>
  <c r="Y187" i="64"/>
  <c r="Z259" i="64"/>
  <c r="AF259" i="64" s="1"/>
  <c r="Z131" i="64"/>
  <c r="AF131" i="64" s="1"/>
  <c r="AB29" i="11"/>
  <c r="D24" i="20" s="1"/>
  <c r="AA57" i="11"/>
  <c r="Y45" i="28"/>
  <c r="Z310" i="64"/>
  <c r="AF310" i="64" s="1"/>
  <c r="Z360" i="64"/>
  <c r="AF360" i="64" s="1"/>
  <c r="C40" i="18"/>
  <c r="C130" i="84"/>
  <c r="G19" i="71"/>
  <c r="J19" i="71" s="1"/>
  <c r="Y71" i="64"/>
  <c r="Z71" i="64" s="1"/>
  <c r="T246" i="64"/>
  <c r="Y246" i="64" s="1"/>
  <c r="Z246" i="64" s="1"/>
  <c r="AF246" i="64" s="1"/>
  <c r="R246" i="64"/>
  <c r="R47" i="64"/>
  <c r="T47" i="64"/>
  <c r="Y47" i="64" s="1"/>
  <c r="Z47" i="64" s="1"/>
  <c r="AF47" i="64" s="1"/>
  <c r="R39" i="64"/>
  <c r="T39" i="64"/>
  <c r="Y39" i="64" s="1"/>
  <c r="Z39" i="64" s="1"/>
  <c r="AF203" i="64"/>
  <c r="R238" i="64"/>
  <c r="T238" i="64"/>
  <c r="R303" i="64"/>
  <c r="T303" i="64"/>
  <c r="Y303" i="64" s="1"/>
  <c r="Z303" i="64" s="1"/>
  <c r="AF303" i="64" s="1"/>
  <c r="Z289" i="64"/>
  <c r="AF289" i="64" s="1"/>
  <c r="T170" i="64"/>
  <c r="Y170" i="64" s="1"/>
  <c r="Z170" i="64" s="1"/>
  <c r="R170" i="64"/>
  <c r="R176" i="64" s="1"/>
  <c r="L20" i="63" s="1"/>
  <c r="B90" i="16" s="1"/>
  <c r="T90" i="16" s="1"/>
  <c r="E90" i="71" s="1"/>
  <c r="G90" i="71" s="1"/>
  <c r="J90" i="71" s="1"/>
  <c r="P176" i="64"/>
  <c r="H20" i="63" s="1"/>
  <c r="R295" i="64"/>
  <c r="T295" i="64"/>
  <c r="Y295" i="64" s="1"/>
  <c r="Z295" i="64" s="1"/>
  <c r="AF295" i="64" s="1"/>
  <c r="AF207" i="64"/>
  <c r="Z130" i="64"/>
  <c r="AF130" i="64" s="1"/>
  <c r="AF322" i="64"/>
  <c r="T255" i="64"/>
  <c r="Y255" i="64" s="1"/>
  <c r="R255" i="64"/>
  <c r="R94" i="64"/>
  <c r="T94" i="64"/>
  <c r="Y94" i="64" s="1"/>
  <c r="T324" i="64"/>
  <c r="Y324" i="64" s="1"/>
  <c r="Z324" i="64" s="1"/>
  <c r="AF324" i="64" s="1"/>
  <c r="R324" i="64"/>
  <c r="Z256" i="64"/>
  <c r="AF256" i="64" s="1"/>
  <c r="C64" i="11"/>
  <c r="C66" i="11" s="1"/>
  <c r="Z255" i="64"/>
  <c r="AF255" i="64" s="1"/>
  <c r="T241" i="64"/>
  <c r="Y241" i="64" s="1"/>
  <c r="Z241" i="64" s="1"/>
  <c r="R241" i="64"/>
  <c r="T151" i="64"/>
  <c r="R151" i="64"/>
  <c r="R163" i="64" s="1"/>
  <c r="Z219" i="64"/>
  <c r="AF219" i="64" s="1"/>
  <c r="Z128" i="64"/>
  <c r="AF128" i="64" s="1"/>
  <c r="Y238" i="64"/>
  <c r="Z238" i="64" s="1"/>
  <c r="R214" i="64"/>
  <c r="T214" i="64"/>
  <c r="Y214" i="64" s="1"/>
  <c r="Z214" i="64" s="1"/>
  <c r="AF214" i="64" s="1"/>
  <c r="R195" i="64"/>
  <c r="T195" i="64"/>
  <c r="Y195" i="64" s="1"/>
  <c r="Z181" i="64"/>
  <c r="AF181" i="64" s="1"/>
  <c r="R274" i="64"/>
  <c r="T274" i="64"/>
  <c r="Y274" i="64" s="1"/>
  <c r="Z274" i="64" s="1"/>
  <c r="AF274" i="64" s="1"/>
  <c r="N165" i="64"/>
  <c r="Z61" i="64"/>
  <c r="AF61" i="64" s="1"/>
  <c r="N20" i="28"/>
  <c r="T20" i="28" s="1"/>
  <c r="T30" i="28" s="1"/>
  <c r="K30" i="28"/>
  <c r="K57" i="28" s="1"/>
  <c r="AD13" i="28" s="1"/>
  <c r="Y20" i="28"/>
  <c r="Y30" i="28" s="1"/>
  <c r="P102" i="64"/>
  <c r="H16" i="63"/>
  <c r="V48" i="28"/>
  <c r="AF224" i="64"/>
  <c r="AF171" i="64"/>
  <c r="V155" i="64"/>
  <c r="U163" i="64"/>
  <c r="AF330" i="64"/>
  <c r="T20" i="16"/>
  <c r="D21" i="16"/>
  <c r="D99" i="16" s="1"/>
  <c r="Z92" i="64"/>
  <c r="AF92" i="64" s="1"/>
  <c r="L59" i="28"/>
  <c r="U12" i="28"/>
  <c r="U13" i="28" s="1"/>
  <c r="L13" i="28"/>
  <c r="L57" i="28" s="1"/>
  <c r="L58" i="28" s="1"/>
  <c r="Z252" i="64"/>
  <c r="AF252" i="64" s="1"/>
  <c r="Z124" i="64"/>
  <c r="AF124" i="64" s="1"/>
  <c r="Z45" i="64"/>
  <c r="AF45" i="64" s="1"/>
  <c r="AF77" i="64"/>
  <c r="Y66" i="64"/>
  <c r="Z66" i="64" s="1"/>
  <c r="AF66" i="64" s="1"/>
  <c r="Z357" i="64"/>
  <c r="AF357" i="64" s="1"/>
  <c r="D25" i="63"/>
  <c r="O88" i="7"/>
  <c r="O95" i="7" s="1"/>
  <c r="Z342" i="64"/>
  <c r="AF342" i="64" s="1"/>
  <c r="Z286" i="64"/>
  <c r="AF286" i="64" s="1"/>
  <c r="AF88" i="64"/>
  <c r="AF196" i="64"/>
  <c r="T68" i="16"/>
  <c r="G68" i="71" s="1"/>
  <c r="J68" i="71" s="1"/>
  <c r="AF264" i="64"/>
  <c r="T176" i="64"/>
  <c r="W21" i="28"/>
  <c r="U21" i="28"/>
  <c r="AF249" i="64"/>
  <c r="Y117" i="64"/>
  <c r="Z117" i="64" s="1"/>
  <c r="AF117" i="64" s="1"/>
  <c r="Z239" i="64"/>
  <c r="AF239" i="64" s="1"/>
  <c r="Y184" i="64"/>
  <c r="Z184" i="64" s="1"/>
  <c r="AF184" i="64" s="1"/>
  <c r="Z351" i="64"/>
  <c r="AF351" i="64" s="1"/>
  <c r="X36" i="28"/>
  <c r="X48" i="28"/>
  <c r="W41" i="28"/>
  <c r="X41" i="28"/>
  <c r="X21" i="28"/>
  <c r="Z21" i="28"/>
  <c r="V21" i="28"/>
  <c r="Z48" i="28"/>
  <c r="X47" i="28"/>
  <c r="V41" i="28"/>
  <c r="W48" i="28"/>
  <c r="T34" i="28"/>
  <c r="X33" i="28"/>
  <c r="X34" i="28" s="1"/>
  <c r="V33" i="28"/>
  <c r="V34" i="28" s="1"/>
  <c r="V49" i="28"/>
  <c r="X49" i="28"/>
  <c r="Z49" i="28"/>
  <c r="Z33" i="28"/>
  <c r="Z34" i="28" s="1"/>
  <c r="H25" i="20"/>
  <c r="P24" i="7"/>
  <c r="Q24" i="7" s="1"/>
  <c r="S24" i="7" s="1"/>
  <c r="D25" i="71"/>
  <c r="G25" i="71" s="1"/>
  <c r="W40" i="28"/>
  <c r="V40" i="28"/>
  <c r="U40" i="28"/>
  <c r="X40" i="28"/>
  <c r="C32" i="18"/>
  <c r="C34" i="18" s="1"/>
  <c r="N58" i="16" s="1"/>
  <c r="H36" i="17"/>
  <c r="L36" i="17" s="1"/>
  <c r="C16" i="19"/>
  <c r="Z47" i="28"/>
  <c r="V47" i="28"/>
  <c r="W49" i="28"/>
  <c r="U47" i="28"/>
  <c r="U54" i="28" s="1"/>
  <c r="W47" i="28"/>
  <c r="AF201" i="64"/>
  <c r="Z298" i="64"/>
  <c r="AF298" i="64" s="1"/>
  <c r="Z121" i="64"/>
  <c r="AF121" i="64" s="1"/>
  <c r="P145" i="64"/>
  <c r="H18" i="63"/>
  <c r="Z205" i="64"/>
  <c r="AF205" i="64" s="1"/>
  <c r="X183" i="64"/>
  <c r="V190" i="64"/>
  <c r="V192" i="64" s="1"/>
  <c r="Z23" i="64"/>
  <c r="AF23" i="64" s="1"/>
  <c r="AF107" i="64"/>
  <c r="P37" i="7"/>
  <c r="Q37" i="7" s="1"/>
  <c r="S37" i="7" s="1"/>
  <c r="H38" i="20"/>
  <c r="D38" i="71"/>
  <c r="G38" i="71" s="1"/>
  <c r="V36" i="28"/>
  <c r="AA14" i="11"/>
  <c r="G28" i="71"/>
  <c r="AF300" i="64"/>
  <c r="Z213" i="64"/>
  <c r="AF213" i="64" s="1"/>
  <c r="U113" i="64"/>
  <c r="N17" i="63"/>
  <c r="Y157" i="64"/>
  <c r="T163" i="64"/>
  <c r="T165" i="64" s="1"/>
  <c r="N16" i="63"/>
  <c r="U102" i="64"/>
  <c r="C58" i="11"/>
  <c r="F74" i="16"/>
  <c r="T74" i="16" s="1"/>
  <c r="Y59" i="28"/>
  <c r="V147" i="64"/>
  <c r="AA30" i="11"/>
  <c r="AB30" i="11" s="1"/>
  <c r="C98" i="71"/>
  <c r="B87" i="16"/>
  <c r="T87" i="16" s="1"/>
  <c r="U334" i="64"/>
  <c r="U335" i="64" s="1"/>
  <c r="N22" i="63"/>
  <c r="Z28" i="64"/>
  <c r="AF28" i="64" s="1"/>
  <c r="T109" i="64"/>
  <c r="T113" i="64" s="1"/>
  <c r="Y106" i="64"/>
  <c r="F25" i="63"/>
  <c r="M57" i="84"/>
  <c r="L56" i="16"/>
  <c r="T56" i="16" s="1"/>
  <c r="V355" i="64"/>
  <c r="U368" i="64"/>
  <c r="U367" i="64"/>
  <c r="U36" i="28"/>
  <c r="W36" i="28"/>
  <c r="G64" i="71"/>
  <c r="J64" i="71" s="1"/>
  <c r="AF341" i="64"/>
  <c r="Y151" i="64"/>
  <c r="F77" i="16"/>
  <c r="AA59" i="28"/>
  <c r="AA61" i="28" s="1"/>
  <c r="X81" i="64"/>
  <c r="V100" i="64"/>
  <c r="V102" i="64" s="1"/>
  <c r="AF240" i="64"/>
  <c r="AD12" i="11"/>
  <c r="AD55" i="11" s="1"/>
  <c r="Y55" i="11"/>
  <c r="Y58" i="11" s="1"/>
  <c r="N16" i="16"/>
  <c r="T16" i="16" s="1"/>
  <c r="C20" i="71"/>
  <c r="C29" i="79" s="1"/>
  <c r="C30" i="79" s="1"/>
  <c r="G15" i="71"/>
  <c r="Z64" i="64"/>
  <c r="AF64" i="64" s="1"/>
  <c r="R113" i="64"/>
  <c r="L17" i="63"/>
  <c r="B95" i="16" s="1"/>
  <c r="H83" i="16"/>
  <c r="T83" i="16" s="1"/>
  <c r="F11" i="54"/>
  <c r="F41" i="20"/>
  <c r="F98" i="20" s="1"/>
  <c r="D40" i="71"/>
  <c r="G40" i="71" s="1"/>
  <c r="J40" i="71" s="1"/>
  <c r="H40" i="20"/>
  <c r="P39" i="7" s="1"/>
  <c r="Q39" i="7" s="1"/>
  <c r="S39" i="7" s="1"/>
  <c r="U192" i="64"/>
  <c r="N21" i="63"/>
  <c r="D46" i="20"/>
  <c r="H46" i="20" s="1"/>
  <c r="Z358" i="64"/>
  <c r="AF358" i="64" s="1"/>
  <c r="Z314" i="64"/>
  <c r="AF314" i="64" s="1"/>
  <c r="P113" i="64"/>
  <c r="H17" i="63"/>
  <c r="Z168" i="64"/>
  <c r="F82" i="16"/>
  <c r="Z59" i="28"/>
  <c r="P165" i="64"/>
  <c r="H19" i="63"/>
  <c r="AA19" i="11"/>
  <c r="AA54" i="11"/>
  <c r="AB54" i="11" s="1"/>
  <c r="Y118" i="64"/>
  <c r="B36" i="66"/>
  <c r="F79" i="16"/>
  <c r="L70" i="16"/>
  <c r="T355" i="64"/>
  <c r="P368" i="64"/>
  <c r="R355" i="64"/>
  <c r="P367" i="64"/>
  <c r="P42" i="64"/>
  <c r="H15" i="63"/>
  <c r="C20" i="19"/>
  <c r="C22" i="19" s="1"/>
  <c r="J38" i="17" s="1"/>
  <c r="C42" i="77"/>
  <c r="C43" i="77" s="1"/>
  <c r="J97" i="16"/>
  <c r="J99" i="16" s="1"/>
  <c r="B23" i="79"/>
  <c r="B24" i="79" s="1"/>
  <c r="B27" i="79" s="1"/>
  <c r="W16" i="28"/>
  <c r="V16" i="28"/>
  <c r="X16" i="28"/>
  <c r="U16" i="28"/>
  <c r="Z16" i="28"/>
  <c r="AC39" i="28"/>
  <c r="X15" i="28"/>
  <c r="X18" i="28" s="1"/>
  <c r="U15" i="28"/>
  <c r="U18" i="28" s="1"/>
  <c r="W15" i="28"/>
  <c r="W18" i="28" s="1"/>
  <c r="V15" i="28"/>
  <c r="V18" i="28" s="1"/>
  <c r="Z15" i="28"/>
  <c r="M110" i="84"/>
  <c r="C123" i="84"/>
  <c r="Y57" i="28" l="1"/>
  <c r="T332" i="64"/>
  <c r="T334" i="64" s="1"/>
  <c r="T335" i="64" s="1"/>
  <c r="AF98" i="64"/>
  <c r="H22" i="63"/>
  <c r="U45" i="28"/>
  <c r="AC18" i="11"/>
  <c r="AC55" i="11" s="1"/>
  <c r="P192" i="64"/>
  <c r="R143" i="64"/>
  <c r="L18" i="63" s="1"/>
  <c r="B88" i="16" s="1"/>
  <c r="R190" i="64"/>
  <c r="AF74" i="64"/>
  <c r="AF65" i="64"/>
  <c r="Y176" i="64"/>
  <c r="P20" i="63" s="1"/>
  <c r="G10" i="21"/>
  <c r="G11" i="21"/>
  <c r="B14" i="20" s="1"/>
  <c r="N15" i="63"/>
  <c r="U42" i="64"/>
  <c r="N18" i="63"/>
  <c r="Z20" i="28"/>
  <c r="Z30" i="28" s="1"/>
  <c r="Z54" i="28"/>
  <c r="R332" i="64"/>
  <c r="R334" i="64" s="1"/>
  <c r="R335" i="64" s="1"/>
  <c r="AF315" i="64"/>
  <c r="AF122" i="64"/>
  <c r="R40" i="64"/>
  <c r="L15" i="63" s="1"/>
  <c r="B96" i="16" s="1"/>
  <c r="T190" i="64"/>
  <c r="T192" i="64" s="1"/>
  <c r="Z58" i="64"/>
  <c r="AF58" i="64" s="1"/>
  <c r="Z320" i="64"/>
  <c r="AF320" i="64" s="1"/>
  <c r="Z231" i="64"/>
  <c r="AF231" i="64" s="1"/>
  <c r="Z228" i="64"/>
  <c r="AF228" i="64" s="1"/>
  <c r="Z339" i="64"/>
  <c r="AF339" i="64" s="1"/>
  <c r="Z52" i="64"/>
  <c r="AF52" i="64" s="1"/>
  <c r="V54" i="28"/>
  <c r="R100" i="64"/>
  <c r="L16" i="63" s="1"/>
  <c r="B93" i="16" s="1"/>
  <c r="T93" i="16" s="1"/>
  <c r="E93" i="71" s="1"/>
  <c r="G93" i="71" s="1"/>
  <c r="J93" i="71" s="1"/>
  <c r="AF71" i="64"/>
  <c r="T57" i="28"/>
  <c r="AF38" i="64"/>
  <c r="Z345" i="64"/>
  <c r="AF345" i="64" s="1"/>
  <c r="Y179" i="64"/>
  <c r="Z179" i="64" s="1"/>
  <c r="AF179" i="64" s="1"/>
  <c r="Z186" i="64"/>
  <c r="AF186" i="64" s="1"/>
  <c r="Z19" i="64"/>
  <c r="AF19" i="64" s="1"/>
  <c r="AF132" i="64"/>
  <c r="Y40" i="64"/>
  <c r="P15" i="63" s="1"/>
  <c r="T143" i="64"/>
  <c r="T145" i="64" s="1"/>
  <c r="X54" i="28"/>
  <c r="Z237" i="64"/>
  <c r="AF237" i="64" s="1"/>
  <c r="Z80" i="64"/>
  <c r="AF80" i="64" s="1"/>
  <c r="AF60" i="64"/>
  <c r="Z32" i="64"/>
  <c r="AF32" i="64" s="1"/>
  <c r="Z36" i="64"/>
  <c r="AF36" i="64" s="1"/>
  <c r="Z287" i="64"/>
  <c r="AF287" i="64" s="1"/>
  <c r="W45" i="28"/>
  <c r="V45" i="28"/>
  <c r="AF182" i="64"/>
  <c r="AF197" i="64"/>
  <c r="Y76" i="64"/>
  <c r="Z76" i="64" s="1"/>
  <c r="AF76" i="64" s="1"/>
  <c r="T40" i="64"/>
  <c r="T42" i="64" s="1"/>
  <c r="Z18" i="28"/>
  <c r="Y61" i="28"/>
  <c r="Z69" i="64"/>
  <c r="AF69" i="64" s="1"/>
  <c r="W54" i="28"/>
  <c r="Z187" i="64"/>
  <c r="AF187" i="64" s="1"/>
  <c r="X45" i="28"/>
  <c r="AF238" i="64"/>
  <c r="T21" i="16"/>
  <c r="B25" i="17"/>
  <c r="L25" i="17" s="1"/>
  <c r="H25" i="71" s="1"/>
  <c r="J25" i="71" s="1"/>
  <c r="C125" i="84"/>
  <c r="C127" i="84" s="1"/>
  <c r="C129" i="84" s="1"/>
  <c r="C41" i="18" s="1"/>
  <c r="C42" i="18" s="1"/>
  <c r="R80" i="16" s="1"/>
  <c r="T80" i="16" s="1"/>
  <c r="Z94" i="64"/>
  <c r="AF94" i="64" s="1"/>
  <c r="Z195" i="64"/>
  <c r="AF195" i="64" s="1"/>
  <c r="Y332" i="64"/>
  <c r="P22" i="63" s="1"/>
  <c r="L22" i="63"/>
  <c r="B94" i="16" s="1"/>
  <c r="R165" i="64"/>
  <c r="L19" i="63"/>
  <c r="B89" i="16" s="1"/>
  <c r="AF241" i="64"/>
  <c r="AF170" i="64"/>
  <c r="Z176" i="64"/>
  <c r="R20" i="63" s="1"/>
  <c r="U147" i="64"/>
  <c r="T100" i="64"/>
  <c r="T102" i="64" s="1"/>
  <c r="V20" i="28"/>
  <c r="V30" i="28" s="1"/>
  <c r="N55" i="28"/>
  <c r="X20" i="28"/>
  <c r="X30" i="28" s="1"/>
  <c r="W20" i="28"/>
  <c r="W30" i="28" s="1"/>
  <c r="U20" i="28"/>
  <c r="U30" i="28" s="1"/>
  <c r="U57" i="28" s="1"/>
  <c r="L60" i="28"/>
  <c r="R192" i="64"/>
  <c r="L21" i="63"/>
  <c r="B91" i="16" s="1"/>
  <c r="T94" i="16"/>
  <c r="E94" i="71" s="1"/>
  <c r="G94" i="71" s="1"/>
  <c r="J94" i="71" s="1"/>
  <c r="T95" i="16"/>
  <c r="E95" i="71" s="1"/>
  <c r="G95" i="71" s="1"/>
  <c r="J95" i="71" s="1"/>
  <c r="T89" i="16"/>
  <c r="E89" i="71" s="1"/>
  <c r="G89" i="71" s="1"/>
  <c r="J89" i="71" s="1"/>
  <c r="H97" i="17"/>
  <c r="H99" i="17" s="1"/>
  <c r="H36" i="71"/>
  <c r="J36" i="71" s="1"/>
  <c r="U165" i="64"/>
  <c r="N19" i="63"/>
  <c r="T147" i="64"/>
  <c r="X155" i="64"/>
  <c r="V163" i="64"/>
  <c r="V165" i="64" s="1"/>
  <c r="B28" i="17"/>
  <c r="L28" i="17" s="1"/>
  <c r="H28" i="71" s="1"/>
  <c r="J28" i="71" s="1"/>
  <c r="E58" i="71"/>
  <c r="G58" i="71" s="1"/>
  <c r="J58" i="71" s="1"/>
  <c r="N97" i="16"/>
  <c r="T58" i="16"/>
  <c r="T82" i="16"/>
  <c r="E82" i="71" s="1"/>
  <c r="G82" i="71" s="1"/>
  <c r="J82" i="71" s="1"/>
  <c r="T62" i="16"/>
  <c r="E62" i="71" s="1"/>
  <c r="G62" i="71" s="1"/>
  <c r="J62" i="71" s="1"/>
  <c r="T77" i="16"/>
  <c r="E77" i="71" s="1"/>
  <c r="G77" i="71" s="1"/>
  <c r="J77" i="71" s="1"/>
  <c r="T70" i="16"/>
  <c r="E70" i="71" s="1"/>
  <c r="G70" i="71" s="1"/>
  <c r="J70" i="71" s="1"/>
  <c r="T79" i="16"/>
  <c r="E79" i="71" s="1"/>
  <c r="G79" i="71" s="1"/>
  <c r="J79" i="71" s="1"/>
  <c r="E47" i="71"/>
  <c r="G47" i="71" s="1"/>
  <c r="J47" i="71" s="1"/>
  <c r="T47" i="16"/>
  <c r="C101" i="71"/>
  <c r="R145" i="64"/>
  <c r="R147" i="64" s="1"/>
  <c r="Y183" i="64"/>
  <c r="X190" i="64"/>
  <c r="X192" i="64" s="1"/>
  <c r="Z118" i="64"/>
  <c r="Z143" i="64" s="1"/>
  <c r="Y143" i="64"/>
  <c r="AF168" i="64"/>
  <c r="AF176" i="64" s="1"/>
  <c r="J15" i="71"/>
  <c r="N23" i="63"/>
  <c r="U369" i="64"/>
  <c r="E87" i="71"/>
  <c r="G87" i="71" s="1"/>
  <c r="J87" i="71" s="1"/>
  <c r="F29" i="16"/>
  <c r="T29" i="16" s="1"/>
  <c r="E74" i="71"/>
  <c r="G74" i="71" s="1"/>
  <c r="J74" i="71" s="1"/>
  <c r="R368" i="64"/>
  <c r="R367" i="64"/>
  <c r="T367" i="64"/>
  <c r="T368" i="64"/>
  <c r="D27" i="71"/>
  <c r="G27" i="71" s="1"/>
  <c r="B27" i="17" s="1"/>
  <c r="L27" i="17" s="1"/>
  <c r="H27" i="71" s="1"/>
  <c r="J27" i="71" s="1"/>
  <c r="P26" i="7"/>
  <c r="Q26" i="7" s="1"/>
  <c r="S26" i="7" s="1"/>
  <c r="H27" i="20"/>
  <c r="Y109" i="64"/>
  <c r="Z106" i="64"/>
  <c r="Z109" i="64" s="1"/>
  <c r="P147" i="64"/>
  <c r="Y81" i="64"/>
  <c r="Y100" i="64" s="1"/>
  <c r="X100" i="64"/>
  <c r="X102" i="64" s="1"/>
  <c r="E56" i="71"/>
  <c r="G56" i="71" s="1"/>
  <c r="J56" i="71" s="1"/>
  <c r="D24" i="71"/>
  <c r="H24" i="20"/>
  <c r="P23" i="7"/>
  <c r="AC59" i="28"/>
  <c r="Z157" i="64"/>
  <c r="AF157" i="64" s="1"/>
  <c r="L38" i="17"/>
  <c r="H38" i="71" s="1"/>
  <c r="J38" i="71" s="1"/>
  <c r="H23" i="63"/>
  <c r="H25" i="63" s="1"/>
  <c r="P369" i="64"/>
  <c r="G33" i="71"/>
  <c r="J33" i="71" s="1"/>
  <c r="D41" i="71"/>
  <c r="G41" i="71" s="1"/>
  <c r="H41" i="20"/>
  <c r="P40" i="7" s="1"/>
  <c r="Q40" i="7" s="1"/>
  <c r="F15" i="20" s="1"/>
  <c r="E83" i="71"/>
  <c r="G83" i="71" s="1"/>
  <c r="J83" i="71" s="1"/>
  <c r="H97" i="16"/>
  <c r="H99" i="16" s="1"/>
  <c r="N21" i="16"/>
  <c r="Z151" i="64"/>
  <c r="V368" i="64"/>
  <c r="X355" i="64"/>
  <c r="V367" i="64"/>
  <c r="C106" i="71"/>
  <c r="AB14" i="11"/>
  <c r="AA55" i="11"/>
  <c r="AD54" i="28"/>
  <c r="AD45" i="28"/>
  <c r="AD30" i="28"/>
  <c r="AD34" i="28"/>
  <c r="AD18" i="28"/>
  <c r="V57" i="28" l="1"/>
  <c r="X57" i="28"/>
  <c r="Z57" i="28"/>
  <c r="Z61" i="28" s="1"/>
  <c r="R102" i="64"/>
  <c r="Y190" i="64"/>
  <c r="Y334" i="64"/>
  <c r="Y335" i="64" s="1"/>
  <c r="R42" i="64"/>
  <c r="D13" i="71"/>
  <c r="G13" i="71" s="1"/>
  <c r="J13" i="71" s="1"/>
  <c r="H14" i="20"/>
  <c r="P13" i="7" s="1"/>
  <c r="Q13" i="7" s="1"/>
  <c r="S13" i="7" s="1"/>
  <c r="N25" i="63"/>
  <c r="B13" i="20"/>
  <c r="G13" i="21"/>
  <c r="AF40" i="64"/>
  <c r="AF42" i="64" s="1"/>
  <c r="C131" i="84"/>
  <c r="Y42" i="64"/>
  <c r="AF332" i="64"/>
  <c r="AF334" i="64" s="1"/>
  <c r="W57" i="28"/>
  <c r="X58" i="28" s="1"/>
  <c r="Z40" i="64"/>
  <c r="Z332" i="64"/>
  <c r="O168" i="40"/>
  <c r="O169" i="40" s="1"/>
  <c r="C105" i="71"/>
  <c r="E80" i="71"/>
  <c r="G80" i="71" s="1"/>
  <c r="J80" i="71" s="1"/>
  <c r="R97" i="16"/>
  <c r="R99" i="16" s="1"/>
  <c r="Y155" i="64"/>
  <c r="Y163" i="64" s="1"/>
  <c r="X163" i="64"/>
  <c r="X165" i="64" s="1"/>
  <c r="AF118" i="64"/>
  <c r="AF143" i="64" s="1"/>
  <c r="AF145" i="64" s="1"/>
  <c r="Z183" i="64"/>
  <c r="Z190" i="64" s="1"/>
  <c r="Z192" i="64" s="1"/>
  <c r="T91" i="16"/>
  <c r="E91" i="71" s="1"/>
  <c r="G91" i="71" s="1"/>
  <c r="J91" i="71" s="1"/>
  <c r="T96" i="16"/>
  <c r="E96" i="71" s="1"/>
  <c r="G96" i="71" s="1"/>
  <c r="J96" i="71" s="1"/>
  <c r="Z81" i="64"/>
  <c r="Z100" i="64" s="1"/>
  <c r="R16" i="63" s="1"/>
  <c r="T58" i="28"/>
  <c r="T60" i="28" s="1"/>
  <c r="N99" i="16"/>
  <c r="T88" i="16"/>
  <c r="L97" i="16"/>
  <c r="L99" i="16" s="1"/>
  <c r="Y113" i="64"/>
  <c r="P17" i="63"/>
  <c r="AC43" i="28"/>
  <c r="AC42" i="28"/>
  <c r="AC26" i="28"/>
  <c r="AC28" i="28"/>
  <c r="AC22" i="28"/>
  <c r="AC40" i="28"/>
  <c r="AC49" i="28"/>
  <c r="AC38" i="28"/>
  <c r="AC37" i="28"/>
  <c r="AC17" i="28"/>
  <c r="V369" i="64"/>
  <c r="S40" i="7"/>
  <c r="Q23" i="7"/>
  <c r="AF106" i="64"/>
  <c r="AF109" i="64" s="1"/>
  <c r="AF113" i="64" s="1"/>
  <c r="AF151" i="64"/>
  <c r="R15" i="63"/>
  <c r="Z42" i="64"/>
  <c r="D98" i="20"/>
  <c r="D100" i="20" s="1"/>
  <c r="AB55" i="11"/>
  <c r="AB62" i="11" s="1"/>
  <c r="AB63" i="11" s="1"/>
  <c r="X368" i="64"/>
  <c r="Y355" i="64"/>
  <c r="Z355" i="64" s="1"/>
  <c r="X367" i="64"/>
  <c r="X373" i="64" s="1"/>
  <c r="C25" i="19"/>
  <c r="D26" i="71"/>
  <c r="G26" i="71" s="1"/>
  <c r="B26" i="17" s="1"/>
  <c r="L26" i="17" s="1"/>
  <c r="H26" i="71" s="1"/>
  <c r="J26" i="71" s="1"/>
  <c r="H26" i="20"/>
  <c r="P25" i="7"/>
  <c r="Q25" i="7" s="1"/>
  <c r="S25" i="7" s="1"/>
  <c r="Y102" i="64"/>
  <c r="P16" i="63"/>
  <c r="Z113" i="64"/>
  <c r="R17" i="63"/>
  <c r="Y145" i="64"/>
  <c r="P18" i="63"/>
  <c r="Y192" i="64"/>
  <c r="P21" i="63"/>
  <c r="R369" i="64"/>
  <c r="L23" i="63"/>
  <c r="B92" i="16" s="1"/>
  <c r="G24" i="71"/>
  <c r="T369" i="64"/>
  <c r="F97" i="16"/>
  <c r="F99" i="16" s="1"/>
  <c r="E29" i="71"/>
  <c r="Z145" i="64"/>
  <c r="R18" i="63"/>
  <c r="AF147" i="64" l="1"/>
  <c r="Y147" i="64"/>
  <c r="X61" i="28"/>
  <c r="D12" i="71"/>
  <c r="G12" i="71" s="1"/>
  <c r="J12" i="71" s="1"/>
  <c r="B21" i="20"/>
  <c r="B100" i="20" s="1"/>
  <c r="H13" i="20"/>
  <c r="P12" i="7" s="1"/>
  <c r="Q12" i="7" s="1"/>
  <c r="S12" i="7" s="1"/>
  <c r="AF81" i="64"/>
  <c r="AF100" i="64" s="1"/>
  <c r="AF102" i="64" s="1"/>
  <c r="Z334" i="64"/>
  <c r="Z335" i="64" s="1"/>
  <c r="R22" i="63"/>
  <c r="Z147" i="64"/>
  <c r="Y165" i="64"/>
  <c r="P19" i="63"/>
  <c r="R21" i="63"/>
  <c r="Z102" i="64"/>
  <c r="Z155" i="64"/>
  <c r="Z163" i="64" s="1"/>
  <c r="T92" i="16"/>
  <c r="T97" i="16" s="1"/>
  <c r="T99" i="16" s="1"/>
  <c r="AF355" i="64"/>
  <c r="AF367" i="64" s="1"/>
  <c r="AF183" i="64"/>
  <c r="AF190" i="64" s="1"/>
  <c r="AF192" i="64" s="1"/>
  <c r="B24" i="17"/>
  <c r="L24" i="17" s="1"/>
  <c r="H24" i="71" s="1"/>
  <c r="J24" i="71" s="1"/>
  <c r="C27" i="19"/>
  <c r="C29" i="19" s="1"/>
  <c r="J18" i="17" s="1"/>
  <c r="J41" i="17" s="1"/>
  <c r="E88" i="71"/>
  <c r="G88" i="71" s="1"/>
  <c r="J88" i="71" s="1"/>
  <c r="B97" i="16"/>
  <c r="B99" i="16" s="1"/>
  <c r="AC25" i="28"/>
  <c r="G29" i="71"/>
  <c r="H45" i="20"/>
  <c r="H98" i="20" s="1"/>
  <c r="P44" i="7"/>
  <c r="Q44" i="7" s="1"/>
  <c r="S44" i="7" s="1"/>
  <c r="D45" i="71"/>
  <c r="G45" i="71" s="1"/>
  <c r="F18" i="20"/>
  <c r="F21" i="20" s="1"/>
  <c r="F100" i="20" s="1"/>
  <c r="H15" i="20"/>
  <c r="AC51" i="28"/>
  <c r="AC23" i="28"/>
  <c r="AC16" i="28"/>
  <c r="Z368" i="64"/>
  <c r="Z367" i="64"/>
  <c r="AC29" i="28"/>
  <c r="AC52" i="28"/>
  <c r="AC24" i="28"/>
  <c r="X369" i="64"/>
  <c r="B46" i="17"/>
  <c r="L46" i="17" s="1"/>
  <c r="U59" i="28"/>
  <c r="Y368" i="64"/>
  <c r="Y367" i="64"/>
  <c r="S23" i="7"/>
  <c r="AC53" i="28"/>
  <c r="AC48" i="28"/>
  <c r="AC33" i="28"/>
  <c r="AC41" i="28"/>
  <c r="AC27" i="28"/>
  <c r="L25" i="63"/>
  <c r="Y373" i="64" l="1"/>
  <c r="AF155" i="64"/>
  <c r="AF163" i="64" s="1"/>
  <c r="AF165" i="64" s="1"/>
  <c r="E92" i="71"/>
  <c r="Z165" i="64"/>
  <c r="R19" i="63"/>
  <c r="AC21" i="28"/>
  <c r="U58" i="28"/>
  <c r="U60" i="28" s="1"/>
  <c r="J21" i="17"/>
  <c r="L18" i="17"/>
  <c r="L21" i="17" s="1"/>
  <c r="J97" i="17"/>
  <c r="V59" i="28"/>
  <c r="R59" i="28"/>
  <c r="AC32" i="28"/>
  <c r="AC36" i="28"/>
  <c r="Z369" i="64"/>
  <c r="R23" i="63"/>
  <c r="P23" i="63"/>
  <c r="P25" i="63" s="1"/>
  <c r="D19" i="87" s="1"/>
  <c r="D22" i="87" s="1"/>
  <c r="Y369" i="64"/>
  <c r="AC11" i="28"/>
  <c r="AC15" i="28"/>
  <c r="AC18" i="28" s="1"/>
  <c r="AC20" i="28"/>
  <c r="AC47" i="28"/>
  <c r="AC54" i="28" s="1"/>
  <c r="P87" i="7"/>
  <c r="Q87" i="7"/>
  <c r="S87" i="7" s="1"/>
  <c r="P14" i="7"/>
  <c r="D98" i="71"/>
  <c r="H18" i="20"/>
  <c r="P17" i="7" s="1"/>
  <c r="Q17" i="7" s="1"/>
  <c r="S17" i="7" s="1"/>
  <c r="L41" i="17"/>
  <c r="H41" i="71" s="1"/>
  <c r="J41" i="71" s="1"/>
  <c r="AC30" i="28" l="1"/>
  <c r="AE30" i="28" s="1"/>
  <c r="R25" i="63"/>
  <c r="C7" i="93" s="1"/>
  <c r="J28" i="93" s="1"/>
  <c r="V60" i="28"/>
  <c r="AC62" i="28"/>
  <c r="AC45" i="28"/>
  <c r="AE45" i="28" s="1"/>
  <c r="AC34" i="28"/>
  <c r="AE34" i="28" s="1"/>
  <c r="AC13" i="28"/>
  <c r="AE13" i="28" s="1"/>
  <c r="H17" i="71"/>
  <c r="H20" i="71" s="1"/>
  <c r="J99" i="17"/>
  <c r="G92" i="71"/>
  <c r="E98" i="71"/>
  <c r="AE18" i="28"/>
  <c r="V58" i="28"/>
  <c r="R58" i="28"/>
  <c r="H21" i="20"/>
  <c r="H100" i="20" s="1"/>
  <c r="AB61" i="28"/>
  <c r="AC61" i="28" s="1"/>
  <c r="E22" i="87"/>
  <c r="D39" i="87" s="1"/>
  <c r="E24" i="87"/>
  <c r="E39" i="87" s="1"/>
  <c r="G10" i="54"/>
  <c r="Q14" i="7"/>
  <c r="P20" i="7"/>
  <c r="P88" i="7" s="1"/>
  <c r="P95" i="7" s="1"/>
  <c r="B45" i="17"/>
  <c r="L45" i="17" s="1"/>
  <c r="AE54" i="28"/>
  <c r="D20" i="71"/>
  <c r="D101" i="71" s="1"/>
  <c r="G17" i="71"/>
  <c r="J27" i="93" l="1"/>
  <c r="M27" i="93" s="1"/>
  <c r="K11" i="93" s="1"/>
  <c r="J26" i="93"/>
  <c r="E101" i="71"/>
  <c r="T101" i="16"/>
  <c r="T102" i="16" s="1"/>
  <c r="AC63" i="28"/>
  <c r="AC57" i="28"/>
  <c r="T66" i="28" s="1"/>
  <c r="H9" i="54"/>
  <c r="H10" i="54"/>
  <c r="J92" i="71"/>
  <c r="G98" i="71"/>
  <c r="J46" i="71"/>
  <c r="H45" i="71"/>
  <c r="J45" i="71" s="1"/>
  <c r="J17" i="71"/>
  <c r="J20" i="71" s="1"/>
  <c r="C5" i="93" s="1"/>
  <c r="I7" i="93" s="1"/>
  <c r="J19" i="93" s="1"/>
  <c r="G20" i="71"/>
  <c r="S14" i="7"/>
  <c r="S20" i="7" s="1"/>
  <c r="Q20" i="7"/>
  <c r="Q88" i="7" s="1"/>
  <c r="Q95" i="7" s="1"/>
  <c r="S9" i="93" l="1"/>
  <c r="T9" i="93" s="1"/>
  <c r="U9" i="93" s="1"/>
  <c r="W9" i="93" s="1"/>
  <c r="X9" i="93" s="1"/>
  <c r="Y9" i="93" s="1"/>
  <c r="Z9" i="93" s="1"/>
  <c r="AB9" i="93" s="1"/>
  <c r="AC9" i="93" s="1"/>
  <c r="AD9" i="93" s="1"/>
  <c r="S8" i="93"/>
  <c r="T8" i="93" s="1"/>
  <c r="U8" i="93" s="1"/>
  <c r="W8" i="93" s="1"/>
  <c r="X8" i="93" s="1"/>
  <c r="Y8" i="93" s="1"/>
  <c r="Z8" i="93" s="1"/>
  <c r="AB8" i="93" s="1"/>
  <c r="AC8" i="93" s="1"/>
  <c r="AD8" i="93" s="1"/>
  <c r="S6" i="93"/>
  <c r="T6" i="93" s="1"/>
  <c r="U6" i="93" s="1"/>
  <c r="W6" i="93" s="1"/>
  <c r="X6" i="93" s="1"/>
  <c r="Y6" i="93" s="1"/>
  <c r="Z6" i="93" s="1"/>
  <c r="AB6" i="93" s="1"/>
  <c r="AC6" i="93" s="1"/>
  <c r="AD6" i="93" s="1"/>
  <c r="S7" i="93"/>
  <c r="T7" i="93" s="1"/>
  <c r="U7" i="93" s="1"/>
  <c r="W7" i="93" s="1"/>
  <c r="X7" i="93" s="1"/>
  <c r="Y7" i="93" s="1"/>
  <c r="Z7" i="93" s="1"/>
  <c r="AB7" i="93" s="1"/>
  <c r="AC7" i="93" s="1"/>
  <c r="AD7" i="93" s="1"/>
  <c r="I11" i="93"/>
  <c r="M11" i="93"/>
  <c r="AF57" i="28"/>
  <c r="T61" i="28"/>
  <c r="AE57" i="28"/>
  <c r="AE59" i="28" s="1"/>
  <c r="AE60" i="28" s="1"/>
  <c r="B29" i="17"/>
  <c r="G101" i="71"/>
  <c r="G106" i="71"/>
  <c r="S88" i="7"/>
  <c r="B97" i="17" l="1"/>
  <c r="B99" i="17" s="1"/>
  <c r="L29" i="17"/>
  <c r="H29" i="71" s="1"/>
  <c r="L97" i="17" l="1"/>
  <c r="L99" i="17" s="1"/>
  <c r="J29" i="71"/>
  <c r="H98" i="71"/>
  <c r="H101" i="71" s="1"/>
  <c r="J98" i="71" l="1"/>
  <c r="C6" i="93" s="1"/>
  <c r="I8" i="93" s="1"/>
  <c r="K8" i="93" l="1"/>
  <c r="I16" i="93"/>
  <c r="I9" i="93"/>
  <c r="AE9" i="93"/>
  <c r="AF9" i="93" s="1"/>
  <c r="AE8" i="93"/>
  <c r="AF8" i="93" s="1"/>
  <c r="AE7" i="93"/>
  <c r="AF7" i="93" s="1"/>
  <c r="AE6" i="93"/>
  <c r="AF6" i="93" s="1"/>
  <c r="J101" i="71"/>
  <c r="J106" i="71"/>
  <c r="X55" i="11" l="1"/>
  <c r="T21" i="93"/>
  <c r="T27" i="93"/>
  <c r="K14" i="93"/>
  <c r="AI38" i="93"/>
  <c r="T34" i="93"/>
  <c r="K46" i="93"/>
  <c r="K44" i="93"/>
  <c r="K45" i="93"/>
  <c r="M28" i="93"/>
  <c r="M12" i="93"/>
  <c r="K12" i="93"/>
  <c r="J12" i="93"/>
  <c r="Y64" i="93"/>
  <c r="Y66" i="93"/>
  <c r="T39" i="93"/>
  <c r="T36" i="93"/>
  <c r="M20" i="93"/>
  <c r="M26" i="93"/>
  <c r="AH38" i="93"/>
  <c r="T29" i="93"/>
  <c r="Z63" i="93"/>
  <c r="T19" i="93"/>
  <c r="J36" i="93"/>
  <c r="K36" i="93"/>
  <c r="Z66" i="93"/>
  <c r="V45" i="93"/>
  <c r="T37" i="93"/>
  <c r="T22" i="93"/>
  <c r="T32" i="93"/>
  <c r="T14" i="93"/>
  <c r="T16" i="93"/>
  <c r="M19" i="93"/>
  <c r="M21" i="93"/>
  <c r="T13" i="93"/>
  <c r="AH36" i="93"/>
  <c r="AI36" i="93"/>
  <c r="T28" i="93"/>
  <c r="L26" i="93"/>
  <c r="L28" i="93"/>
  <c r="Y67" i="93"/>
  <c r="T17" i="93"/>
  <c r="M16" i="93"/>
  <c r="K33" i="93"/>
  <c r="T12" i="93"/>
  <c r="R48" i="93"/>
  <c r="K16" i="93"/>
  <c r="K43" i="93"/>
  <c r="K47" i="93"/>
  <c r="J21" i="93"/>
  <c r="J20" i="93"/>
  <c r="T38" i="93"/>
  <c r="AH39" i="93"/>
  <c r="AI39" i="93"/>
  <c r="T18" i="93"/>
  <c r="T31" i="93"/>
  <c r="T26" i="93"/>
  <c r="T33" i="93"/>
  <c r="T23" i="93"/>
  <c r="J37" i="93"/>
  <c r="K37" i="93"/>
  <c r="Z67" i="93"/>
  <c r="T11" i="93"/>
  <c r="K26" i="93"/>
  <c r="K34" i="93"/>
  <c r="Z64" i="93"/>
  <c r="AI37" i="93"/>
  <c r="M14" i="93"/>
  <c r="M7" i="93"/>
  <c r="M9" i="93"/>
  <c r="J34" i="93"/>
  <c r="K9" i="93"/>
  <c r="J33" i="93"/>
  <c r="Y63" i="93"/>
  <c r="Z65" i="93"/>
  <c r="I14" i="93"/>
  <c r="I12" i="93"/>
  <c r="Y38" i="93"/>
  <c r="Z38" i="93"/>
  <c r="AB38" i="93"/>
  <c r="AC38" i="93"/>
  <c r="AD38" i="93"/>
  <c r="AE38" i="93"/>
  <c r="AF38" i="93"/>
  <c r="AG38" i="93"/>
  <c r="Y39" i="93"/>
  <c r="Z39" i="93"/>
  <c r="AB39" i="93"/>
  <c r="AC39" i="93"/>
  <c r="AD39" i="93"/>
  <c r="AE39" i="93"/>
  <c r="AF39" i="93"/>
  <c r="AG39" i="93"/>
  <c r="T24" i="93"/>
  <c r="K7" i="93"/>
  <c r="J35" i="93"/>
  <c r="Y65" i="93"/>
  <c r="AE36" i="93"/>
  <c r="AF36" i="93"/>
  <c r="AG36" i="93"/>
  <c r="Z37" i="93"/>
  <c r="AB37" i="93"/>
  <c r="AC37" i="93"/>
  <c r="AD37" i="93"/>
  <c r="AE37" i="93"/>
  <c r="AF37" i="93"/>
  <c r="AG37" i="93"/>
  <c r="AH37" i="93"/>
  <c r="X36" i="93"/>
  <c r="Y36" i="93"/>
  <c r="Z36" i="93"/>
  <c r="AB36" i="93"/>
  <c r="AC36" i="93"/>
  <c r="AD36" i="93"/>
  <c r="AH28" i="93"/>
  <c r="AI28" i="93"/>
  <c r="S33" i="93"/>
  <c r="U33" i="93"/>
  <c r="W33" i="93"/>
  <c r="X33" i="93"/>
  <c r="Y33" i="93"/>
  <c r="Z33" i="93"/>
  <c r="AB33" i="93"/>
  <c r="AC33" i="93"/>
  <c r="AD33" i="93"/>
  <c r="AE33" i="93"/>
  <c r="AF33" i="93"/>
  <c r="AG33" i="93"/>
  <c r="AH33" i="93"/>
  <c r="AI33" i="93"/>
  <c r="S38" i="93"/>
  <c r="U38" i="93"/>
  <c r="W38" i="93"/>
  <c r="X38" i="93"/>
  <c r="X27" i="93"/>
  <c r="Y27" i="93"/>
  <c r="Z27" i="93"/>
  <c r="AB27" i="93"/>
  <c r="AC27" i="93"/>
  <c r="AD27" i="93"/>
  <c r="AE27" i="93"/>
  <c r="AF27" i="93"/>
  <c r="AG27" i="93"/>
  <c r="AH27" i="93"/>
  <c r="AI27" i="93"/>
  <c r="S32" i="93"/>
  <c r="U32" i="93"/>
  <c r="W32" i="93"/>
  <c r="X32" i="93"/>
  <c r="Y32" i="93"/>
  <c r="Z32" i="93"/>
  <c r="AB32" i="93"/>
  <c r="AC32" i="93"/>
  <c r="AD32" i="93"/>
  <c r="AE32" i="93"/>
  <c r="AF32" i="93"/>
  <c r="AG32" i="93"/>
  <c r="AH32" i="93"/>
  <c r="AI32" i="93"/>
  <c r="S37" i="93"/>
  <c r="U37" i="93"/>
  <c r="W37" i="93"/>
  <c r="X37" i="93"/>
  <c r="Y37" i="93"/>
  <c r="U36" i="93"/>
  <c r="W36" i="93"/>
  <c r="Z22" i="93"/>
  <c r="AB22" i="93"/>
  <c r="AC22" i="93"/>
  <c r="AD22" i="93"/>
  <c r="AE22" i="93"/>
  <c r="AF22" i="93"/>
  <c r="AG22" i="93"/>
  <c r="AH22" i="93"/>
  <c r="AI22" i="93"/>
  <c r="S27" i="93"/>
  <c r="U27" i="93"/>
  <c r="W27" i="93"/>
  <c r="AD28" i="93"/>
  <c r="AE28" i="93"/>
  <c r="AF28" i="93"/>
  <c r="AG28" i="93"/>
  <c r="AE14" i="93"/>
  <c r="AF14" i="93"/>
  <c r="AG14" i="93"/>
  <c r="AH14" i="93"/>
  <c r="AI14" i="93"/>
  <c r="S19" i="93"/>
  <c r="U19" i="93"/>
  <c r="W19" i="93"/>
  <c r="X19" i="93"/>
  <c r="Y19" i="93"/>
  <c r="Z19" i="93"/>
  <c r="AB19" i="93"/>
  <c r="AC19" i="93"/>
  <c r="AD19" i="93"/>
  <c r="AE19" i="93"/>
  <c r="AF19" i="93"/>
  <c r="AG19" i="93"/>
  <c r="AH19" i="93"/>
  <c r="AI19" i="93"/>
  <c r="S24" i="93"/>
  <c r="U24" i="93"/>
  <c r="W24" i="93"/>
  <c r="X24" i="93"/>
  <c r="Y24" i="93"/>
  <c r="Z24" i="93"/>
  <c r="AB24" i="93"/>
  <c r="AC24" i="93"/>
  <c r="AD24" i="93"/>
  <c r="AE24" i="93"/>
  <c r="AF24" i="93"/>
  <c r="AG24" i="93"/>
  <c r="AH24" i="93"/>
  <c r="AI24" i="93"/>
  <c r="S29" i="93"/>
  <c r="U29" i="93"/>
  <c r="W29" i="93"/>
  <c r="X29" i="93"/>
  <c r="Y29" i="93"/>
  <c r="Z29" i="93"/>
  <c r="AB29" i="93"/>
  <c r="AC29" i="93"/>
  <c r="AD29" i="93"/>
  <c r="AE29" i="93"/>
  <c r="AF29" i="93"/>
  <c r="AG29" i="93"/>
  <c r="AH29" i="93"/>
  <c r="AI29" i="93"/>
  <c r="S34" i="93"/>
  <c r="U34" i="93"/>
  <c r="W34" i="93"/>
  <c r="X34" i="93"/>
  <c r="Y34" i="93"/>
  <c r="Z34" i="93"/>
  <c r="AB34" i="93"/>
  <c r="AC34" i="93"/>
  <c r="AD34" i="93"/>
  <c r="AE34" i="93"/>
  <c r="AF34" i="93"/>
  <c r="AG34" i="93"/>
  <c r="AH34" i="93"/>
  <c r="AI34" i="93"/>
  <c r="S39" i="93"/>
  <c r="U39" i="93"/>
  <c r="W39" i="93"/>
  <c r="X39" i="93"/>
  <c r="U17" i="93"/>
  <c r="W17" i="93"/>
  <c r="X17" i="93"/>
  <c r="Y17" i="93"/>
  <c r="Z17" i="93"/>
  <c r="AB17" i="93"/>
  <c r="AC17" i="93"/>
  <c r="AD17" i="93"/>
  <c r="AE17" i="93"/>
  <c r="AF17" i="93"/>
  <c r="AG17" i="93"/>
  <c r="AH17" i="93"/>
  <c r="AI17" i="93"/>
  <c r="S22" i="93"/>
  <c r="U22" i="93"/>
  <c r="W22" i="93"/>
  <c r="X22" i="93"/>
  <c r="Y22" i="93"/>
  <c r="AG8" i="93"/>
  <c r="AH8" i="93"/>
  <c r="AI8" i="93"/>
  <c r="S13" i="93"/>
  <c r="U13" i="93"/>
  <c r="W13" i="93"/>
  <c r="X13" i="93"/>
  <c r="Y13" i="93"/>
  <c r="Z13" i="93"/>
  <c r="AB13" i="93"/>
  <c r="AC13" i="93"/>
  <c r="AD13" i="93"/>
  <c r="AE13" i="93"/>
  <c r="AF13" i="93"/>
  <c r="AG13" i="93"/>
  <c r="AH13" i="93"/>
  <c r="AI13" i="93"/>
  <c r="S18" i="93"/>
  <c r="U18" i="93"/>
  <c r="W18" i="93"/>
  <c r="X18" i="93"/>
  <c r="Y18" i="93"/>
  <c r="Z18" i="93"/>
  <c r="AB18" i="93"/>
  <c r="AC18" i="93"/>
  <c r="AD18" i="93"/>
  <c r="AE18" i="93"/>
  <c r="AF18" i="93"/>
  <c r="AG18" i="93"/>
  <c r="AH18" i="93"/>
  <c r="AI18" i="93"/>
  <c r="S23" i="93"/>
  <c r="U23" i="93"/>
  <c r="W23" i="93"/>
  <c r="X23" i="93"/>
  <c r="Y23" i="93"/>
  <c r="Z23" i="93"/>
  <c r="AB23" i="93"/>
  <c r="AC23" i="93"/>
  <c r="AD23" i="93"/>
  <c r="AE23" i="93"/>
  <c r="AF23" i="93"/>
  <c r="AG23" i="93"/>
  <c r="AH23" i="93"/>
  <c r="AI23" i="93"/>
  <c r="S28" i="93"/>
  <c r="U28" i="93"/>
  <c r="W28" i="93"/>
  <c r="X28" i="93"/>
  <c r="Y28" i="93"/>
  <c r="Z28" i="93"/>
  <c r="AB28" i="93"/>
  <c r="AC28" i="93"/>
  <c r="AG7" i="93"/>
  <c r="AH7" i="93"/>
  <c r="AI7" i="93"/>
  <c r="S12" i="93"/>
  <c r="U12" i="93"/>
  <c r="W12" i="93"/>
  <c r="X12" i="93"/>
  <c r="Y12" i="93"/>
  <c r="Z12" i="93"/>
  <c r="AB12" i="93"/>
  <c r="AC12" i="93"/>
  <c r="AD12" i="93"/>
  <c r="AE12" i="93"/>
  <c r="AF12" i="93"/>
  <c r="AG12" i="93"/>
  <c r="AH12" i="93"/>
  <c r="AI12" i="93"/>
  <c r="S17" i="93"/>
  <c r="AG9" i="93"/>
  <c r="AH9" i="93"/>
  <c r="AI9" i="93"/>
  <c r="S14" i="93"/>
  <c r="U14" i="93"/>
  <c r="W14" i="93"/>
  <c r="X14" i="93"/>
  <c r="Y14" i="93"/>
  <c r="Z14" i="93"/>
  <c r="AB14" i="93"/>
  <c r="AC14" i="93"/>
  <c r="AD14" i="93"/>
  <c r="Y16" i="93"/>
  <c r="Z16" i="93"/>
  <c r="AB16" i="93"/>
  <c r="AC16" i="93"/>
  <c r="AD16" i="93"/>
  <c r="AE16" i="93"/>
  <c r="AF16" i="93"/>
  <c r="AG16" i="93"/>
  <c r="AH16" i="93"/>
  <c r="AI16" i="93"/>
  <c r="S21" i="93"/>
  <c r="U21" i="93"/>
  <c r="W21" i="93"/>
  <c r="X21" i="93"/>
  <c r="Y21" i="93"/>
  <c r="Z21" i="93"/>
  <c r="AB21" i="93"/>
  <c r="AC21" i="93"/>
  <c r="AD21" i="93"/>
  <c r="AE21" i="93"/>
  <c r="AF21" i="93"/>
  <c r="AG21" i="93"/>
  <c r="AH21" i="93"/>
  <c r="AI21" i="93"/>
  <c r="S26" i="93"/>
  <c r="U26" i="93"/>
  <c r="W26" i="93"/>
  <c r="X26" i="93"/>
  <c r="Y26" i="93"/>
  <c r="Z26" i="93"/>
  <c r="AB26" i="93"/>
  <c r="AC26" i="93"/>
  <c r="AD26" i="93"/>
  <c r="AE26" i="93"/>
  <c r="AF26" i="93"/>
  <c r="AG26" i="93"/>
  <c r="AH26" i="93"/>
  <c r="AI26" i="93"/>
  <c r="S31" i="93"/>
  <c r="U31" i="93"/>
  <c r="W31" i="93"/>
  <c r="X31" i="93"/>
  <c r="Y31" i="93"/>
  <c r="Z31" i="93"/>
  <c r="AB31" i="93"/>
  <c r="AC31" i="93"/>
  <c r="AD31" i="93"/>
  <c r="AE31" i="93"/>
  <c r="AF31" i="93"/>
  <c r="AG31" i="93"/>
  <c r="AH31" i="93"/>
  <c r="AI31" i="93"/>
  <c r="S36" i="93"/>
  <c r="R49" i="93"/>
  <c r="V43" i="93"/>
  <c r="V44" i="93"/>
  <c r="R51" i="93"/>
  <c r="J7" i="93"/>
  <c r="L7" i="93"/>
  <c r="L8" i="93"/>
  <c r="M8" i="93"/>
  <c r="K35" i="93"/>
  <c r="J49" i="93"/>
  <c r="AG6" i="93"/>
  <c r="AH6" i="93"/>
  <c r="AI6" i="93"/>
  <c r="S11" i="93"/>
  <c r="U11" i="93"/>
  <c r="W11" i="93"/>
  <c r="X11" i="93"/>
  <c r="Y11" i="93"/>
  <c r="Z11" i="93"/>
  <c r="AB11" i="93"/>
  <c r="AC11" i="93"/>
  <c r="AD11" i="93"/>
  <c r="AE11" i="93"/>
  <c r="AF11" i="93"/>
  <c r="AG11" i="93"/>
  <c r="AH11" i="93"/>
  <c r="AI11" i="93"/>
  <c r="S16" i="93"/>
  <c r="U16" i="93"/>
  <c r="W16" i="93"/>
  <c r="X16" i="93"/>
</calcChain>
</file>

<file path=xl/comments1.xml><?xml version="1.0" encoding="utf-8"?>
<comments xmlns="http://schemas.openxmlformats.org/spreadsheetml/2006/main">
  <authors>
    <author>Mary Spencer</author>
  </authors>
  <commentList>
    <comment ref="J47" authorId="0" shapeId="0">
      <text>
        <r>
          <rPr>
            <b/>
            <sz val="8"/>
            <color indexed="81"/>
            <rFont val="Tahoma"/>
            <family val="2"/>
          </rPr>
          <t>Mary Spencer:</t>
        </r>
        <r>
          <rPr>
            <sz val="8"/>
            <color indexed="81"/>
            <rFont val="Tahoma"/>
            <family val="2"/>
          </rPr>
          <t xml:space="preserve">
represents test period change in allowance for doubtful accounts - see test year gl detail excel tab cell G1042 provided 10-02-13
</t>
        </r>
        <r>
          <rPr>
            <b/>
            <sz val="8"/>
            <color indexed="81"/>
            <rFont val="Tahoma"/>
            <family val="2"/>
          </rPr>
          <t xml:space="preserve">CHEESMAN:
</t>
        </r>
        <r>
          <rPr>
            <sz val="8"/>
            <color indexed="81"/>
            <rFont val="Tahoma"/>
            <family val="2"/>
          </rPr>
          <t>GL, row 1042, Bad Debt Exp - Residential</t>
        </r>
      </text>
    </comment>
  </commentList>
</comments>
</file>

<file path=xl/comments2.xml><?xml version="1.0" encoding="utf-8"?>
<comments xmlns="http://schemas.openxmlformats.org/spreadsheetml/2006/main">
  <authors>
    <author>Mary Spencer</author>
  </authors>
  <commentList>
    <comment ref="D52" authorId="0" shapeId="0">
      <text>
        <r>
          <rPr>
            <b/>
            <sz val="8"/>
            <color indexed="81"/>
            <rFont val="Tahoma"/>
            <family val="2"/>
          </rPr>
          <t>Mary Spencer:</t>
        </r>
        <r>
          <rPr>
            <sz val="8"/>
            <color indexed="81"/>
            <rFont val="Tahoma"/>
            <family val="2"/>
          </rPr>
          <t xml:space="preserve">
represents managements best esitmate of reasonable professional fees necessary to complete the rate case filing</t>
        </r>
      </text>
    </comment>
    <comment ref="F52" authorId="0" shapeId="0">
      <text>
        <r>
          <rPr>
            <b/>
            <sz val="8"/>
            <color indexed="81"/>
            <rFont val="Tahoma"/>
            <family val="2"/>
          </rPr>
          <t>Mary Spencer:</t>
        </r>
        <r>
          <rPr>
            <sz val="8"/>
            <color indexed="81"/>
            <rFont val="Tahoma"/>
            <family val="2"/>
          </rPr>
          <t xml:space="preserve">
0.5 represents the percentage of the $50k rate case expense that is amortized to the test year </t>
        </r>
      </text>
    </comment>
    <comment ref="H55" authorId="0" shapeId="0">
      <text>
        <r>
          <rPr>
            <b/>
            <sz val="8"/>
            <color indexed="81"/>
            <rFont val="Tahoma"/>
            <family val="2"/>
          </rPr>
          <t>Mary Spencer:</t>
        </r>
        <r>
          <rPr>
            <sz val="8"/>
            <color indexed="81"/>
            <rFont val="Tahoma"/>
            <family val="2"/>
          </rPr>
          <t xml:space="preserve">
0.004 represents the applicable UTC tax rate
</t>
        </r>
        <r>
          <rPr>
            <b/>
            <sz val="8"/>
            <color indexed="81"/>
            <rFont val="Tahoma"/>
            <family val="2"/>
          </rPr>
          <t xml:space="preserve">Cheesman:
</t>
        </r>
        <r>
          <rPr>
            <sz val="8"/>
            <color indexed="81"/>
            <rFont val="Tahoma"/>
            <family val="2"/>
          </rPr>
          <t>Non-reg portion not recoverable in rates</t>
        </r>
      </text>
    </comment>
    <comment ref="H71" authorId="0" shapeId="0">
      <text>
        <r>
          <rPr>
            <b/>
            <sz val="8"/>
            <color indexed="81"/>
            <rFont val="Tahoma"/>
            <family val="2"/>
          </rPr>
          <t>Mary Spencer:</t>
        </r>
        <r>
          <rPr>
            <sz val="8"/>
            <color indexed="81"/>
            <rFont val="Tahoma"/>
            <family val="2"/>
          </rPr>
          <t xml:space="preserve">
0.015 represents the applicable State B&amp;O tax rate
</t>
        </r>
        <r>
          <rPr>
            <b/>
            <sz val="8"/>
            <color indexed="81"/>
            <rFont val="Tahoma"/>
            <family val="2"/>
          </rPr>
          <t>Cheesman:</t>
        </r>
        <r>
          <rPr>
            <sz val="8"/>
            <color indexed="81"/>
            <rFont val="Tahoma"/>
            <family val="2"/>
          </rPr>
          <t xml:space="preserve">
Non-reg portion not recoverable in rates</t>
        </r>
      </text>
    </comment>
  </commentList>
</comments>
</file>

<file path=xl/comments3.xml><?xml version="1.0" encoding="utf-8"?>
<comments xmlns="http://schemas.openxmlformats.org/spreadsheetml/2006/main">
  <authors>
    <author>Jackie Davis</author>
    <author>Melissa Cheesman</author>
  </authors>
  <commentList>
    <comment ref="S154" authorId="0" shapeId="0">
      <text>
        <r>
          <rPr>
            <b/>
            <sz val="9"/>
            <color indexed="81"/>
            <rFont val="Tahoma"/>
            <family val="2"/>
          </rPr>
          <t>Jackie Davis:</t>
        </r>
        <r>
          <rPr>
            <sz val="9"/>
            <color indexed="81"/>
            <rFont val="Tahoma"/>
            <family val="2"/>
          </rPr>
          <t xml:space="preserve">
use percentage
</t>
        </r>
      </text>
    </comment>
    <comment ref="H172" authorId="1" shapeId="0">
      <text>
        <r>
          <rPr>
            <b/>
            <sz val="9"/>
            <color indexed="81"/>
            <rFont val="Tahoma"/>
            <family val="2"/>
          </rPr>
          <t>Melissa Cheesman:</t>
        </r>
        <r>
          <rPr>
            <sz val="9"/>
            <color indexed="81"/>
            <rFont val="Tahoma"/>
            <family val="2"/>
          </rPr>
          <t xml:space="preserve">
http://www.ird.govt.nz/technical-tax/determinations/depreciation/depreciation-deter-dep71.html</t>
        </r>
      </text>
    </comment>
    <comment ref="H173" authorId="1" shapeId="0">
      <text>
        <r>
          <rPr>
            <b/>
            <sz val="9"/>
            <color indexed="81"/>
            <rFont val="Tahoma"/>
            <family val="2"/>
          </rPr>
          <t>Melissa Cheesman:</t>
        </r>
        <r>
          <rPr>
            <sz val="9"/>
            <color indexed="81"/>
            <rFont val="Tahoma"/>
            <family val="2"/>
          </rPr>
          <t xml:space="preserve">
http://www.ofm.wa.gov/policy/30.50.htm</t>
        </r>
      </text>
    </comment>
  </commentList>
</comments>
</file>

<file path=xl/comments4.xml><?xml version="1.0" encoding="utf-8"?>
<comments xmlns="http://schemas.openxmlformats.org/spreadsheetml/2006/main">
  <authors>
    <author>Randy Poole</author>
  </authors>
  <commentList>
    <comment ref="I9" authorId="0" shapeId="0">
      <text>
        <r>
          <rPr>
            <b/>
            <sz val="9"/>
            <color indexed="81"/>
            <rFont val="Tahoma"/>
            <family val="2"/>
          </rPr>
          <t>Randy Poole:</t>
        </r>
        <r>
          <rPr>
            <sz val="9"/>
            <color indexed="81"/>
            <rFont val="Tahoma"/>
            <family val="2"/>
          </rPr>
          <t xml:space="preserve">
Includes funeral pay hours</t>
        </r>
      </text>
    </comment>
  </commentList>
</comments>
</file>

<file path=xl/comments5.xml><?xml version="1.0" encoding="utf-8"?>
<comments xmlns="http://schemas.openxmlformats.org/spreadsheetml/2006/main">
  <authors>
    <author>Randy Poole</author>
  </authors>
  <commentList>
    <comment ref="D10" authorId="0" shapeId="0">
      <text>
        <r>
          <rPr>
            <b/>
            <sz val="9"/>
            <color indexed="81"/>
            <rFont val="Tahoma"/>
            <family val="2"/>
          </rPr>
          <t>Randy Poole:</t>
        </r>
        <r>
          <rPr>
            <sz val="9"/>
            <color indexed="81"/>
            <rFont val="Tahoma"/>
            <family val="2"/>
          </rPr>
          <t xml:space="preserve">
Total monthly medical premiums</t>
        </r>
      </text>
    </comment>
    <comment ref="E10" authorId="0" shapeId="0">
      <text>
        <r>
          <rPr>
            <b/>
            <sz val="9"/>
            <color indexed="81"/>
            <rFont val="Tahoma"/>
            <family val="2"/>
          </rPr>
          <t>Randy Poole:</t>
        </r>
        <r>
          <rPr>
            <sz val="9"/>
            <color indexed="81"/>
            <rFont val="Tahoma"/>
            <family val="2"/>
          </rPr>
          <t xml:space="preserve">
Total monthly payroll withholdings from employees to cover share of medical premiums</t>
        </r>
      </text>
    </comment>
    <comment ref="F10" authorId="0" shapeId="0">
      <text>
        <r>
          <rPr>
            <b/>
            <sz val="9"/>
            <color indexed="81"/>
            <rFont val="Tahoma"/>
            <family val="2"/>
          </rPr>
          <t>Randy Poole:</t>
        </r>
        <r>
          <rPr>
            <sz val="9"/>
            <color indexed="81"/>
            <rFont val="Tahoma"/>
            <family val="2"/>
          </rPr>
          <t xml:space="preserve">
Company expense for medical premiums</t>
        </r>
      </text>
    </comment>
    <comment ref="G10" authorId="0" shapeId="0">
      <text>
        <r>
          <rPr>
            <b/>
            <sz val="9"/>
            <color indexed="81"/>
            <rFont val="Tahoma"/>
            <family val="2"/>
          </rPr>
          <t>Randy Poole:</t>
        </r>
        <r>
          <rPr>
            <sz val="9"/>
            <color indexed="81"/>
            <rFont val="Tahoma"/>
            <family val="2"/>
          </rPr>
          <t xml:space="preserve">
Total monthly medical premiums</t>
        </r>
      </text>
    </comment>
    <comment ref="H10" authorId="0" shapeId="0">
      <text>
        <r>
          <rPr>
            <b/>
            <sz val="9"/>
            <color indexed="81"/>
            <rFont val="Tahoma"/>
            <family val="2"/>
          </rPr>
          <t>Randy Poole:</t>
        </r>
        <r>
          <rPr>
            <sz val="9"/>
            <color indexed="81"/>
            <rFont val="Tahoma"/>
            <family val="2"/>
          </rPr>
          <t xml:space="preserve">
Total monthly payroll withholdings from employees to cover share of medical premiums</t>
        </r>
      </text>
    </comment>
    <comment ref="I10" authorId="0" shapeId="0">
      <text>
        <r>
          <rPr>
            <b/>
            <sz val="9"/>
            <color indexed="81"/>
            <rFont val="Tahoma"/>
            <family val="2"/>
          </rPr>
          <t>Randy Poole:</t>
        </r>
        <r>
          <rPr>
            <sz val="9"/>
            <color indexed="81"/>
            <rFont val="Tahoma"/>
            <family val="2"/>
          </rPr>
          <t xml:space="preserve">
Company expense for medical premiums</t>
        </r>
      </text>
    </comment>
  </commentList>
</comments>
</file>

<file path=xl/sharedStrings.xml><?xml version="1.0" encoding="utf-8"?>
<sst xmlns="http://schemas.openxmlformats.org/spreadsheetml/2006/main" count="2957" uniqueCount="1380">
  <si>
    <t>Total</t>
  </si>
  <si>
    <t>Employee</t>
  </si>
  <si>
    <t>Hours</t>
  </si>
  <si>
    <t>Amount</t>
  </si>
  <si>
    <t>Increase</t>
  </si>
  <si>
    <t xml:space="preserve"> </t>
  </si>
  <si>
    <t>TOTAL</t>
  </si>
  <si>
    <t>Drop Box</t>
  </si>
  <si>
    <t>Payroll</t>
  </si>
  <si>
    <t>WASTE CONTROL, INC.</t>
  </si>
  <si>
    <t>DROP BOX</t>
  </si>
  <si>
    <t>MECHANICS</t>
  </si>
  <si>
    <t>Expense</t>
  </si>
  <si>
    <t>Wages Drivers</t>
  </si>
  <si>
    <t>Wages Drop Box Drivers</t>
  </si>
  <si>
    <t>Wages Mechanics</t>
  </si>
  <si>
    <t>Wages Supervisor</t>
  </si>
  <si>
    <t>Fringe Benefits</t>
  </si>
  <si>
    <t>Maintenance</t>
  </si>
  <si>
    <t>Maintenance/ Cont./Dr Bx</t>
  </si>
  <si>
    <t>Tires</t>
  </si>
  <si>
    <t>Fuel</t>
  </si>
  <si>
    <t>Contract Hauling</t>
  </si>
  <si>
    <t>Officer Salaries</t>
  </si>
  <si>
    <t>Office Salaries</t>
  </si>
  <si>
    <t>Truck Rental</t>
  </si>
  <si>
    <t>Management Fees</t>
  </si>
  <si>
    <t>Office Supply</t>
  </si>
  <si>
    <t>Postage</t>
  </si>
  <si>
    <t>Bank Charges</t>
  </si>
  <si>
    <t>Rate Case Expense</t>
  </si>
  <si>
    <t>WUTC Fee</t>
  </si>
  <si>
    <t>Franchise</t>
  </si>
  <si>
    <t>Utilities</t>
  </si>
  <si>
    <t>Laundry/Uniforms</t>
  </si>
  <si>
    <t>Travel</t>
  </si>
  <si>
    <t>Seminars</t>
  </si>
  <si>
    <t>Advertising</t>
  </si>
  <si>
    <t>Truck License</t>
  </si>
  <si>
    <t>Contributions</t>
  </si>
  <si>
    <t>B &amp; O Tax</t>
  </si>
  <si>
    <t>Land Rent</t>
  </si>
  <si>
    <t>Computer Expense</t>
  </si>
  <si>
    <t>Property Taxes</t>
  </si>
  <si>
    <t>Drug Testing</t>
  </si>
  <si>
    <t>Freight</t>
  </si>
  <si>
    <t>Consulting</t>
  </si>
  <si>
    <t>Depreciation:</t>
  </si>
  <si>
    <t xml:space="preserve">  Building</t>
  </si>
  <si>
    <t xml:space="preserve">  Trucks</t>
  </si>
  <si>
    <t xml:space="preserve">  Service Cars</t>
  </si>
  <si>
    <t xml:space="preserve">  Shop</t>
  </si>
  <si>
    <t xml:space="preserve">  Containers</t>
  </si>
  <si>
    <t xml:space="preserve">  Carts</t>
  </si>
  <si>
    <t xml:space="preserve">  Drop Box Truck</t>
  </si>
  <si>
    <t xml:space="preserve">  Drop Boxes</t>
  </si>
  <si>
    <t>Total Expenses</t>
  </si>
  <si>
    <t>OPERATING EXPENSES</t>
  </si>
  <si>
    <t>NET OPERATING INCOME</t>
  </si>
  <si>
    <t>Adjust</t>
  </si>
  <si>
    <t>Eliminate</t>
  </si>
  <si>
    <t xml:space="preserve">Restate </t>
  </si>
  <si>
    <t>Allocate</t>
  </si>
  <si>
    <t>Rate</t>
  </si>
  <si>
    <t>PER</t>
  </si>
  <si>
    <t>Depr to</t>
  </si>
  <si>
    <t>Interest</t>
  </si>
  <si>
    <t>Restating</t>
  </si>
  <si>
    <t>Proforma</t>
  </si>
  <si>
    <t>BOOKS</t>
  </si>
  <si>
    <t>Actual</t>
  </si>
  <si>
    <t>Adjustments</t>
  </si>
  <si>
    <t>Cost</t>
  </si>
  <si>
    <t>REVENUES</t>
  </si>
  <si>
    <t>Residential</t>
  </si>
  <si>
    <t>Commercial</t>
  </si>
  <si>
    <t>Expenses</t>
  </si>
  <si>
    <t>Pass Thru</t>
  </si>
  <si>
    <t>Refunds</t>
  </si>
  <si>
    <t>Payroll Taxes</t>
  </si>
  <si>
    <t>Employee Medical Insurance</t>
  </si>
  <si>
    <t>SEP Benefits</t>
  </si>
  <si>
    <t>Amortization</t>
  </si>
  <si>
    <t>OPERATING RATIO %</t>
  </si>
  <si>
    <t>RECLASS</t>
  </si>
  <si>
    <t>Accounting</t>
  </si>
  <si>
    <t>MANAGEMENT</t>
  </si>
  <si>
    <t>SUPER/BILLING/OFFICE</t>
  </si>
  <si>
    <t>Rafael Garcia</t>
  </si>
  <si>
    <t>Legal</t>
  </si>
  <si>
    <t>Per G/L</t>
  </si>
  <si>
    <t>Reclass</t>
  </si>
  <si>
    <t>Medical</t>
  </si>
  <si>
    <t>Life</t>
  </si>
  <si>
    <t>Per Operations</t>
  </si>
  <si>
    <t>Carts</t>
  </si>
  <si>
    <t>Kalama</t>
  </si>
  <si>
    <t>%</t>
  </si>
  <si>
    <t>Shop</t>
  </si>
  <si>
    <t>Increase (decrease)</t>
  </si>
  <si>
    <t xml:space="preserve">Payroll </t>
  </si>
  <si>
    <t>Service</t>
  </si>
  <si>
    <t xml:space="preserve">Other </t>
  </si>
  <si>
    <t>Depreciation</t>
  </si>
  <si>
    <t>Disposal Fees Pass Thru</t>
  </si>
  <si>
    <t>OTHER INCOME</t>
  </si>
  <si>
    <t>Miscellaneous</t>
  </si>
  <si>
    <t>R-1</t>
  </si>
  <si>
    <t>R-2</t>
  </si>
  <si>
    <t>R-3</t>
  </si>
  <si>
    <t>R-4</t>
  </si>
  <si>
    <t>R-5</t>
  </si>
  <si>
    <t>R-6</t>
  </si>
  <si>
    <t>R-7</t>
  </si>
  <si>
    <t>P-2</t>
  </si>
  <si>
    <t>P-3</t>
  </si>
  <si>
    <t>P-4</t>
  </si>
  <si>
    <t>P-5</t>
  </si>
  <si>
    <t>Wages Extra Labor</t>
  </si>
  <si>
    <t>Permits</t>
  </si>
  <si>
    <t>Safety Equipment Expense</t>
  </si>
  <si>
    <t>Gain on asset sale</t>
  </si>
  <si>
    <t>Kevin Salinas</t>
  </si>
  <si>
    <t>OTHER LABOR</t>
  </si>
  <si>
    <t>Travis Smith</t>
  </si>
  <si>
    <t>Counseling Services</t>
  </si>
  <si>
    <t>Hourly</t>
  </si>
  <si>
    <t>The estimated cost of the rate case is recorded.</t>
  </si>
  <si>
    <t>This entry allocates refunds to the revenue sources.</t>
  </si>
  <si>
    <t>RC-1</t>
  </si>
  <si>
    <t>RC-2</t>
  </si>
  <si>
    <t>RC-3</t>
  </si>
  <si>
    <t>Disposal</t>
  </si>
  <si>
    <t>Fees</t>
  </si>
  <si>
    <t>Disposal Fees - G-49 Packer</t>
  </si>
  <si>
    <t>Disposal Fees G-49</t>
  </si>
  <si>
    <t>December</t>
  </si>
  <si>
    <t>November</t>
  </si>
  <si>
    <t>October</t>
  </si>
  <si>
    <t>September</t>
  </si>
  <si>
    <t>January</t>
  </si>
  <si>
    <t>February</t>
  </si>
  <si>
    <t>March</t>
  </si>
  <si>
    <t>April</t>
  </si>
  <si>
    <t>May</t>
  </si>
  <si>
    <t>June</t>
  </si>
  <si>
    <t>July</t>
  </si>
  <si>
    <t>August</t>
  </si>
  <si>
    <t>Landfill Fees - Drop Boxes</t>
  </si>
  <si>
    <t>Landfill Fees-Woodland G-49 DB</t>
  </si>
  <si>
    <t>Promotional</t>
  </si>
  <si>
    <t>Workman's Compensation Insuran</t>
  </si>
  <si>
    <t>Refunds - From Vendors</t>
  </si>
  <si>
    <t>Date</t>
  </si>
  <si>
    <t>Liability Insurance</t>
  </si>
  <si>
    <t>Communications</t>
  </si>
  <si>
    <t>Equipment Rent</t>
  </si>
  <si>
    <t>Kami Dykstra</t>
  </si>
  <si>
    <t>Dave Ritola (100% drop box)</t>
  </si>
  <si>
    <t>Bad Debt Expense</t>
  </si>
  <si>
    <t>Dues Non-deductible</t>
  </si>
  <si>
    <t>WRRA</t>
  </si>
  <si>
    <t>&amp; Recycle</t>
  </si>
  <si>
    <t>PAC</t>
  </si>
  <si>
    <t>WRRA PAC</t>
  </si>
  <si>
    <t>To</t>
  </si>
  <si>
    <t>Description</t>
  </si>
  <si>
    <t>Taxes and Licensing</t>
  </si>
  <si>
    <t>Taxes</t>
  </si>
  <si>
    <t>Trucks:</t>
  </si>
  <si>
    <t>P-1</t>
  </si>
  <si>
    <t>Insurance</t>
  </si>
  <si>
    <t>Salary/</t>
  </si>
  <si>
    <t>Eligible for</t>
  </si>
  <si>
    <t>H</t>
  </si>
  <si>
    <t>S</t>
  </si>
  <si>
    <t>7% SEP</t>
  </si>
  <si>
    <t>Y</t>
  </si>
  <si>
    <t>Bonus</t>
  </si>
  <si>
    <t>Medical/</t>
  </si>
  <si>
    <t>Dental</t>
  </si>
  <si>
    <t>N</t>
  </si>
  <si>
    <t>1.5 over 40 hrs</t>
  </si>
  <si>
    <t>Overtime</t>
  </si>
  <si>
    <t>Months at</t>
  </si>
  <si>
    <t>Projected</t>
  </si>
  <si>
    <t>Annual</t>
  </si>
  <si>
    <t>Months OT</t>
  </si>
  <si>
    <t>Wage</t>
  </si>
  <si>
    <t>SEP</t>
  </si>
  <si>
    <t>increase</t>
  </si>
  <si>
    <t>FICA</t>
  </si>
  <si>
    <t>Employment</t>
  </si>
  <si>
    <t>Security</t>
  </si>
  <si>
    <t>FUTA</t>
  </si>
  <si>
    <t>L&amp;I</t>
  </si>
  <si>
    <t>Clerical</t>
  </si>
  <si>
    <t>Collection</t>
  </si>
  <si>
    <t>Fringe</t>
  </si>
  <si>
    <t>OTHER INCOME/EXPENSE</t>
  </si>
  <si>
    <t>Gallons</t>
  </si>
  <si>
    <t>End of</t>
  </si>
  <si>
    <t>Period</t>
  </si>
  <si>
    <t>Long Term Debt</t>
  </si>
  <si>
    <t>Equity</t>
  </si>
  <si>
    <t>Interest Expense</t>
  </si>
  <si>
    <t>actual test period</t>
  </si>
  <si>
    <t>Weighted cost of debt</t>
  </si>
  <si>
    <t>Debt</t>
  </si>
  <si>
    <t>Adjustment</t>
  </si>
  <si>
    <t>SCHEDULE 1 - EXPLANATION OF RESTATING ADJUSTMENTS</t>
  </si>
  <si>
    <t>RESULTS OF OPERATIONS</t>
  </si>
  <si>
    <t>SCHEDULE 2 - EXPLANATION OF FORECAST ADJUSTMENTS</t>
  </si>
  <si>
    <t>SCHEDULE 3 - EXPLANATION OF RECLASS ADJUSTMENTS</t>
  </si>
  <si>
    <t>WORKPAPER 3 - LABOR ANALYSIS, Continued</t>
  </si>
  <si>
    <t xml:space="preserve">  Rent</t>
  </si>
  <si>
    <t>Delivery</t>
  </si>
  <si>
    <t>Extras</t>
  </si>
  <si>
    <t>OverWght</t>
  </si>
  <si>
    <t>Mileage</t>
  </si>
  <si>
    <t>Comm Extras</t>
  </si>
  <si>
    <t>90-100 gal</t>
  </si>
  <si>
    <t>60-65 gal</t>
  </si>
  <si>
    <t>60-65 gal ovr20</t>
  </si>
  <si>
    <t>30-35 gal</t>
  </si>
  <si>
    <t>30-35gal ovr20</t>
  </si>
  <si>
    <t>CARTS</t>
  </si>
  <si>
    <t>OVER 5</t>
  </si>
  <si>
    <t>UNDER 5</t>
  </si>
  <si>
    <t>MULTIFAM</t>
  </si>
  <si>
    <t>Additional unit</t>
  </si>
  <si>
    <t>Special pu</t>
  </si>
  <si>
    <t>Min charge</t>
  </si>
  <si>
    <t>CANS--com'l</t>
  </si>
  <si>
    <t>Rent only</t>
  </si>
  <si>
    <t>4 yd compactor</t>
  </si>
  <si>
    <t>Drive in fee</t>
  </si>
  <si>
    <t>Rent per day</t>
  </si>
  <si>
    <t>4 yd special</t>
  </si>
  <si>
    <t>3 yd special</t>
  </si>
  <si>
    <t>2 yd special</t>
  </si>
  <si>
    <t>1/2  yd special</t>
  </si>
  <si>
    <t>1 yd special</t>
  </si>
  <si>
    <t>Container Del</t>
  </si>
  <si>
    <t>6.0 Yd pu</t>
  </si>
  <si>
    <t>5.0 Yd pu</t>
  </si>
  <si>
    <t>4.0 Yd pu</t>
  </si>
  <si>
    <t>3.0 Yd pu</t>
  </si>
  <si>
    <t>2.0 Yd pu</t>
  </si>
  <si>
    <t>1.0 Yd pu</t>
  </si>
  <si>
    <t>Containers</t>
  </si>
  <si>
    <t>NSF</t>
  </si>
  <si>
    <t>Overwght</t>
  </si>
  <si>
    <t>Res drive in</t>
  </si>
  <si>
    <t>One pu per mo</t>
  </si>
  <si>
    <t>Added 25 ft</t>
  </si>
  <si>
    <t>Delux O-25ft</t>
  </si>
  <si>
    <t>On Call</t>
  </si>
  <si>
    <t>6 can wk</t>
  </si>
  <si>
    <t>5 can wk</t>
  </si>
  <si>
    <t>4 can wk</t>
  </si>
  <si>
    <t>3 can wk</t>
  </si>
  <si>
    <t>2 can wk</t>
  </si>
  <si>
    <t>1 can wk</t>
  </si>
  <si>
    <t>1 minican</t>
  </si>
  <si>
    <t>DELUX</t>
  </si>
  <si>
    <t>See 2 yd</t>
  </si>
  <si>
    <t>1.5 Yd pu</t>
  </si>
  <si>
    <t>1.5Yd pu</t>
  </si>
  <si>
    <t>Net Income</t>
  </si>
  <si>
    <t>RCI - Paybacks</t>
  </si>
  <si>
    <t>Interest Income - Outside</t>
  </si>
  <si>
    <t>Miscellaneous Income</t>
  </si>
  <si>
    <t>Gain(loss) on sale of assets</t>
  </si>
  <si>
    <t>Association Dues /Exp Quelah</t>
  </si>
  <si>
    <t>Rent - Covered Parking</t>
  </si>
  <si>
    <t>Contributions Expense</t>
  </si>
  <si>
    <t>Rent Expense-TB135 mini</t>
  </si>
  <si>
    <t>Rent Expense-Shear and Press</t>
  </si>
  <si>
    <t>Rent Expense - Sweeper</t>
  </si>
  <si>
    <t>Rent Expense - Spare Truck</t>
  </si>
  <si>
    <t>Rent Expense - Quelah</t>
  </si>
  <si>
    <t>Rent Expense - Other</t>
  </si>
  <si>
    <t>IRA Expense</t>
  </si>
  <si>
    <t>FUTA Tax Expense</t>
  </si>
  <si>
    <t>SUTA Tax Expense</t>
  </si>
  <si>
    <t>WUTC Tax Expense</t>
  </si>
  <si>
    <t>B&amp;O Tax Expense</t>
  </si>
  <si>
    <t>Other Payroll Tax Expense</t>
  </si>
  <si>
    <t>Fica Tax Expense</t>
  </si>
  <si>
    <t>Property Tax Expense</t>
  </si>
  <si>
    <t>Vehicle License &amp; Fees Expense</t>
  </si>
  <si>
    <t>Labor/Industries Tax Expense</t>
  </si>
  <si>
    <t>Postage Expense</t>
  </si>
  <si>
    <t>Amortization Expense</t>
  </si>
  <si>
    <t>Franchise Fees</t>
  </si>
  <si>
    <t>Damage Expense</t>
  </si>
  <si>
    <t>Miscellaneous Expense</t>
  </si>
  <si>
    <t>Utility Expense</t>
  </si>
  <si>
    <t>Depr Expense - Woodland</t>
  </si>
  <si>
    <t>Medical Insurance Expense</t>
  </si>
  <si>
    <t>Life Insurance Expense</t>
  </si>
  <si>
    <t>Painting Expense</t>
  </si>
  <si>
    <t>Laundry Expense</t>
  </si>
  <si>
    <t>Interest Expense Land Fill</t>
  </si>
  <si>
    <t>Interest Exp HB</t>
  </si>
  <si>
    <t>Interest Exp Outside</t>
  </si>
  <si>
    <t>Stoneridge Rental</t>
  </si>
  <si>
    <t>Employee Relations</t>
  </si>
  <si>
    <t>Seminar &amp; Conference Expense</t>
  </si>
  <si>
    <t>Consulting Expense</t>
  </si>
  <si>
    <t>Freight Expense</t>
  </si>
  <si>
    <t>Drug Testing Expense</t>
  </si>
  <si>
    <t>Contract Waste Hauling Expense</t>
  </si>
  <si>
    <t>Business Meals Expense</t>
  </si>
  <si>
    <t>Bank Charge - NSF</t>
  </si>
  <si>
    <t>Bank Charge - General</t>
  </si>
  <si>
    <t>RCI Expense Account</t>
  </si>
  <si>
    <t>Travel Expense - Lodging</t>
  </si>
  <si>
    <t>Travel Expense - Meals</t>
  </si>
  <si>
    <t>Travel Expense - Transportatio</t>
  </si>
  <si>
    <t>Travel - Misc</t>
  </si>
  <si>
    <t>Dues Nondeductible</t>
  </si>
  <si>
    <t>Dues &amp; Subscriptions Expense</t>
  </si>
  <si>
    <t>Communication Expense</t>
  </si>
  <si>
    <t>Legal Expense</t>
  </si>
  <si>
    <t>Salaries - Administration</t>
  </si>
  <si>
    <t>Management Fee</t>
  </si>
  <si>
    <t>Office Expense</t>
  </si>
  <si>
    <t>Advertising Expense</t>
  </si>
  <si>
    <t>Accounting Expense</t>
  </si>
  <si>
    <t>Landfill-Woodland G-49 Packers</t>
  </si>
  <si>
    <t>Landfill Fees - Packer Trucks</t>
  </si>
  <si>
    <t>Fuel and Oil</t>
  </si>
  <si>
    <t>Wages - Drivers</t>
  </si>
  <si>
    <t>Wages - Extra Labor</t>
  </si>
  <si>
    <t>Wages - Maintenance</t>
  </si>
  <si>
    <t>Tires and Tubes</t>
  </si>
  <si>
    <t>Personal Tools</t>
  </si>
  <si>
    <t>Bad Dedt Exp - Woodland DB</t>
  </si>
  <si>
    <t>Bad Debt Exp - DB</t>
  </si>
  <si>
    <t>Bad Debt Exp - Commercial</t>
  </si>
  <si>
    <t>Bad Debts Exp - Woodland Res</t>
  </si>
  <si>
    <t>Bad Debts Exp - Residential</t>
  </si>
  <si>
    <t>Expenses:</t>
  </si>
  <si>
    <t>Total Revenues</t>
  </si>
  <si>
    <t>Collections - General</t>
  </si>
  <si>
    <t>Sales Woodland - Commercial</t>
  </si>
  <si>
    <t>Sales Woodland  - Residential</t>
  </si>
  <si>
    <t>Sales Kalama</t>
  </si>
  <si>
    <t>Sales Res (Large Billing)</t>
  </si>
  <si>
    <t>Sales Res (Small Billing)</t>
  </si>
  <si>
    <t>Accts Receivable Offset-Sales</t>
  </si>
  <si>
    <t>Collections Drop Box</t>
  </si>
  <si>
    <t>Collections Wood Residentrial</t>
  </si>
  <si>
    <t>Collections Commercial</t>
  </si>
  <si>
    <t>Collections Residential</t>
  </si>
  <si>
    <t>Revenues:</t>
  </si>
  <si>
    <t>Totals</t>
  </si>
  <si>
    <t>Income Statement by Month Provided by Client - Used to Calculate the Twelve Months</t>
  </si>
  <si>
    <t>SCHEDULE 1 - SUMMARY OF RESTATING ADJUSTMENTS, Continued</t>
  </si>
  <si>
    <t>SCHEDULE 2 - SUMMARY OF FORECAST ADJUSTMENTS, Continued</t>
  </si>
  <si>
    <t>SCHEDULE 3 - SUMMARY OF RECLASS ADJUSTMENTS, Continued</t>
  </si>
  <si>
    <t>SCHEDULE 4 - CALCULATE THE TWELVE MONTHS</t>
  </si>
  <si>
    <t>Per Books</t>
  </si>
  <si>
    <t>Restated</t>
  </si>
  <si>
    <t xml:space="preserve">  Leasehold Improvements</t>
  </si>
  <si>
    <t xml:space="preserve">  Office Furniture and Fixtures</t>
  </si>
  <si>
    <t>Life Insurance</t>
  </si>
  <si>
    <t>Workmen’s Comp</t>
  </si>
  <si>
    <t>Meals and Entertainment</t>
  </si>
  <si>
    <t>Dues and Subscriptions</t>
  </si>
  <si>
    <t>Disposal Fees - Cowlitz County</t>
  </si>
  <si>
    <t>Benefit</t>
  </si>
  <si>
    <t>Dues and Subscription</t>
  </si>
  <si>
    <t>Rate Case</t>
  </si>
  <si>
    <t xml:space="preserve">    NET INCOME </t>
  </si>
  <si>
    <t>Disposal Fees - G-49 Packers</t>
  </si>
  <si>
    <t xml:space="preserve">Disposal Fees - G-49 </t>
  </si>
  <si>
    <t>Trucks</t>
  </si>
  <si>
    <t>Regular</t>
  </si>
  <si>
    <t>Route</t>
  </si>
  <si>
    <t>Washington</t>
  </si>
  <si>
    <t>Refuse</t>
  </si>
  <si>
    <t>Extras ***</t>
  </si>
  <si>
    <t>Waste Control, Inc.</t>
  </si>
  <si>
    <t>Summary of Significant Forecast Assumptions</t>
  </si>
  <si>
    <t>Work Papers</t>
  </si>
  <si>
    <t>Gross</t>
  </si>
  <si>
    <t>OT</t>
  </si>
  <si>
    <t>Sick</t>
  </si>
  <si>
    <t>Commissions</t>
  </si>
  <si>
    <t>Holiday</t>
  </si>
  <si>
    <t>Jeff Sugg</t>
  </si>
  <si>
    <t>Average</t>
  </si>
  <si>
    <t>Fuel Cost</t>
  </si>
  <si>
    <t>actual</t>
  </si>
  <si>
    <t>Forecasted Fuel Cost</t>
  </si>
  <si>
    <t>Total Forecasted Expense</t>
  </si>
  <si>
    <t>Forecast Adjustment</t>
  </si>
  <si>
    <t>Depn</t>
  </si>
  <si>
    <t>Investment</t>
  </si>
  <si>
    <t>Sales Fuel Surcharge</t>
  </si>
  <si>
    <t>Sales Commercial</t>
  </si>
  <si>
    <t>Sales Woodland DB Rent</t>
  </si>
  <si>
    <t>Sales Woodland DB Hauling G-49</t>
  </si>
  <si>
    <t>Sales DB Rent</t>
  </si>
  <si>
    <t>Sales DB Hauling</t>
  </si>
  <si>
    <t>Bad Debt Exp Woodland Comm.</t>
  </si>
  <si>
    <t>Contract Labor</t>
  </si>
  <si>
    <t>Repairs &amp; Servicing - Truck</t>
  </si>
  <si>
    <t>Repairs &amp; Servicing - Trailers</t>
  </si>
  <si>
    <t>Operational Supplies</t>
  </si>
  <si>
    <t>Storm Water</t>
  </si>
  <si>
    <t>Liabilitiy Insurance - General</t>
  </si>
  <si>
    <t>Liability Insurance - Building</t>
  </si>
  <si>
    <t>Liability Insurance - Special</t>
  </si>
  <si>
    <t>Salaries - Officer</t>
  </si>
  <si>
    <t>Dues - Life Insurance WR</t>
  </si>
  <si>
    <t>Permits Expense</t>
  </si>
  <si>
    <t>Bank Charge - Finance Charges</t>
  </si>
  <si>
    <t>Interst Exp WCR</t>
  </si>
  <si>
    <t>Interest Exp WCE</t>
  </si>
  <si>
    <t>Interest Exp Curbside</t>
  </si>
  <si>
    <t>Interest Exp WCPF</t>
  </si>
  <si>
    <t>Maintenance - Building</t>
  </si>
  <si>
    <t>Maintenance - DB &amp; FL cont</t>
  </si>
  <si>
    <t>Pre-Tax Aflac Deduction</t>
  </si>
  <si>
    <t>Taxable Aflac Deduction</t>
  </si>
  <si>
    <t>Medical Adm.</t>
  </si>
  <si>
    <t>Medical (HRA)</t>
  </si>
  <si>
    <t>Depr Expense - County</t>
  </si>
  <si>
    <t>Medical (HSA)</t>
  </si>
  <si>
    <t>Cleaning Expenses</t>
  </si>
  <si>
    <t>Security/Fire System Exp</t>
  </si>
  <si>
    <t>Use/Other Tax Expense</t>
  </si>
  <si>
    <t>Rent Expense - Office, Shop, SP, TB-135</t>
  </si>
  <si>
    <t>Penalties</t>
  </si>
  <si>
    <t>Hauling Expense - WCR</t>
  </si>
  <si>
    <t>Sales Commercial (Monthly)</t>
  </si>
  <si>
    <t>Fuel Surcharge</t>
  </si>
  <si>
    <t>Disposal Fees - G-49</t>
  </si>
  <si>
    <t>Taxes and licensing</t>
  </si>
  <si>
    <t>Wages</t>
  </si>
  <si>
    <t>Leasehold Improvements</t>
  </si>
  <si>
    <t>Office Equipment</t>
  </si>
  <si>
    <t>Shed &amp; Equipment</t>
  </si>
  <si>
    <t>Packers</t>
  </si>
  <si>
    <t>Drop Box Trucks</t>
  </si>
  <si>
    <t>Drop Boxes</t>
  </si>
  <si>
    <t>E.</t>
  </si>
  <si>
    <t>D.</t>
  </si>
  <si>
    <t>C.</t>
  </si>
  <si>
    <t>B</t>
  </si>
  <si>
    <t>A.</t>
  </si>
  <si>
    <t>Depr.</t>
  </si>
  <si>
    <t>Allo.</t>
  </si>
  <si>
    <t>Depreciable Cost</t>
  </si>
  <si>
    <t>Disp</t>
  </si>
  <si>
    <t>Asset Cost</t>
  </si>
  <si>
    <t>Mo</t>
  </si>
  <si>
    <t>Yr</t>
  </si>
  <si>
    <t>Asset Description</t>
  </si>
  <si>
    <t>Test year</t>
  </si>
  <si>
    <t>Test Year</t>
  </si>
  <si>
    <t>Year</t>
  </si>
  <si>
    <t xml:space="preserve">Monthly </t>
  </si>
  <si>
    <t>Asset</t>
  </si>
  <si>
    <t>Fully</t>
  </si>
  <si>
    <t>Mthd</t>
  </si>
  <si>
    <t>Value</t>
  </si>
  <si>
    <t>Accumulated</t>
  </si>
  <si>
    <t>Accum.</t>
  </si>
  <si>
    <t>Branch</t>
  </si>
  <si>
    <t>Allocated</t>
  </si>
  <si>
    <t>Salvage</t>
  </si>
  <si>
    <t>Date in</t>
  </si>
  <si>
    <t>Disposition Date</t>
  </si>
  <si>
    <t>Ending</t>
  </si>
  <si>
    <t>Beginning</t>
  </si>
  <si>
    <t>Second year</t>
  </si>
  <si>
    <t>Date fully Depr</t>
  </si>
  <si>
    <t>C</t>
  </si>
  <si>
    <t>First year</t>
  </si>
  <si>
    <t>Months in second year</t>
  </si>
  <si>
    <t>Months in first year</t>
  </si>
  <si>
    <t>End of Test Period</t>
  </si>
  <si>
    <t>B.</t>
  </si>
  <si>
    <t>Purchase date</t>
  </si>
  <si>
    <t>Woodland Improvements</t>
  </si>
  <si>
    <t>Total Leasehold Improvements</t>
  </si>
  <si>
    <t>SL</t>
  </si>
  <si>
    <t>Land Improvement</t>
  </si>
  <si>
    <t>Oil Separator Wdlnd Bnyrd</t>
  </si>
  <si>
    <t>Concrete Wdlnd Boneyard</t>
  </si>
  <si>
    <t>Remodeling Wdlnd Boneyard</t>
  </si>
  <si>
    <t>Imprvmnt Woodland Boneyard</t>
  </si>
  <si>
    <t>Chain Link Fence **</t>
  </si>
  <si>
    <t>Imprvmnt on Sprinkler syst</t>
  </si>
  <si>
    <t>Parking lot improvements</t>
  </si>
  <si>
    <t>Oil/Water Separator</t>
  </si>
  <si>
    <t>Schlecht Wash Rack roof</t>
  </si>
  <si>
    <t>Wash Bay improvements</t>
  </si>
  <si>
    <t>Extend Dry system on wash</t>
  </si>
  <si>
    <t>610 Series rolling door</t>
  </si>
  <si>
    <t>Siding on Front Bldg</t>
  </si>
  <si>
    <t>Remodel Larry Lampkin off</t>
  </si>
  <si>
    <t>Office Remodel</t>
  </si>
  <si>
    <t>Water/Oil Separator-Washrack</t>
  </si>
  <si>
    <t>Continue downstiars office/bath</t>
  </si>
  <si>
    <t>Remodel downstairs bath</t>
  </si>
  <si>
    <t>Improvements on Bathroom</t>
  </si>
  <si>
    <t>Finish downstairs office</t>
  </si>
  <si>
    <t>Water/Oil Separator-Boneyard</t>
  </si>
  <si>
    <t>Carts less Woodland</t>
  </si>
  <si>
    <t>Total Carts</t>
  </si>
  <si>
    <t>Subtotal</t>
  </si>
  <si>
    <t>100-65 gallon trashbarrels</t>
  </si>
  <si>
    <t>100-100 gallon trashbarrels</t>
  </si>
  <si>
    <t>100-35 gallon trashbarrels</t>
  </si>
  <si>
    <t>50-100 gallon trashbarrels</t>
  </si>
  <si>
    <t>50-65 gallon trashbarrels</t>
  </si>
  <si>
    <t>50-35 gallon trashbarrels</t>
  </si>
  <si>
    <t>24-100 gallon trashbarrels</t>
  </si>
  <si>
    <t>40-300 gallon trashbarrels</t>
  </si>
  <si>
    <t>150-36 gallong trashbarrels</t>
  </si>
  <si>
    <t>50-100 gallon &amp; 50-65 gall</t>
  </si>
  <si>
    <t>760-65 gallon trashbarrels</t>
  </si>
  <si>
    <t>Total Office Equipment</t>
  </si>
  <si>
    <t>1 Dell Computer (Inspiron 660)</t>
  </si>
  <si>
    <t>1/3 Konica Minolta 601 Copier</t>
  </si>
  <si>
    <t>Dell Latitude E6430 Notebook Laptop</t>
  </si>
  <si>
    <t>Dell Computer (Inspiron 660s)</t>
  </si>
  <si>
    <t>Dell Computer (XPS 8300)</t>
  </si>
  <si>
    <t>2 IMAC Apple Computers</t>
  </si>
  <si>
    <t>2 OptiPlex Dell 360 Minitower Comp</t>
  </si>
  <si>
    <t>A/R Software</t>
  </si>
  <si>
    <t>Computer for Larry</t>
  </si>
  <si>
    <t>Total Shed &amp; Equipment</t>
  </si>
  <si>
    <t>Trailblazer 302 Diesel Powered Welder</t>
  </si>
  <si>
    <t>Woodsplitter - TW - 5FC</t>
  </si>
  <si>
    <t>IR Roller (shared)</t>
  </si>
  <si>
    <t>Fire hose</t>
  </si>
  <si>
    <t>Hougen drill</t>
  </si>
  <si>
    <t>Band saw</t>
  </si>
  <si>
    <t>Total Service Cars</t>
  </si>
  <si>
    <t>2012 Ford F250 TK#41</t>
  </si>
  <si>
    <t>Ford F350 Miss Dump TK#39</t>
  </si>
  <si>
    <t>2010 Ford F250 TK#13</t>
  </si>
  <si>
    <t>Prius-Hybrid 2010</t>
  </si>
  <si>
    <t>2004 F-250 #8</t>
  </si>
  <si>
    <t>FL Trailer</t>
  </si>
  <si>
    <t>1989 GMC Sewer Truck(shared)</t>
  </si>
  <si>
    <t>Tipper for F350</t>
  </si>
  <si>
    <t>Service Cars</t>
  </si>
  <si>
    <t>Total Trucks</t>
  </si>
  <si>
    <t>Subtotal Trucks-Packers</t>
  </si>
  <si>
    <t>TK#24-2012 Peterbilt 320</t>
  </si>
  <si>
    <t>TK#New 15 Compactor</t>
  </si>
  <si>
    <t>2011 Peterbilt 32 - TK#New15</t>
  </si>
  <si>
    <t>07 Peterbilt Mbl #10 Chassis</t>
  </si>
  <si>
    <t>06 Peterbilt Mbl #10 Body</t>
  </si>
  <si>
    <t>Trucks--Packers</t>
  </si>
  <si>
    <t>Subtotal Truck-Drop Trucks</t>
  </si>
  <si>
    <t xml:space="preserve">New Drop Truck - none </t>
  </si>
  <si>
    <t>TK#27-2012 Peterbilt 365</t>
  </si>
  <si>
    <t>95 Peterbilt 320  #9</t>
  </si>
  <si>
    <t>Trucks--Drop Box</t>
  </si>
  <si>
    <t>Woodland Containers</t>
  </si>
  <si>
    <t>Total Containers</t>
  </si>
  <si>
    <t>1-3yd Front Load Container</t>
  </si>
  <si>
    <t>4-6yd Slant Top Container</t>
  </si>
  <si>
    <t>1-6yd Slant Top Container</t>
  </si>
  <si>
    <t>1-3yd Slant Top Container</t>
  </si>
  <si>
    <t>1-4yd Slant Top Container</t>
  </si>
  <si>
    <t>1-2yd Slant Top Container</t>
  </si>
  <si>
    <t>1-5yd Slant Top Container</t>
  </si>
  <si>
    <t>1-4 yd Slant Top Container</t>
  </si>
  <si>
    <t>2-4yd Front Loaders</t>
  </si>
  <si>
    <t>1-1.5yd Front Loader</t>
  </si>
  <si>
    <t>1-2yd Front Loader</t>
  </si>
  <si>
    <t>3-5yd Front Loaders</t>
  </si>
  <si>
    <t>1-4yd Front Loader</t>
  </si>
  <si>
    <t>1-3yd Front Loader</t>
  </si>
  <si>
    <t>2-2yd Front Loaders</t>
  </si>
  <si>
    <t>1-6yd Front Loader</t>
  </si>
  <si>
    <t>1-3yd Front Load Containers</t>
  </si>
  <si>
    <t>1-2yd Front Load Containers</t>
  </si>
  <si>
    <t>1-6yd Front Load Containers</t>
  </si>
  <si>
    <t>1-4yd Front Load Containers</t>
  </si>
  <si>
    <t>3-2yd Front Loaders</t>
  </si>
  <si>
    <t>5yd Front Loader</t>
  </si>
  <si>
    <t>3yd Front Loader</t>
  </si>
  <si>
    <t>2yd Front Loader</t>
  </si>
  <si>
    <t>1.5yd Front Loader</t>
  </si>
  <si>
    <t>1.5 yd frt ld w/lids</t>
  </si>
  <si>
    <t>Total Drop Boxes</t>
  </si>
  <si>
    <t>30yd DB with Lid</t>
  </si>
  <si>
    <t>1-30yd DE and 1-20yd DB</t>
  </si>
  <si>
    <t>50 Lids 59x37</t>
  </si>
  <si>
    <t>50 - 59x37 Lids</t>
  </si>
  <si>
    <t>2-6yd Frontloaders</t>
  </si>
  <si>
    <t>1-5yd Frontloader</t>
  </si>
  <si>
    <t>1-4yd Frontloader</t>
  </si>
  <si>
    <t>50-Swivel Caster for Front Loader</t>
  </si>
  <si>
    <t>3-40 yd Front Loanders</t>
  </si>
  <si>
    <t>1-20 yd Drop Box</t>
  </si>
  <si>
    <t>2-40 yd Drop Boxes</t>
  </si>
  <si>
    <t>Depn.</t>
  </si>
  <si>
    <t xml:space="preserve">  Yr.</t>
  </si>
  <si>
    <t>Test yr.</t>
  </si>
  <si>
    <t>Monthly</t>
  </si>
  <si>
    <t>Depreciable</t>
  </si>
  <si>
    <t>Beg of Test Period</t>
  </si>
  <si>
    <t>25-220 gallon trashbarrels - WD</t>
  </si>
  <si>
    <t>25-35 gallon trashbarrels</t>
  </si>
  <si>
    <t>25-100 gallon trashbarrels</t>
  </si>
  <si>
    <t>10-440 gallon trashbarrels-WD</t>
  </si>
  <si>
    <t>80-100 gal &amp; 100-65 gal</t>
  </si>
  <si>
    <t>20-100 gallon trashbarrels-WD</t>
  </si>
  <si>
    <t>125-100 gallon trashbarrels</t>
  </si>
  <si>
    <t>Stormwater management</t>
  </si>
  <si>
    <t>CC Auditor</t>
  </si>
  <si>
    <t>pickup</t>
  </si>
  <si>
    <t>packer</t>
  </si>
  <si>
    <t>db</t>
  </si>
  <si>
    <t>Prius</t>
  </si>
  <si>
    <t>TK#10</t>
  </si>
  <si>
    <t>TK#13</t>
  </si>
  <si>
    <t>TK#41</t>
  </si>
  <si>
    <t>TK#39</t>
  </si>
  <si>
    <t>TK#15</t>
  </si>
  <si>
    <t>TK#27</t>
  </si>
  <si>
    <t>TK#24</t>
  </si>
  <si>
    <t>Lobbying</t>
  </si>
  <si>
    <t>Storm water management</t>
  </si>
  <si>
    <t>Jason Bebout</t>
  </si>
  <si>
    <t>Cody Bartel</t>
  </si>
  <si>
    <t>Devon Curtis</t>
  </si>
  <si>
    <t>Henry Peltier (100% drop box)</t>
  </si>
  <si>
    <t>s/b change</t>
  </si>
  <si>
    <t>in acc wages</t>
  </si>
  <si>
    <t>Lacey Gray</t>
  </si>
  <si>
    <t>Test</t>
  </si>
  <si>
    <t>Effective</t>
  </si>
  <si>
    <t>Test Year Totals</t>
  </si>
  <si>
    <t>14 Rate</t>
  </si>
  <si>
    <t>at 14 Rate</t>
  </si>
  <si>
    <t>wage base</t>
  </si>
  <si>
    <t>UI rate</t>
  </si>
  <si>
    <t>s/b zero</t>
  </si>
  <si>
    <t>Rent</t>
  </si>
  <si>
    <t>Actual Misc Shop</t>
  </si>
  <si>
    <t>Cust Count</t>
  </si>
  <si>
    <t>Richard Ensign - db mg (all cos)</t>
  </si>
  <si>
    <t>Terri Turner - office mg</t>
  </si>
  <si>
    <t>Larry Lamkin - maint super</t>
  </si>
  <si>
    <t>Mgt fees</t>
  </si>
  <si>
    <t>Benefits %</t>
  </si>
  <si>
    <t>Total Payroll</t>
  </si>
  <si>
    <t>WORKPAPER 8 - CUSTOMER COUNTS, Continued</t>
  </si>
  <si>
    <t>Interest expense is not allowed, therefore it is eliminated.</t>
  </si>
  <si>
    <t>Maintenance/Cont./Dr Bx</t>
  </si>
  <si>
    <t>Rent-Land and Structure</t>
  </si>
  <si>
    <t>Rent-Covered Parking</t>
  </si>
  <si>
    <t>Revenue</t>
  </si>
  <si>
    <t>Woodland</t>
  </si>
  <si>
    <t>G</t>
  </si>
  <si>
    <t>D</t>
  </si>
  <si>
    <t>Frequency</t>
  </si>
  <si>
    <t>Interest Exp</t>
  </si>
  <si>
    <t>Quelah Rental</t>
  </si>
  <si>
    <t>Rent-Woodland Storage</t>
  </si>
  <si>
    <t>Rent-Storage</t>
  </si>
  <si>
    <t>Rent-Employee Parking</t>
  </si>
  <si>
    <t>WORKPAPER 7 - TRANSACTIONS WITH AFFILIATED COMPANIES, Continued</t>
  </si>
  <si>
    <t xml:space="preserve">Joseph and Kevin Willis are the stockholders of Waste Control, Inc., Waste Control Equipment, Inc., Waste Control Recycling, Inc. and West Coast Paper Fibres, Inc.  Joseph and Kevin Willis are equal members in Heirborne Investments, LLC and Heirborne Investments II, LLC.  </t>
  </si>
  <si>
    <t>Relationships:</t>
  </si>
  <si>
    <t>of Pickup</t>
  </si>
  <si>
    <t>Number</t>
  </si>
  <si>
    <t>of Units</t>
  </si>
  <si>
    <t>Customer Count for:</t>
  </si>
  <si>
    <t>Cowlitz</t>
  </si>
  <si>
    <t>County</t>
  </si>
  <si>
    <t>City of</t>
  </si>
  <si>
    <t>Castle Rock</t>
  </si>
  <si>
    <t xml:space="preserve">Income </t>
  </si>
  <si>
    <t>Statement</t>
  </si>
  <si>
    <t>Regulated</t>
  </si>
  <si>
    <t>Income</t>
  </si>
  <si>
    <t>Adj #</t>
  </si>
  <si>
    <t>Total Revenue</t>
  </si>
  <si>
    <t>Sub</t>
  </si>
  <si>
    <t>Total Commerical</t>
  </si>
  <si>
    <t>Total Packer</t>
  </si>
  <si>
    <t xml:space="preserve">R-1 </t>
  </si>
  <si>
    <t>D =</t>
  </si>
  <si>
    <t>R =</t>
  </si>
  <si>
    <t>N =</t>
  </si>
  <si>
    <t>A =</t>
  </si>
  <si>
    <t>Allocate a portion to non-regulated activities</t>
  </si>
  <si>
    <t>Non</t>
  </si>
  <si>
    <t>Regular Service Only</t>
  </si>
  <si>
    <t>Total Resi</t>
  </si>
  <si>
    <t>Total Comm</t>
  </si>
  <si>
    <t>Sub Comm 2</t>
  </si>
  <si>
    <t>Sub Comm 1</t>
  </si>
  <si>
    <t>Total Reg Garbage</t>
  </si>
  <si>
    <t xml:space="preserve">Removed adj completely </t>
  </si>
  <si>
    <t>P-2,3</t>
  </si>
  <si>
    <t xml:space="preserve">Gross operational revenue </t>
  </si>
  <si>
    <t>Bad Debt</t>
  </si>
  <si>
    <t>Actual Bad Debt</t>
  </si>
  <si>
    <t>Kyle Miller</t>
  </si>
  <si>
    <t>Total Allowable</t>
  </si>
  <si>
    <t xml:space="preserve">Total Cost for this truck = </t>
  </si>
  <si>
    <t>SV</t>
  </si>
  <si>
    <t xml:space="preserve">SV = </t>
  </si>
  <si>
    <t>Service Vehicle</t>
  </si>
  <si>
    <t xml:space="preserve">G = </t>
  </si>
  <si>
    <t>Garbage Truck</t>
  </si>
  <si>
    <t>AVG</t>
  </si>
  <si>
    <t>Change</t>
  </si>
  <si>
    <t>IS</t>
  </si>
  <si>
    <t>Shared</t>
  </si>
  <si>
    <t>Tons</t>
  </si>
  <si>
    <t>Company uses the Direct Method for Uncollectable</t>
  </si>
  <si>
    <t>Residential &amp; Commercial</t>
  </si>
  <si>
    <t>ADJUSTED</t>
  </si>
  <si>
    <t>Test Year cost per ton</t>
  </si>
  <si>
    <t>Test Year tons</t>
  </si>
  <si>
    <t>DF Increase</t>
  </si>
  <si>
    <t>Exp and Rev Adj</t>
  </si>
  <si>
    <t>weeks</t>
  </si>
  <si>
    <t>Results of Operations</t>
  </si>
  <si>
    <t>Disposal Schedule for Tons @ Cowlitz County Landfill</t>
  </si>
  <si>
    <t>Drop Box Tons</t>
  </si>
  <si>
    <t>Total operational Tons</t>
  </si>
  <si>
    <t>RESTATE</t>
  </si>
  <si>
    <t>$ pr Ton</t>
  </si>
  <si>
    <t>Restate</t>
  </si>
  <si>
    <t>PRO FORMA</t>
  </si>
  <si>
    <t>Pro Forma</t>
  </si>
  <si>
    <t xml:space="preserve">    (Commercial)</t>
  </si>
  <si>
    <t>920 TAX CODE WOODLAND 98674</t>
  </si>
  <si>
    <t>1152 River RD Longview 98632</t>
  </si>
  <si>
    <t xml:space="preserve">   (Applied Industries Land)</t>
  </si>
  <si>
    <t>1120 3rd Ave Longview 98632</t>
  </si>
  <si>
    <t xml:space="preserve">   (Main Office Building &amp; Shop)</t>
  </si>
  <si>
    <t>1150 3rd Ave Longview 98632</t>
  </si>
  <si>
    <t xml:space="preserve">   (Wash Bay/TS Booths/Office Parking Lot)</t>
  </si>
  <si>
    <t>950 3rd Ave Longview 98632</t>
  </si>
  <si>
    <t xml:space="preserve">   (Carts and tubs)</t>
  </si>
  <si>
    <t>2564 Lewis River RD Woodland 98674</t>
  </si>
  <si>
    <t>657 W Scott Ave Woodland 98674</t>
  </si>
  <si>
    <t xml:space="preserve">    (Land N. of the MRF)</t>
  </si>
  <si>
    <t>River Rd</t>
  </si>
  <si>
    <t>1226 River RD Longview 98632</t>
  </si>
  <si>
    <t>1208 River RD Longview 98632</t>
  </si>
  <si>
    <t xml:space="preserve">    (Storage For Woodland Area containers)</t>
  </si>
  <si>
    <t>UTILITY COSTS/ALLOCATIONS</t>
  </si>
  <si>
    <t>Total Annual Rent Expense</t>
  </si>
  <si>
    <t>Waste Control Inc.</t>
  </si>
  <si>
    <t>WCI</t>
  </si>
  <si>
    <t>1st</t>
  </si>
  <si>
    <t>2nd</t>
  </si>
  <si>
    <t xml:space="preserve">Description </t>
  </si>
  <si>
    <t>Account #</t>
  </si>
  <si>
    <t>Parcel #</t>
  </si>
  <si>
    <t>WCR</t>
  </si>
  <si>
    <t>WCE</t>
  </si>
  <si>
    <t>Curb</t>
  </si>
  <si>
    <t>WCPF</t>
  </si>
  <si>
    <t>Half</t>
  </si>
  <si>
    <t>Amounts</t>
  </si>
  <si>
    <t>Splits</t>
  </si>
  <si>
    <t>R042568</t>
  </si>
  <si>
    <t>R033233</t>
  </si>
  <si>
    <t>R033250</t>
  </si>
  <si>
    <t>R033246</t>
  </si>
  <si>
    <t>R033248</t>
  </si>
  <si>
    <t>R033251</t>
  </si>
  <si>
    <t>P009026</t>
  </si>
  <si>
    <t>P009293</t>
  </si>
  <si>
    <t>River Rd (Roll Cart Storage)</t>
  </si>
  <si>
    <t>R033249</t>
  </si>
  <si>
    <t>P003374</t>
  </si>
  <si>
    <t>R033291</t>
  </si>
  <si>
    <t>R033236</t>
  </si>
  <si>
    <t>R033240</t>
  </si>
  <si>
    <t>R033234</t>
  </si>
  <si>
    <t>Totals on Splits</t>
  </si>
  <si>
    <t>Parcel #1002602 &amp; #1006204 Activity</t>
  </si>
  <si>
    <t>WCI/WCR/WCE</t>
  </si>
  <si>
    <t>P003213</t>
  </si>
  <si>
    <t>P005420</t>
  </si>
  <si>
    <t>Total WCI</t>
  </si>
  <si>
    <t>R033239</t>
  </si>
  <si>
    <t xml:space="preserve">   (MRF - South End)</t>
  </si>
  <si>
    <t>R033241</t>
  </si>
  <si>
    <t xml:space="preserve">   (Building Ex E. - Scrap Metal Area)</t>
  </si>
  <si>
    <t>1154 River RD Longview 98632</t>
  </si>
  <si>
    <t>R033237</t>
  </si>
  <si>
    <t>P003653</t>
  </si>
  <si>
    <t>Total WCR</t>
  </si>
  <si>
    <t>WCE (Longview)</t>
  </si>
  <si>
    <t>P003654</t>
  </si>
  <si>
    <t>WCE (Kelso)</t>
  </si>
  <si>
    <t>P003652</t>
  </si>
  <si>
    <t>Total WCE</t>
  </si>
  <si>
    <t>Curbside/HBI/HBII</t>
  </si>
  <si>
    <t>P001731</t>
  </si>
  <si>
    <t>Total HB I and Curbside</t>
  </si>
  <si>
    <t>Totals By Individual Company</t>
  </si>
  <si>
    <t>Curbside</t>
  </si>
  <si>
    <t>2nd Half</t>
  </si>
  <si>
    <t>1st Half</t>
  </si>
  <si>
    <t>Support for Rate Case Expense</t>
  </si>
  <si>
    <t>GL Booth JG Davis &amp; Associates</t>
  </si>
  <si>
    <t>Adjusted fuel</t>
  </si>
  <si>
    <t xml:space="preserve">P-1                                    </t>
  </si>
  <si>
    <t>Other adjustments per WUTC:</t>
  </si>
  <si>
    <t>Per Company's book depreciation schedule:</t>
  </si>
  <si>
    <t>Total cost per books</t>
  </si>
  <si>
    <t>Cost of shared assets allowed per WUTC</t>
  </si>
  <si>
    <t>Cost to disallow</t>
  </si>
  <si>
    <t>Capital Structure as Recalculated Above:</t>
  </si>
  <si>
    <t>Maximum Normally Allowed Under Lurito Gallagher:</t>
  </si>
  <si>
    <t>Rent paid to Waste Control Equipment for a spare truck, $3,000 monthly, under lease dated July 1, 2007, rent reviewed annually and supersedes prior leases.  Relationship exceeds 15 years in length.</t>
  </si>
  <si>
    <t>Residential Tons</t>
  </si>
  <si>
    <t>Commercial Tons</t>
  </si>
  <si>
    <t>Kalama Residential Tons</t>
  </si>
  <si>
    <t>Kalama Commercial Tons</t>
  </si>
  <si>
    <t>Total Commercial Tons</t>
  </si>
  <si>
    <t>2017</t>
  </si>
  <si>
    <t>Rent- Tk shp, Wsh bay, Bld F</t>
  </si>
  <si>
    <t>Collections Woodland Res</t>
  </si>
  <si>
    <t>Collections Woodland Comm</t>
  </si>
  <si>
    <t>Collections - Drop Box</t>
  </si>
  <si>
    <t>Collections - Hauling</t>
  </si>
  <si>
    <t>Collections Woodland DB</t>
  </si>
  <si>
    <t>Collections - Kalama</t>
  </si>
  <si>
    <t>Refunds - Res</t>
  </si>
  <si>
    <t>Refund DB Woodland</t>
  </si>
  <si>
    <t>Refunds - Drop Box</t>
  </si>
  <si>
    <t>Refund - Comm</t>
  </si>
  <si>
    <t>Refund Woodland Res</t>
  </si>
  <si>
    <t>Disputed CC Interest</t>
  </si>
  <si>
    <t>Refund - WD Comm</t>
  </si>
  <si>
    <t>.</t>
  </si>
  <si>
    <t>1-30yd DB with Open Top</t>
  </si>
  <si>
    <t>3-4yd drop boxes</t>
  </si>
  <si>
    <t>1-30yd drop box w/open top</t>
  </si>
  <si>
    <t>1-30yd drop box with lid</t>
  </si>
  <si>
    <t>30yd Drop box</t>
  </si>
  <si>
    <t>Computer - Truck Shop</t>
  </si>
  <si>
    <t>50-100 gallon carts</t>
  </si>
  <si>
    <t>AC Clutch Repair - TK#41</t>
  </si>
  <si>
    <t>TK#1 2018 F-150</t>
  </si>
  <si>
    <t>TK#55 2018 F-150</t>
  </si>
  <si>
    <t>6-2yd Containers</t>
  </si>
  <si>
    <t>2-4yd Containers</t>
  </si>
  <si>
    <t>1-6yd Container</t>
  </si>
  <si>
    <t>1-5yd Container</t>
  </si>
  <si>
    <t>4-4YD Container</t>
  </si>
  <si>
    <t>4-3YD Container</t>
  </si>
  <si>
    <t>3-4YD Container</t>
  </si>
  <si>
    <t>1-2yd Container</t>
  </si>
  <si>
    <t>1-3yd Container</t>
  </si>
  <si>
    <t>2-2yd Slant Top Containers</t>
  </si>
  <si>
    <t>2-3yd Slant Top Containers</t>
  </si>
  <si>
    <t>12 In-dash JVC Blue Tooth Stereos</t>
  </si>
  <si>
    <t>50-60G EMP 65U Trash Cans (Green)</t>
  </si>
  <si>
    <t>78-95G TC-100 Trash Cans (Green)</t>
  </si>
  <si>
    <t>25-95 Gallon TC-100 Trash Cans (Green)</t>
  </si>
  <si>
    <t>29-95 Gallon TC-100 Trash Cans (Green)</t>
  </si>
  <si>
    <t>36-60G EMP 65U Trash Cans (Green)</t>
  </si>
  <si>
    <t>51-95 Gallon TC-100 Trash Cans (Brown)</t>
  </si>
  <si>
    <t>49-95 Gallon Trash Cans</t>
  </si>
  <si>
    <t>55-60 Gallon Trash Cans</t>
  </si>
  <si>
    <t>48-35 Gallon Trash Cans</t>
  </si>
  <si>
    <t>50-60 Gallon Trash Cans</t>
  </si>
  <si>
    <t>40-60 Gallon Trash Cans</t>
  </si>
  <si>
    <t>30-95 Gallon Trash Cans</t>
  </si>
  <si>
    <t>35-95 Gallon Trash Cans</t>
  </si>
  <si>
    <t>50-95 Gallon Trash Cans</t>
  </si>
  <si>
    <t>50-35 Gallon Trash Cans</t>
  </si>
  <si>
    <t>56-35 Gallon Trash Cans</t>
  </si>
  <si>
    <t>15-300 Gallon Trash Cans</t>
  </si>
  <si>
    <t>25-100 Gallon Trash Cans</t>
  </si>
  <si>
    <t>50-65U WC/XL Cart</t>
  </si>
  <si>
    <t>50-100 Gallon Trash Cans</t>
  </si>
  <si>
    <t>50-35U WC/XL Cart</t>
  </si>
  <si>
    <t>25-100 Gallon Carts</t>
  </si>
  <si>
    <t>100-300 Gallon Carts</t>
  </si>
  <si>
    <t>50-100 Gallon Carts</t>
  </si>
  <si>
    <t>50-35 Gallon Carts</t>
  </si>
  <si>
    <t>50-65 Gallon Carts</t>
  </si>
  <si>
    <t>100-65 Gallon Carts</t>
  </si>
  <si>
    <t>100-100 Gallon Carts</t>
  </si>
  <si>
    <t>50-90 Gallon Carts</t>
  </si>
  <si>
    <t>100-35 Gallon Carts</t>
  </si>
  <si>
    <t>TK#7</t>
  </si>
  <si>
    <t>TK#10 Engine Rebuild</t>
  </si>
  <si>
    <t>Catalyst Module Repair - TK#15</t>
  </si>
  <si>
    <t>Turbocharger - TK#24</t>
  </si>
  <si>
    <t>TK#4</t>
  </si>
  <si>
    <t>Air Actuator &amp; Grabber Cylinder TK#15</t>
  </si>
  <si>
    <t>Steering Wheel Assembly Repair TK#15</t>
  </si>
  <si>
    <t>Engine, Jake and Coolant Lines Repair TK#27</t>
  </si>
  <si>
    <t>Welding on Pivot Arms</t>
  </si>
  <si>
    <t>Dump Trailer Chassis - TK#30P</t>
  </si>
  <si>
    <t>23YD Cyl for TK#7</t>
  </si>
  <si>
    <t>Chassis - TK#6</t>
  </si>
  <si>
    <t>Front Loader Body - TK#6</t>
  </si>
  <si>
    <t>Combined Flow Block for TK#7</t>
  </si>
  <si>
    <t>Painting for TK#30P</t>
  </si>
  <si>
    <t>Cooling System and Injectors Work for TK#10</t>
  </si>
  <si>
    <t>New TK#4</t>
  </si>
  <si>
    <t>1 - 20YD Drop Box w/Open Top</t>
  </si>
  <si>
    <t>2 - 40YD Drop Boxes</t>
  </si>
  <si>
    <t>TK#70</t>
  </si>
  <si>
    <t>ICP Kit - TK#24</t>
  </si>
  <si>
    <t>Cortex 40 I/O Controller Program - TK#7</t>
  </si>
  <si>
    <t>2018</t>
  </si>
  <si>
    <t>Equity as of 3/31/18 per books</t>
  </si>
  <si>
    <t>Add back accumulated depreciation 3/31/18 per books</t>
  </si>
  <si>
    <t>Recalculated Equity for 3/31/18 Rate case</t>
  </si>
  <si>
    <t>Truck 1 - TK#1</t>
  </si>
  <si>
    <t>Truck 2 - TK#55</t>
  </si>
  <si>
    <t>3/31/18 Debt for Workpaper 6 Capital structure</t>
  </si>
  <si>
    <t xml:space="preserve"> 3/31/18 cost of disallowed shared assets per book</t>
  </si>
  <si>
    <t>Subtract for 3/31/18 accumulated depreciation per WUTC</t>
  </si>
  <si>
    <t>Morpho Trust USA</t>
  </si>
  <si>
    <t>Master License Service</t>
  </si>
  <si>
    <t>CC Treasury</t>
  </si>
  <si>
    <t>Source: General Ledger</t>
  </si>
  <si>
    <t>TK#9</t>
  </si>
  <si>
    <t>Twic card for long haul drivers</t>
  </si>
  <si>
    <t>TK#46</t>
  </si>
  <si>
    <t>Columbia Ford</t>
  </si>
  <si>
    <t>Licensing refund</t>
  </si>
  <si>
    <t>TL 109</t>
  </si>
  <si>
    <t>TL 130</t>
  </si>
  <si>
    <t>04/01/17 - 03/31/18</t>
  </si>
  <si>
    <t>Maxwell Tilton</t>
  </si>
  <si>
    <t>William Hainline</t>
  </si>
  <si>
    <t>Kyle Horton</t>
  </si>
  <si>
    <t>Loren Gonzales</t>
  </si>
  <si>
    <t>Todd Hall</t>
  </si>
  <si>
    <t>David Akans</t>
  </si>
  <si>
    <t>Clayton Carney</t>
  </si>
  <si>
    <t>Weslie Coates</t>
  </si>
  <si>
    <t>Tyler Inman</t>
  </si>
  <si>
    <t>Nathan Richardson</t>
  </si>
  <si>
    <t>Jagmeet Deol</t>
  </si>
  <si>
    <t>David Murray</t>
  </si>
  <si>
    <t>Arnold Messex</t>
  </si>
  <si>
    <t>DRIVERS</t>
  </si>
  <si>
    <t>Ryan Larsen</t>
  </si>
  <si>
    <t>Affiliated long-term debt consist of the following as of March 31, 2018:</t>
  </si>
  <si>
    <t>Affiliated other expense for the twelve month period ending March 31, 2018 consist of the following:</t>
  </si>
  <si>
    <t>Affiliated operating revenues for the twelve month period ending March 31, 2018 consist of the following:</t>
  </si>
  <si>
    <t>Affiliated operating expenses for the twelve month period ending March 31, 2018 consist of the following:</t>
  </si>
  <si>
    <t>Source:  General Ledger</t>
  </si>
  <si>
    <t>04/01/17 to</t>
  </si>
  <si>
    <t>√</t>
  </si>
  <si>
    <t>Joshua Holder</t>
  </si>
  <si>
    <t>Used hourly wage convervted from salary per client for salaried employees</t>
  </si>
  <si>
    <t>Cowlitz County Residential and Commercial Sales</t>
  </si>
  <si>
    <t>CO Res</t>
  </si>
  <si>
    <t>Co Comm</t>
  </si>
  <si>
    <t>Residential &amp; Commercial Tons Total</t>
  </si>
  <si>
    <t>Total operational tons</t>
  </si>
  <si>
    <t>Notes:</t>
  </si>
  <si>
    <t>Equipment lease (rental truck)</t>
  </si>
  <si>
    <t>Pass for now</t>
  </si>
  <si>
    <t>Storm Water Management</t>
  </si>
  <si>
    <t>Management fee paid to Waste Control Equipment for management and spare driver, $15,000 per month (is now $17,000 per month starting 1/1/17) beginning sometime around 1986. Contract attached.</t>
  </si>
  <si>
    <t>TK#6</t>
  </si>
  <si>
    <t>Building Ins. Loan</t>
  </si>
  <si>
    <t>1-30YD Drop Box</t>
  </si>
  <si>
    <t>Loan for General Bldg Ins.</t>
  </si>
  <si>
    <t>Note payable to Heirborne Investments, LLC, created October 2014, with interest of 6.0%, due in monthly installments of $1,227.18, including interest, until October 2019</t>
  </si>
  <si>
    <t>(N) Newest TK#07 2014</t>
  </si>
  <si>
    <t>(N) TK#4 2015</t>
  </si>
  <si>
    <t>(N) TK#6-2018</t>
  </si>
  <si>
    <t>Note payable to Heirborne Investments, LLC, created August 2017, with interest of 3.0%, due in monthly installments of $7,619.28, including interest, until August 2020</t>
  </si>
  <si>
    <t>Note payable to Heirborne Investments, LLC, created August 2017, with interest of 3.0%, due in monthly installments of $1,366.82, including interest, until August 2020</t>
  </si>
  <si>
    <t>Note payable to Heirborne Investments, LLC, created June 2016, with interest of 3.0%, due in monthly installments of $5,335.11, including interest, until June 2021</t>
  </si>
  <si>
    <t>Note payable to Heirborne Investments, LLC, created July 2017, with interest of 3.0%, due in monthly installments of $1,522.06, including interest, until June 2018</t>
  </si>
  <si>
    <t>All regulated</t>
  </si>
  <si>
    <t>mgmt fee</t>
  </si>
  <si>
    <t>check</t>
  </si>
  <si>
    <t>diff</t>
  </si>
  <si>
    <t>Cost per Gallon</t>
  </si>
  <si>
    <t>Rent Exp-Office,Shop,SP,TB-135</t>
  </si>
  <si>
    <t>Rent-Tk Shp, Wsh bay, Bld F</t>
  </si>
  <si>
    <t>WORKPAPER 1 - DEPRECIATION</t>
  </si>
  <si>
    <t>WORKPAPER 1 - DEPRECIATION, Continued</t>
  </si>
  <si>
    <t>WORKPAPER 2 - LABOR ANALYSIS</t>
  </si>
  <si>
    <t>Pass for now…</t>
  </si>
  <si>
    <t>WORKPAPER 2 - LABOR ANALYSIS, Continued</t>
  </si>
  <si>
    <t>No taxes to be moved out of the account for 4/1/17-3/31/18 time period</t>
  </si>
  <si>
    <t>WORKPAPER 4 - DUES AND SUBSCRIPTIONS ANYALSIS</t>
  </si>
  <si>
    <t>WORKPAPER 5 - CAPITAL STRUCTURE/COST OF DEBT/ROE ANALYSIS</t>
  </si>
  <si>
    <t>WORKPAPER 5 - CAPITAL STRUCTURE/COST OF DEBT/ROE ANALYSIS, CONTINUED</t>
  </si>
  <si>
    <t>WORKPAPER 6 - TRANSACTIONS WITH AFFILIATED COMPANIES</t>
  </si>
  <si>
    <t>WORKPAPER 8 - FUEL ANALYSIS</t>
  </si>
  <si>
    <t>WORKPAPER 9 - BAD DEBTS</t>
  </si>
  <si>
    <t>WORKPAPER 10 - UTILITIES</t>
  </si>
  <si>
    <t>WORKPAPER 11 - LAND RENTS</t>
  </si>
  <si>
    <t>WORKPAPER 12 - PROPERTY TAX</t>
  </si>
  <si>
    <t>WORKPAPER 13 - DISPOSAL FEES</t>
  </si>
  <si>
    <t>WORKPAPER 14 - RATE CASE COSTS</t>
  </si>
  <si>
    <t>Property Tax 2017</t>
  </si>
  <si>
    <t>April 2017</t>
  </si>
  <si>
    <t>May 2017</t>
  </si>
  <si>
    <t>June 2017</t>
  </si>
  <si>
    <t>July 2017</t>
  </si>
  <si>
    <t>August 2017</t>
  </si>
  <si>
    <t>October 2017</t>
  </si>
  <si>
    <t>September 2017</t>
  </si>
  <si>
    <t>November 2017</t>
  </si>
  <si>
    <t>December 2017</t>
  </si>
  <si>
    <t>January 2018</t>
  </si>
  <si>
    <t>February 2018</t>
  </si>
  <si>
    <t>March 2018</t>
  </si>
  <si>
    <t>Total Tax Due in the Year 2017</t>
  </si>
  <si>
    <t xml:space="preserve">    (Bone Yard/TS/Portal Building)</t>
  </si>
  <si>
    <t xml:space="preserve">    (MRF - North End)</t>
  </si>
  <si>
    <t>Off by $274</t>
  </si>
  <si>
    <t xml:space="preserve">Total Cost for this asset = </t>
  </si>
  <si>
    <t>(N) TK#39-2017</t>
  </si>
  <si>
    <t>Gain/Loss</t>
  </si>
  <si>
    <t>Tie to Operations WP</t>
  </si>
  <si>
    <t>Income/Loss per Operations WP</t>
  </si>
  <si>
    <t>√ - Ties</t>
  </si>
  <si>
    <t>Property Tax 2017 (1/1/17-12/31/17)</t>
  </si>
  <si>
    <t>Inactive asset</t>
  </si>
  <si>
    <t>Per Monthly Collections Activity Reports</t>
  </si>
  <si>
    <t>The entries in this spreadsheet were provided by the Company's internal accountant to support the figure as reported in the bad debt expense account.  Monthly the Company sends customer accounts to Fairway Collection Agency in accordance with the Company's collection policy.  The customer accounts reported to collections are determined via RAMs reports and are recapped in these tabs.  The RAMs reports are significant in volume.</t>
  </si>
  <si>
    <t>Difference</t>
  </si>
  <si>
    <t>Adj to Allowance for Doubtful Accounts</t>
  </si>
  <si>
    <t>Total bad debt per collection reports</t>
  </si>
  <si>
    <t>Total bad debt per company operations reports</t>
  </si>
  <si>
    <t>Difference - pass for now</t>
  </si>
  <si>
    <t>Journal entry 2017BD08 removed from test period</t>
  </si>
  <si>
    <t>Disallowed Rents</t>
  </si>
  <si>
    <t>Combine Woodland disposal fees with Cowlitz County fees.</t>
  </si>
  <si>
    <t>Disposal Fees</t>
  </si>
  <si>
    <t>Pro Forma Fuel</t>
  </si>
  <si>
    <t>(Decrease)</t>
  </si>
  <si>
    <t>R = Restate</t>
  </si>
  <si>
    <t>RC = Reclass</t>
  </si>
  <si>
    <t>Depreciation per the financial statements differs from the allowable depreciation for WUTC purposes. This adjustment restates and classifies the depreciation. (See WP-1)</t>
  </si>
  <si>
    <t>to Revenue</t>
  </si>
  <si>
    <t>This entry reclasses payroll benefits to one account, Fringe Benefits.</t>
  </si>
  <si>
    <t>A payroll analysis is done at period end so an adjustment has been done to reclass payroll.</t>
  </si>
  <si>
    <t>Explanation:  Staff requires the property and equipment to be depreciated over a different life than the Company uses or its financial statement and uses salvage values. This results in less depreciation expense being allowed in the rate case than the Company records on its books and financial statements and a resulting higher net book value of assets. Therefore, the equity calculation for the Company must be adjusted to reflect the higher net book value of these assets due to the depreciation differences in order for the Lurito Gallagher formula to work correctly. Below is that calculation.</t>
  </si>
  <si>
    <t>Rent paid to Heirborne Investments II, LLC for a warehouse storage, $1,500 monthly, beginning March 2011, rent reviewed annually and supersedes prior leases.</t>
  </si>
  <si>
    <t>Rent paid to Heirborne Investments, LLC for storage, $1,400 monthly which increased to $1,500 monthly on 1/1/17; under lease dated July 1, 2007, rent reviewed annually and supersedes prior leases.</t>
  </si>
  <si>
    <t>Rent paid to Heirborne Investments, LLC for employee parking, $2,650 monthly which increased to $2,850 monthly on 1/1/17, under lease dated April 1, 2007, rent reviewed annually and supersedes prior leases.</t>
  </si>
  <si>
    <t>Rent paid to Heirborne Investments, LLC for covered parking in transfer station, $1,500 monthly originally, increased to $1,700 monthly on 1/1/17, beginning October 2008, rent reviewed annually and supersedes prior leases.</t>
  </si>
  <si>
    <t>Rent paid to Heirborne Investments II, LLC , condo for management meetings and employee benefits, $1,000 monthly, increased to $1,200 on 1/1/17, under lease dated July 1, 2007, rent reviewed annually and supersedes prior leases; these have been eliminated. Relationship with Heirborne II began in 2008 when Quelah was transfered to this entity.</t>
  </si>
  <si>
    <t>Interest Paid to Heirborne Investments, LLC on long-term debt above; these have been eliminated.</t>
  </si>
  <si>
    <t>Paid to Waste Control Recycling in the normal course of business; these have been eliminated; increased from $1,000 to $2,000 per month on 1/1/17.</t>
  </si>
  <si>
    <t>Rent paid to Heirborne Investments, LLC for office, shop, shears and press, and TB-135 mini excavator; originally $4,450 monthly but increased to $4,650 on 1/1/17, under lease dated July 1, 2007, rent reviewed annually and supersedes prior leases.</t>
  </si>
  <si>
    <t>Inactive</t>
  </si>
  <si>
    <t>PTO</t>
  </si>
  <si>
    <t>7/1/18 Rate</t>
  </si>
  <si>
    <t>test year wages</t>
  </si>
  <si>
    <t>mgmt fees</t>
  </si>
  <si>
    <t>sub-total</t>
  </si>
  <si>
    <t>payroll info for test year from Chris</t>
  </si>
  <si>
    <t>test year total hours</t>
  </si>
  <si>
    <r>
      <rPr>
        <b/>
        <u/>
        <sz val="11"/>
        <color rgb="FF00B050"/>
        <rFont val="Calibri"/>
        <family val="2"/>
      </rPr>
      <t>Per Chris:</t>
    </r>
    <r>
      <rPr>
        <sz val="11"/>
        <color rgb="FF00B050"/>
        <rFont val="Calibri"/>
        <family val="2"/>
      </rPr>
      <t xml:space="preserve"> Not only do I do a fair amount of work in WCI, also Ken Young the City and County manager, Pat Branscom welder and shop manager, Steve Cryderman truck shop manager, Rolly Ensign the plant manager, Kevin Willis company owner, Joe Willis company owner, Heather Spencer A/P and office trainer and many more not paid out of WCI do portions to fair portions of their job involving work pertaining to WCI. Then there’s all the managers in WCI like you mention Terri who are paid out of WCI but do not spend all or even most their time doing WCI work. This is as far as I know and can tell impossible to break down for the past year to accurately show how much payroll should be allocated directly for WCI. The most I would concede is possibly some truck shop personnel should be paid out of WCR instead of WCI since none are at the moment, also an extra welder we hired in October maybe should be moved to WCR from WCI. That would be up to the owners though. </t>
    </r>
  </si>
  <si>
    <t>Calculations</t>
  </si>
  <si>
    <t>R-8</t>
  </si>
  <si>
    <t>R-9</t>
  </si>
  <si>
    <t>for Actual</t>
  </si>
  <si>
    <t>for Allowable</t>
  </si>
  <si>
    <t>Disallowed</t>
  </si>
  <si>
    <t>Rents</t>
  </si>
  <si>
    <t>Quelah Rent</t>
  </si>
  <si>
    <t>Included in pro forma</t>
  </si>
  <si>
    <t>Allocated to non-reg activity only</t>
  </si>
  <si>
    <t>Accrued Vacation</t>
  </si>
  <si>
    <t>Accrued Payroll</t>
  </si>
  <si>
    <t>Allowed costs from last rate case:</t>
  </si>
  <si>
    <t>Remaining allowed costs:</t>
  </si>
  <si>
    <t>Allowed costs per WP-14 Last Rate Case Costs, pg. 20</t>
  </si>
  <si>
    <t>Has been less than three years since last case was effective</t>
  </si>
  <si>
    <t>Three Years</t>
  </si>
  <si>
    <t>Amortization:</t>
  </si>
  <si>
    <t>Costs billed for new rate case:</t>
  </si>
  <si>
    <t>Total cost for new rate case:</t>
  </si>
  <si>
    <t>Amortized costs over 3 years:</t>
  </si>
  <si>
    <t>*Amortized from November 2015 to August 2018 (34 periods)</t>
  </si>
  <si>
    <t>*Effective date of last rate case tariff was November 1, 2015</t>
  </si>
  <si>
    <t>New rate effective Mar 1, 2018 - Per county letter of notice - disposal fee rate increase</t>
  </si>
  <si>
    <t>Disposal Increase:</t>
  </si>
  <si>
    <t>All drop boxes in WCI are regulated per conversation with Joe Willis.  No cities have contracts for drop box billing to customers.</t>
  </si>
  <si>
    <t>More rate case costs will be added as billings sent out…</t>
  </si>
  <si>
    <t>Disposals fees will increase approximately 2.5% as of March 1, 2018.</t>
  </si>
  <si>
    <t>Adjusted against employee relations</t>
  </si>
  <si>
    <t>Adj to allowance for doubtful accounts not allowable</t>
  </si>
  <si>
    <t>Total PUD expenses:</t>
  </si>
  <si>
    <t>Total City of Longview expenses:</t>
  </si>
  <si>
    <t>Total expenses:</t>
  </si>
  <si>
    <t>Total allowable utility costs:</t>
  </si>
  <si>
    <t>See "WP-10 Utilities" for detail</t>
  </si>
  <si>
    <t>See "WP-12 Property Taxes" for detail</t>
  </si>
  <si>
    <t>See "WP-9 Bad Debt" for detail</t>
  </si>
  <si>
    <t>This entry allocates utilities expense to the total amount allowable.</t>
  </si>
  <si>
    <t>This entry allocates property taxes to the total amount allowable.</t>
  </si>
  <si>
    <t>This entry removes disallowed Quelah rent from the employee relations account.</t>
  </si>
  <si>
    <t>This entry adjusts for actual bad debt expense.</t>
  </si>
  <si>
    <t>3.6% COLA</t>
  </si>
  <si>
    <t>No overtime</t>
  </si>
  <si>
    <t>Guaranteed 3 hrs OT/week</t>
  </si>
  <si>
    <r>
      <rPr>
        <b/>
        <u/>
        <sz val="11"/>
        <color rgb="FF00B050"/>
        <rFont val="Calibri"/>
        <family val="2"/>
      </rPr>
      <t>Per Chris:</t>
    </r>
    <r>
      <rPr>
        <sz val="11"/>
        <color rgb="FF00B050"/>
        <rFont val="Calibri"/>
        <family val="2"/>
      </rPr>
      <t xml:space="preserve"> Jeff Sugg is a full time employee. He is paid a full time salary for the hours he works in WCI even though it is way less than standard as you can see. This is a deal that he made with the owners as far as pay is concerned since he also does work in two other companies. This is not an error.</t>
    </r>
  </si>
  <si>
    <r>
      <rPr>
        <b/>
        <u/>
        <sz val="12"/>
        <color rgb="FF00B050"/>
        <rFont val="Times New Roman"/>
        <family val="1"/>
      </rPr>
      <t>Per Chris:</t>
    </r>
    <r>
      <rPr>
        <sz val="12"/>
        <color rgb="FF00B050"/>
        <rFont val="Times New Roman"/>
        <family val="1"/>
      </rPr>
      <t xml:space="preserve"> Rick does not receive overtime at all. He is one of three managers in the companies who do not receive any overtime and does not clock in or out (the other two managers are not in WCI). Overtime for  the salaried employees is handled in different ways. The county drivers get paid a guaranteed 3 hours of overtime per week even if they don’t have any overtime for the week. The drivers are Jason Bebout, William Hainline, Tyler Inman, Kevin Salinas. Alexander Dore will get it once he reaches his 90 days in September, for now he is paid like the rest of the salaried employees who are not drivers and receives overtime pay for overtime worked (time worked over 40 hours). To find their overtime I multiply their salary by 24 then divide by 2080 to get an hourly pay then multiply that by 1.5.</t>
    </r>
  </si>
  <si>
    <t>PieceWork</t>
  </si>
  <si>
    <t>PerHaul</t>
  </si>
  <si>
    <t>Mfee</t>
  </si>
  <si>
    <t>Updated tax rates with 2018 information</t>
  </si>
  <si>
    <t>If total hours over 2,080, used formula to remove excess to not double-up on overtime</t>
  </si>
  <si>
    <t>payroll</t>
  </si>
  <si>
    <t>increase in</t>
  </si>
  <si>
    <t>Alexander Dore</t>
  </si>
  <si>
    <t xml:space="preserve">Inactive 2/18 </t>
  </si>
  <si>
    <t>Inactive - medical leave -  replaced by Alexander Dore</t>
  </si>
  <si>
    <t>Mike Hammond</t>
  </si>
  <si>
    <t>Inactive - replaced by Loren Gonzalez</t>
  </si>
  <si>
    <t>Replaced 6/1 by Bryce Lafrenz at same rate</t>
  </si>
  <si>
    <t>Inactive - replaced by Clayton Carney</t>
  </si>
  <si>
    <t>Inactive - replaced by Tyler Inman</t>
  </si>
  <si>
    <t>Replaced Weslie Coates and then Rafael Garcia</t>
  </si>
  <si>
    <t>Eligible for benefits 9/1/18</t>
  </si>
  <si>
    <t>revenue</t>
  </si>
  <si>
    <t>percentage</t>
  </si>
  <si>
    <t>14% Lobbying</t>
  </si>
  <si>
    <t>Total Disallowed:</t>
  </si>
  <si>
    <t>Total Non-Deductible Dues to Remove:</t>
  </si>
  <si>
    <t>Total Rent</t>
  </si>
  <si>
    <t>N/A</t>
  </si>
  <si>
    <t xml:space="preserve">Note payable to Heirborne Investments, LLC, created December 2017, </t>
  </si>
  <si>
    <t xml:space="preserve">Note payable to Heirborne Investments, LLC, created February 2018, with interest of 3.0%, </t>
  </si>
  <si>
    <t>disallowed employee relations</t>
  </si>
  <si>
    <t>Real property taxes</t>
  </si>
  <si>
    <t>Add back WCI personal property tax</t>
  </si>
  <si>
    <t>Allocated amount allowed from prior rate case</t>
  </si>
  <si>
    <t>Per operations</t>
  </si>
  <si>
    <t>Restating adjustment</t>
  </si>
  <si>
    <t>Allocated property tax</t>
  </si>
  <si>
    <t>Remove personal property taxes for all companies</t>
  </si>
  <si>
    <t>Property taxes for WCI</t>
  </si>
  <si>
    <t>No assurance is provided on this statement of operations and the summary of signifcant accounting policies has been omitted.</t>
  </si>
  <si>
    <t xml:space="preserve"> HISTORICAL AND FORECASTED</t>
  </si>
  <si>
    <t>Gain on sale of assets</t>
  </si>
  <si>
    <t>Interest income</t>
  </si>
  <si>
    <t>Ties to income statement tab</t>
  </si>
  <si>
    <t>P = Proforma</t>
  </si>
  <si>
    <t>Dues</t>
  </si>
  <si>
    <t>See "WP-4 Dues" for detail</t>
  </si>
  <si>
    <t>Account write offs</t>
  </si>
  <si>
    <t>This entry eliminates non-deductible expenses. In the case of dues, it is the elimination of health club dues and political and lobbying costs. In the case of franchise fees, it is the elimination of the 3% fee paid on Castle Rock customers. Charitable contributions are also eliminated.</t>
  </si>
  <si>
    <t xml:space="preserve">Payroll is adjusted to reflect payroll increases, staff attaining benefits, and increases in medical costs, employment security and labor and industry rates in effect as of July 1, 2018.  </t>
  </si>
  <si>
    <t>Cost of rate case is amortized over 3 years per "WP-14 Rate Case Cost"</t>
  </si>
  <si>
    <t>P/R WH</t>
  </si>
  <si>
    <t>Replaced Rafael Garcia</t>
  </si>
  <si>
    <t>Misc Items in GL</t>
  </si>
  <si>
    <t>Insurance paid by WCE</t>
  </si>
  <si>
    <t>Inactive 2/18; replaced by Tyler Inman</t>
  </si>
  <si>
    <t>Inactive - medical leave; replaced by Alexander Dore</t>
  </si>
  <si>
    <t>Eligible for insurance 6/1/18</t>
  </si>
  <si>
    <t>Affiliated short-term debt consist of the following as of March 31, 2018:</t>
  </si>
  <si>
    <t>Allocated amout per prior rate case:</t>
  </si>
  <si>
    <t>Restating adjustment:</t>
  </si>
  <si>
    <t>Per Operations:</t>
  </si>
  <si>
    <t>Total Medical Expense for 4/1/17-3/31/18</t>
  </si>
  <si>
    <t>Medical Insurance Expense GL @ 3/31/18</t>
  </si>
  <si>
    <t>Reallocate Kalama revenue</t>
  </si>
  <si>
    <t>Reclass Kalama</t>
  </si>
  <si>
    <t>R-2, RC-1</t>
  </si>
  <si>
    <t>Non 2</t>
  </si>
  <si>
    <t>7/1/2018 to</t>
  </si>
  <si>
    <t>Forecast</t>
  </si>
  <si>
    <t>Glenn Miller</t>
  </si>
  <si>
    <t>WCI Drop Boxes</t>
  </si>
  <si>
    <t>Link Bold</t>
  </si>
  <si>
    <t>Combined pick up totals</t>
  </si>
  <si>
    <t>Divided by 12, link to design here</t>
  </si>
  <si>
    <t>Daily rentals</t>
  </si>
  <si>
    <t>Total delivery respot</t>
  </si>
  <si>
    <t>4/1/2017-3/31/2018</t>
  </si>
  <si>
    <t>M2 - 676 - Re-spot Box</t>
  </si>
  <si>
    <t>M2 - 680 - Milage</t>
  </si>
  <si>
    <t>M2 - 683 - Done With Box - used respot</t>
  </si>
  <si>
    <t>M2 - 720 - 20YD Box Delivery</t>
  </si>
  <si>
    <t>M2 - 730 - 30YD Box Delivery</t>
  </si>
  <si>
    <t>M2 - 740 - 40YD Box Delivery</t>
  </si>
  <si>
    <t>M2 - 803 - Tires</t>
  </si>
  <si>
    <t>M2 - 808 - Toutle TS Box Hauling - All Cowlitz Co Public Works</t>
  </si>
  <si>
    <t>M2 - 820 - 20YD Perm Box 1xMonth</t>
  </si>
  <si>
    <t>M2 - 820 - 20YD Perm Box 2xMonth</t>
  </si>
  <si>
    <t>M2 - 830 - 30YD Perm Box 1xMonth</t>
  </si>
  <si>
    <t>M2 - 830 - 30YD Perm Box 2xMonth</t>
  </si>
  <si>
    <t>M2 - 831 - 30YD Compactor Haul</t>
  </si>
  <si>
    <t>M2 - 840 - 40YD Perm Box 1xMonth</t>
  </si>
  <si>
    <t>M2 - 840 - 40YD Perm Box 2xMonth</t>
  </si>
  <si>
    <t>M2 - 841 - 40YD Compact 1xMonth</t>
  </si>
  <si>
    <t>M2 - 841 - 40YD Compact 2xMonth</t>
  </si>
  <si>
    <t>M2 - 920 - 20YD - Temp 1xMonth</t>
  </si>
  <si>
    <t>M2 - 920 - 20YD - Temp 2xMonth</t>
  </si>
  <si>
    <t>M2 - 925 - 25YD Box Temp Haul put with 20 yd</t>
  </si>
  <si>
    <t>M2 - 930 - 30YD - Temp 1xMonth</t>
  </si>
  <si>
    <t>M2 - 930 - 30YD - Temp 2xMonth</t>
  </si>
  <si>
    <t>M2 - 938 - Attemted Haul - Min CHG</t>
  </si>
  <si>
    <t>M2 - 939 - Haul Attempt - Min CHG</t>
  </si>
  <si>
    <t>M2 - 940 - 40YD - Temp 1xMonth</t>
  </si>
  <si>
    <t>M2 - 940 - 40YD - Temp 2xMonth</t>
  </si>
  <si>
    <t>M2 - 975 - Hauling Per HR</t>
  </si>
  <si>
    <t>M2 - 997 - Cleanup Fee</t>
  </si>
  <si>
    <t xml:space="preserve">M2-1043 - Lidded Monthly Rent permenent </t>
  </si>
  <si>
    <t>M2-1045 - 30YD lidded monthly Rent</t>
  </si>
  <si>
    <t>M2 - 1070 - Box Lining</t>
  </si>
  <si>
    <t>M2 - 1295 - Haul Fee-Perm MT St Helens</t>
  </si>
  <si>
    <t>M2 - 1296 - Haul Fee Temp Mt. St. Helens</t>
  </si>
  <si>
    <t>M2 -1298-Delivery Fee Mt. St. Helens Area</t>
  </si>
  <si>
    <t>1044 - 20 Yd Lidded Monthly Rent</t>
  </si>
  <si>
    <t>1292 - Temp Lid Rent - Mnt. St. Helens</t>
  </si>
  <si>
    <t>1293 - Temp Box Rent - Mnt. St. Helens</t>
  </si>
  <si>
    <t>684 - Rental Fee per Month</t>
  </si>
  <si>
    <t>685 - Rental Fee per Day</t>
  </si>
  <si>
    <t>692 - Rental Fee per Month - Perminant</t>
  </si>
  <si>
    <t>1045 - 30 Yd Lidded Monthly Rent</t>
  </si>
  <si>
    <t>684 W - Rental Fee per Month</t>
  </si>
  <si>
    <t>685 W - Rental Fee per Day</t>
  </si>
  <si>
    <t>1045 W - 30 Yd Lidded Monthly Rent</t>
  </si>
  <si>
    <t>Charges</t>
  </si>
  <si>
    <t>link these totals</t>
  </si>
  <si>
    <t>M2 - 29 - Write Off Acct</t>
  </si>
  <si>
    <t>M2 - 31 - Refund</t>
  </si>
  <si>
    <t>M2 - 958 - Credit for Recyclables</t>
  </si>
  <si>
    <t>M2 - 39 - Late</t>
  </si>
  <si>
    <t>WCO - 29 - Write Off Acct</t>
  </si>
  <si>
    <t>WCO - 31 - Refund</t>
  </si>
  <si>
    <t>WCO - Late - 39</t>
  </si>
  <si>
    <t>Reallocate</t>
  </si>
  <si>
    <t>Kalama DB</t>
  </si>
  <si>
    <t>WORKPAPER 7 - CUSTOMER COUNTS - See Row 120</t>
  </si>
  <si>
    <t>Total Kalama</t>
  </si>
  <si>
    <t>Multi</t>
  </si>
  <si>
    <t>For the Twelve Months Ended March 31, 2018 Historical and September 30, 2019 Forecasted</t>
  </si>
  <si>
    <t>Monthly rentals with lid</t>
  </si>
  <si>
    <t>supervisor</t>
  </si>
  <si>
    <t>mgmt</t>
  </si>
  <si>
    <t>Gross-Up</t>
  </si>
  <si>
    <t>For the Year Ended September 30, 2019</t>
  </si>
  <si>
    <t>Landfill fees increased 2.5% in Cowlitz County in March 2018, the estimated cost of rate case filing expenses along with the unamortized portion of the prior case has been included, a 3.6% cost of living increase effective July 1 has been included and fuel costs are estimated based on the last twelve months average cost of fuel per gallon.  Other unallowable WUTC costs have been eliminated such as interest, a portion of dues and franchise fees.  Other costs are based upon WUTC allowable historic costs.</t>
  </si>
  <si>
    <t>The financial forecast presents, to the best of management’s knowledge and belief, the financial position and results of operation of Waste Control, Inc.  Accordingly, this forecast reflects management’s judgment as of September 30, 2019, the date of this forecast, of the expected conditions and its’ expected course of action.  The assumptions disclosed herein are those that management believes are significant to this forecast.  Furthermore, there will usually be differences between the forecasted and actual results, because events and circumstances frequently do not occur as expected, and those differences may be material.</t>
  </si>
  <si>
    <t>Insurance 8/18</t>
  </si>
  <si>
    <t>WORKPAPER 3 - LICENSE FEE ANALYSIS</t>
  </si>
  <si>
    <t>check to op</t>
  </si>
  <si>
    <t>Non-Public Companies</t>
  </si>
  <si>
    <t>nonpubco</t>
  </si>
  <si>
    <r>
      <t xml:space="preserve">LURITO - GALLAGHER FORMULA  MODEL 2018  </t>
    </r>
    <r>
      <rPr>
        <sz val="8"/>
        <color indexed="9"/>
        <rFont val="Calibri"/>
        <family val="2"/>
      </rPr>
      <t>V5.0a</t>
    </r>
  </si>
  <si>
    <t>CALCULATION TABLES</t>
  </si>
  <si>
    <t>Revenue Senstive Taxes (RevS)</t>
  </si>
  <si>
    <t>(b) + (c)</t>
  </si>
  <si>
    <t>(d) + (e)</t>
  </si>
  <si>
    <t>Regession</t>
  </si>
  <si>
    <t>Hauler</t>
  </si>
  <si>
    <t>Revenue Req</t>
  </si>
  <si>
    <t xml:space="preserve">Revenue </t>
  </si>
  <si>
    <t>INPUTS - Test Year</t>
  </si>
  <si>
    <t>(a)</t>
  </si>
  <si>
    <t>(b)</t>
  </si>
  <si>
    <t>(c)</t>
  </si>
  <si>
    <t>(d)</t>
  </si>
  <si>
    <t>(e)</t>
  </si>
  <si>
    <t>(f)</t>
  </si>
  <si>
    <t>Before Tax</t>
  </si>
  <si>
    <t>Less</t>
  </si>
  <si>
    <t>Adjusted</t>
  </si>
  <si>
    <t>After Tax</t>
  </si>
  <si>
    <t>Weighted Cost</t>
  </si>
  <si>
    <t>Before RevS</t>
  </si>
  <si>
    <t xml:space="preserve"> Increase Before</t>
  </si>
  <si>
    <t>Increase After</t>
  </si>
  <si>
    <t xml:space="preserve">RevS </t>
  </si>
  <si>
    <t xml:space="preserve">Total </t>
  </si>
  <si>
    <t>Operating Revenue</t>
  </si>
  <si>
    <t>Line</t>
  </si>
  <si>
    <t>Historical</t>
  </si>
  <si>
    <t>Add: Revenue</t>
  </si>
  <si>
    <t>Profit Ratio</t>
  </si>
  <si>
    <t>BTROI</t>
  </si>
  <si>
    <t>WCDebt</t>
  </si>
  <si>
    <t>BTROE</t>
  </si>
  <si>
    <t>ROE</t>
  </si>
  <si>
    <t>Equity BFT</t>
  </si>
  <si>
    <t>BTROR</t>
  </si>
  <si>
    <t>Operating Ratio</t>
  </si>
  <si>
    <t>RevS Taxes</t>
  </si>
  <si>
    <t>Operating Expenses</t>
  </si>
  <si>
    <t>No.</t>
  </si>
  <si>
    <t xml:space="preserve"> Sensitive Taxes</t>
  </si>
  <si>
    <t>Requirment</t>
  </si>
  <si>
    <t>Capital Structure - Debt %</t>
  </si>
  <si>
    <t>Capital Structure - Debt Cost</t>
  </si>
  <si>
    <t>Operating Income</t>
  </si>
  <si>
    <t>Federal Income Tax Rate</t>
  </si>
  <si>
    <t>2nd Iteration</t>
  </si>
  <si>
    <t>B&amp;O Tax Rate</t>
  </si>
  <si>
    <t>Income Tax Expense</t>
  </si>
  <si>
    <t>City Tax</t>
  </si>
  <si>
    <t>Bad Debts</t>
  </si>
  <si>
    <t>3rd Iteration</t>
  </si>
  <si>
    <t>Check when input is complete</t>
  </si>
  <si>
    <t xml:space="preserve">Operating Ratio </t>
  </si>
  <si>
    <t>No</t>
  </si>
  <si>
    <t>For Intial input: Uncheck Checkbox Until Completed</t>
  </si>
  <si>
    <t>Revenue Requirement</t>
  </si>
  <si>
    <t>Historical Revenue</t>
  </si>
  <si>
    <t>Revenue Increase before taxes</t>
  </si>
  <si>
    <t>Rate Increase</t>
  </si>
  <si>
    <t>Rev Sensitive Taxes</t>
  </si>
  <si>
    <t>4th Iteration</t>
  </si>
  <si>
    <t>2018 Version Update Changes</t>
  </si>
  <si>
    <t>● Allows Income Tax Rate Changes,</t>
  </si>
  <si>
    <t>● Minimizes impact of changes in test-year revenue from</t>
  </si>
  <si>
    <t xml:space="preserve">   resulting revenue requirment,</t>
  </si>
  <si>
    <t>Captial Structure Financing Investment</t>
  </si>
  <si>
    <t>Financing Cost</t>
  </si>
  <si>
    <t>● Corrects interest rate transposition in LG.</t>
  </si>
  <si>
    <t>Type</t>
  </si>
  <si>
    <t>Percent</t>
  </si>
  <si>
    <t>Cost of Capital</t>
  </si>
  <si>
    <t>Weighted</t>
  </si>
  <si>
    <t>5th Iteration</t>
  </si>
  <si>
    <t>Before</t>
  </si>
  <si>
    <t>After</t>
  </si>
  <si>
    <t>6th Iteration</t>
  </si>
  <si>
    <t>Operating Statistics</t>
  </si>
  <si>
    <t>Income Tax</t>
  </si>
  <si>
    <t>Return on Investment</t>
  </si>
  <si>
    <t>Return on Equity</t>
  </si>
  <si>
    <t>7th Iteration</t>
  </si>
  <si>
    <t>Profit Margin</t>
  </si>
  <si>
    <t>Final turnover</t>
  </si>
  <si>
    <t>Tax Rate</t>
  </si>
  <si>
    <t>Revenue Sensitive Taxes Charges</t>
  </si>
  <si>
    <t>Curve</t>
  </si>
  <si>
    <t>Lookup Table</t>
  </si>
  <si>
    <t xml:space="preserve"> B &amp; O Tax</t>
  </si>
  <si>
    <t xml:space="preserve"> WUTC Fee</t>
  </si>
  <si>
    <t xml:space="preserve"> City Tax</t>
  </si>
  <si>
    <t>Percent Chg</t>
  </si>
  <si>
    <t xml:space="preserve"> Bad Debts</t>
  </si>
  <si>
    <t>Revenue Sensitive</t>
  </si>
  <si>
    <t>Curve turnover</t>
  </si>
  <si>
    <t>@EXP(5.72260-(.68367*@LN(T)))</t>
  </si>
  <si>
    <t>Conversion Factor</t>
  </si>
  <si>
    <t>Curve No. used</t>
  </si>
  <si>
    <t>@EXP(5.70827-(.68367*@LN(T)))</t>
  </si>
  <si>
    <t>@EXP(5.69850-(.68367*@LN(T)))</t>
  </si>
  <si>
    <t>@EXP(5.69220-(.68367*@LN(T)))</t>
  </si>
  <si>
    <t>Base Utility from LG Sample Study</t>
  </si>
  <si>
    <t>Regression Results</t>
  </si>
  <si>
    <t>Y intercept (1)</t>
  </si>
  <si>
    <t>Y intercept (3)</t>
  </si>
  <si>
    <t>Y intercept (2)</t>
  </si>
  <si>
    <t>Y intercept (4)</t>
  </si>
  <si>
    <t>Pfd.</t>
  </si>
  <si>
    <t>Slope</t>
  </si>
  <si>
    <t>Pre-tax</t>
  </si>
  <si>
    <t>In Support of Tariff 19 effective September 7,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</si>
</sst>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mm/dd/yy;@"/>
    <numFmt numFmtId="167" formatCode="_(* #,##0.000_);_(* \(#,##0.000\);_(* &quot;-&quot;???_);_(@_)"/>
    <numFmt numFmtId="168" formatCode="&quot;$&quot;#,##0.00"/>
    <numFmt numFmtId="169" formatCode="General_)"/>
    <numFmt numFmtId="170" formatCode="0.0%"/>
    <numFmt numFmtId="171" formatCode="_(* #,##0_);_(* \(#,##0\);_(* &quot;-&quot;??_);_(@_)"/>
    <numFmt numFmtId="172" formatCode="0.000"/>
    <numFmt numFmtId="173" formatCode="_(* #,##0.00_);_(* \(#,##0.00\);_(* &quot;-&quot;???_);_(@_)"/>
    <numFmt numFmtId="174" formatCode="#,###_);\(#,###\);&quot;-&quot;"/>
    <numFmt numFmtId="175" formatCode="mmmm\ d\,\ yyyy"/>
    <numFmt numFmtId="176" formatCode="_*\ #,###.0,;_(* \(#,###.0,\);_(* &quot;-&quot;??_);_(@_)"/>
    <numFmt numFmtId="177" formatCode="#,##0.0"/>
    <numFmt numFmtId="178" formatCode="&quot;$&quot;#,##0"/>
    <numFmt numFmtId="179" formatCode="[$-F800]dddd\,\ mmmm\ dd\,\ yyyy"/>
    <numFmt numFmtId="180" formatCode="0.0000"/>
    <numFmt numFmtId="181" formatCode="0.0000_);\(0.0000\)"/>
    <numFmt numFmtId="182" formatCode="#,##0.00000000000_);\(#,##0.00000000000\)"/>
    <numFmt numFmtId="183" formatCode="#,##0.0000_);\(#,##0.0000\)"/>
    <numFmt numFmtId="184" formatCode="#,##0.000_);\(#,##0.000\)"/>
    <numFmt numFmtId="185" formatCode="#,##0.00000_);\(#,##0.00000\)"/>
    <numFmt numFmtId="186" formatCode="0.00000"/>
  </numFmts>
  <fonts count="194">
    <font>
      <sz val="12"/>
      <name val="Arial"/>
    </font>
    <font>
      <sz val="10"/>
      <color indexed="8"/>
      <name val="Arial"/>
      <family val="2"/>
    </font>
    <font>
      <b/>
      <sz val="12"/>
      <name val="Arial"/>
      <family val="2"/>
    </font>
    <font>
      <sz val="12"/>
      <name val="Arial"/>
      <family val="2"/>
    </font>
    <font>
      <sz val="12"/>
      <name val="Times New Roman"/>
      <family val="1"/>
    </font>
    <font>
      <b/>
      <sz val="12"/>
      <name val="Times New Roman"/>
      <family val="1"/>
    </font>
    <font>
      <sz val="12"/>
      <name val="Arial"/>
      <family val="2"/>
    </font>
    <font>
      <sz val="12"/>
      <name val="Times New Roman"/>
      <family val="1"/>
    </font>
    <font>
      <sz val="8"/>
      <name val="Times New Roman"/>
      <family val="1"/>
    </font>
    <font>
      <sz val="10"/>
      <name val="Arial"/>
      <family val="2"/>
    </font>
    <font>
      <sz val="10"/>
      <name val="Times New Roman"/>
      <family val="1"/>
    </font>
    <font>
      <sz val="12"/>
      <name val="Helv"/>
    </font>
    <font>
      <b/>
      <sz val="10"/>
      <name val="Times New Roman"/>
      <family val="1"/>
    </font>
    <font>
      <sz val="14"/>
      <name val="Times New Roman"/>
      <family val="1"/>
    </font>
    <font>
      <sz val="11"/>
      <name val="Times New Roman"/>
      <family val="1"/>
    </font>
    <font>
      <b/>
      <u/>
      <sz val="12"/>
      <name val="Times New Roman"/>
      <family val="1"/>
    </font>
    <font>
      <sz val="12"/>
      <color indexed="10"/>
      <name val="Times New Roman"/>
      <family val="1"/>
    </font>
    <font>
      <b/>
      <sz val="13"/>
      <name val="Times New Roman"/>
      <family val="1"/>
    </font>
    <font>
      <sz val="13"/>
      <name val="Times New Roman"/>
      <family val="1"/>
    </font>
    <font>
      <b/>
      <u/>
      <sz val="10"/>
      <name val="Times New Roman"/>
      <family val="1"/>
    </font>
    <font>
      <b/>
      <sz val="11"/>
      <name val="Times New Roman"/>
      <family val="1"/>
    </font>
    <font>
      <b/>
      <u/>
      <sz val="11"/>
      <name val="Times New Roman"/>
      <family val="1"/>
    </font>
    <font>
      <b/>
      <sz val="18"/>
      <name val="Times New Roman"/>
      <family val="1"/>
    </font>
    <font>
      <sz val="10"/>
      <name val="Arial"/>
      <family val="2"/>
    </font>
    <font>
      <sz val="12"/>
      <name val="SWISS"/>
    </font>
    <font>
      <sz val="12"/>
      <name val="Arial"/>
      <family val="2"/>
    </font>
    <font>
      <sz val="11"/>
      <name val="Arial"/>
      <family val="2"/>
    </font>
    <font>
      <sz val="9"/>
      <name val="Times New Roman"/>
      <family val="1"/>
    </font>
    <font>
      <b/>
      <sz val="8"/>
      <color indexed="81"/>
      <name val="Tahoma"/>
      <family val="2"/>
    </font>
    <font>
      <sz val="8"/>
      <color indexed="81"/>
      <name val="Tahoma"/>
      <family val="2"/>
    </font>
    <font>
      <b/>
      <u val="singleAccounting"/>
      <sz val="11"/>
      <name val="Times New Roman"/>
      <family val="1"/>
    </font>
    <font>
      <u/>
      <sz val="11"/>
      <name val="Times New Roman"/>
      <family val="1"/>
    </font>
    <font>
      <b/>
      <sz val="16"/>
      <name val="Times New Roman"/>
      <family val="1"/>
    </font>
    <font>
      <sz val="9"/>
      <color indexed="81"/>
      <name val="Tahoma"/>
      <family val="2"/>
    </font>
    <font>
      <b/>
      <sz val="9"/>
      <color indexed="81"/>
      <name val="Tahoma"/>
      <family val="2"/>
    </font>
    <font>
      <sz val="7"/>
      <name val="Arial"/>
      <family val="2"/>
    </font>
    <font>
      <sz val="7"/>
      <name val="Times New Roman"/>
      <family val="1"/>
    </font>
    <font>
      <b/>
      <sz val="7"/>
      <name val="Times New Roman"/>
      <family val="1"/>
    </font>
    <font>
      <b/>
      <sz val="7"/>
      <name val="Arial"/>
      <family val="2"/>
    </font>
    <font>
      <b/>
      <sz val="10"/>
      <name val="Arial"/>
      <family val="2"/>
    </font>
    <font>
      <sz val="9"/>
      <name val="Arial"/>
      <family val="2"/>
    </font>
    <font>
      <b/>
      <sz val="9"/>
      <name val="Times New Roman"/>
      <family val="1"/>
    </font>
    <font>
      <sz val="12"/>
      <name val="Arial"/>
      <family val="2"/>
    </font>
    <font>
      <sz val="12"/>
      <name val="Arial"/>
      <family val="2"/>
    </font>
    <font>
      <sz val="12"/>
      <name val="Arial"/>
      <family val="2"/>
    </font>
    <font>
      <sz val="12"/>
      <name val="Arial"/>
      <family val="2"/>
    </font>
    <font>
      <sz val="12"/>
      <name val="Arial"/>
      <family val="2"/>
    </font>
    <font>
      <sz val="10"/>
      <color indexed="9"/>
      <name val="Arial"/>
      <family val="2"/>
    </font>
    <font>
      <b/>
      <sz val="10"/>
      <color indexed="9"/>
      <name val="Arial"/>
      <family val="2"/>
    </font>
    <font>
      <sz val="11"/>
      <color indexed="8"/>
      <name val="Calibri"/>
      <family val="2"/>
    </font>
    <font>
      <sz val="12"/>
      <name val="Arial"/>
      <family val="2"/>
    </font>
    <font>
      <sz val="12"/>
      <color indexed="8"/>
      <name val="Times New Roman"/>
      <family val="2"/>
    </font>
    <font>
      <sz val="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2"/>
      <color indexed="8"/>
      <name val="Arial"/>
      <family val="2"/>
    </font>
    <font>
      <sz val="8"/>
      <color indexed="56"/>
      <name val="Arial"/>
      <family val="2"/>
    </font>
    <font>
      <sz val="10"/>
      <name val="MS Sans Serif"/>
      <family val="2"/>
    </font>
    <font>
      <b/>
      <sz val="10"/>
      <name val="MS Sans Serif"/>
      <family val="2"/>
    </font>
    <font>
      <sz val="10"/>
      <color indexed="61"/>
      <name val="Arial"/>
      <family val="2"/>
    </font>
    <font>
      <b/>
      <i/>
      <sz val="10"/>
      <color indexed="9"/>
      <name val="Arial"/>
      <family val="2"/>
    </font>
    <font>
      <i/>
      <sz val="10"/>
      <color indexed="9"/>
      <name val="Arial"/>
      <family val="2"/>
    </font>
    <font>
      <sz val="14"/>
      <name val="Arial"/>
      <family val="2"/>
    </font>
    <font>
      <sz val="11"/>
      <color indexed="8"/>
      <name val="Calibri"/>
      <family val="2"/>
    </font>
    <font>
      <sz val="12"/>
      <color indexed="8"/>
      <name val="Times New Roman"/>
      <family val="2"/>
    </font>
    <font>
      <sz val="12"/>
      <color indexed="8"/>
      <name val="Times New Roman"/>
      <family val="1"/>
    </font>
    <font>
      <b/>
      <sz val="12"/>
      <color indexed="8"/>
      <name val="Times New Roman"/>
      <family val="1"/>
    </font>
    <font>
      <sz val="11"/>
      <color indexed="8"/>
      <name val="Times New Roman"/>
      <family val="1"/>
    </font>
    <font>
      <b/>
      <sz val="11"/>
      <color indexed="8"/>
      <name val="Times New Roman"/>
      <family val="1"/>
    </font>
    <font>
      <b/>
      <u/>
      <sz val="11"/>
      <color indexed="8"/>
      <name val="Times New Roman"/>
      <family val="1"/>
    </font>
    <font>
      <u/>
      <sz val="11"/>
      <color indexed="8"/>
      <name val="Times New Roman"/>
      <family val="1"/>
    </font>
    <font>
      <b/>
      <sz val="12"/>
      <color indexed="60"/>
      <name val="Times New Roman"/>
      <family val="1"/>
    </font>
    <font>
      <sz val="12"/>
      <color indexed="60"/>
      <name val="Times New Roman"/>
      <family val="1"/>
    </font>
    <font>
      <sz val="12"/>
      <color indexed="36"/>
      <name val="Times New Roman"/>
      <family val="1"/>
    </font>
    <font>
      <sz val="12"/>
      <color indexed="10"/>
      <name val="Times New Roman"/>
      <family val="1"/>
    </font>
    <font>
      <i/>
      <sz val="12"/>
      <color indexed="36"/>
      <name val="Times New Roman"/>
      <family val="1"/>
    </font>
    <font>
      <sz val="11"/>
      <color indexed="36"/>
      <name val="Calibri"/>
      <family val="2"/>
    </font>
    <font>
      <sz val="9"/>
      <color indexed="60"/>
      <name val="Times New Roman"/>
      <family val="1"/>
    </font>
    <font>
      <b/>
      <sz val="12"/>
      <color indexed="10"/>
      <name val="Times New Roman"/>
      <family val="1"/>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Courier"/>
      <family val="3"/>
    </font>
    <font>
      <sz val="9"/>
      <color indexed="8"/>
      <name val="Arial"/>
      <family val="2"/>
    </font>
    <font>
      <sz val="11"/>
      <color indexed="8"/>
      <name val="Arial"/>
      <family val="2"/>
    </font>
    <font>
      <b/>
      <sz val="10"/>
      <color indexed="12"/>
      <name val="Arial"/>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1"/>
      <color indexed="12"/>
      <name val="Calibri"/>
      <family val="2"/>
    </font>
    <font>
      <sz val="10"/>
      <color indexed="12"/>
      <name val="Arial"/>
      <family val="2"/>
    </font>
    <font>
      <i/>
      <sz val="10"/>
      <color indexed="10"/>
      <name val="Arial"/>
      <family val="2"/>
    </font>
    <font>
      <b/>
      <sz val="11"/>
      <color indexed="61"/>
      <name val="Calibri"/>
      <family val="2"/>
    </font>
    <font>
      <sz val="11"/>
      <color indexed="61"/>
      <name val="Calibri"/>
      <family val="2"/>
    </font>
    <font>
      <b/>
      <sz val="18"/>
      <color indexed="61"/>
      <name val="Cambria"/>
      <family val="2"/>
    </font>
    <font>
      <b/>
      <sz val="15"/>
      <color indexed="56"/>
      <name val="Calibri"/>
      <family val="2"/>
    </font>
    <font>
      <b/>
      <sz val="13"/>
      <color indexed="56"/>
      <name val="Calibri"/>
      <family val="2"/>
    </font>
    <font>
      <b/>
      <sz val="11"/>
      <color indexed="56"/>
      <name val="Calibri"/>
      <family val="2"/>
    </font>
    <font>
      <sz val="12"/>
      <name val="Arial MT"/>
    </font>
    <font>
      <b/>
      <u/>
      <sz val="11"/>
      <name val="Arial"/>
      <family val="2"/>
    </font>
    <font>
      <b/>
      <sz val="8"/>
      <name val="Times New Roman"/>
      <family val="1"/>
    </font>
    <font>
      <sz val="12"/>
      <name val="Ariel"/>
    </font>
    <font>
      <sz val="12"/>
      <name val="Arial"/>
      <family val="2"/>
    </font>
    <font>
      <sz val="10"/>
      <color theme="1"/>
      <name val="Arial"/>
      <family val="2"/>
    </font>
    <font>
      <sz val="11"/>
      <color theme="1"/>
      <name val="Calibri"/>
      <family val="2"/>
      <scheme val="minor"/>
    </font>
    <font>
      <sz val="12"/>
      <color theme="1"/>
      <name val="Times New Roman"/>
      <family val="2"/>
    </font>
    <font>
      <sz val="12"/>
      <color theme="1"/>
      <name val="Times New Roman"/>
      <family val="1"/>
    </font>
    <font>
      <sz val="12"/>
      <color rgb="FFC00000"/>
      <name val="Times New Roman"/>
      <family val="1"/>
    </font>
    <font>
      <b/>
      <sz val="12"/>
      <color rgb="FFC00000"/>
      <name val="Times New Roman"/>
      <family val="1"/>
    </font>
    <font>
      <sz val="11"/>
      <color theme="1"/>
      <name val="Times New Roman"/>
      <family val="2"/>
    </font>
    <font>
      <b/>
      <sz val="11"/>
      <color theme="1"/>
      <name val="Times New Roman"/>
      <family val="1"/>
    </font>
    <font>
      <b/>
      <sz val="12"/>
      <color theme="1"/>
      <name val="Times New Roman"/>
      <family val="1"/>
    </font>
    <font>
      <sz val="11"/>
      <color theme="1"/>
      <name val="Times New Roman"/>
      <family val="1"/>
    </font>
    <font>
      <b/>
      <sz val="10"/>
      <color theme="1"/>
      <name val="Times New Roman"/>
      <family val="1"/>
    </font>
    <font>
      <b/>
      <sz val="13"/>
      <color theme="1"/>
      <name val="Times New Roman"/>
      <family val="1"/>
    </font>
    <font>
      <b/>
      <sz val="14"/>
      <color theme="1"/>
      <name val="Times New Roman"/>
      <family val="1"/>
    </font>
    <font>
      <sz val="14"/>
      <color theme="1"/>
      <name val="Times New Roman"/>
      <family val="1"/>
    </font>
    <font>
      <sz val="12"/>
      <color theme="1"/>
      <name val="Arial"/>
      <family val="2"/>
    </font>
    <font>
      <sz val="11"/>
      <color theme="1"/>
      <name val="Arial"/>
      <family val="2"/>
    </font>
    <font>
      <b/>
      <u/>
      <sz val="11"/>
      <color theme="1"/>
      <name val="Times New Roman"/>
      <family val="1"/>
    </font>
    <font>
      <sz val="10"/>
      <color theme="1"/>
      <name val="Times New Roman"/>
      <family val="1"/>
    </font>
    <font>
      <u/>
      <sz val="11"/>
      <color theme="1"/>
      <name val="Times New Roman"/>
      <family val="1"/>
    </font>
    <font>
      <sz val="8"/>
      <color theme="1"/>
      <name val="Times New Roman"/>
      <family val="1"/>
    </font>
    <font>
      <b/>
      <sz val="8"/>
      <color theme="1"/>
      <name val="Calibri"/>
      <family val="2"/>
      <scheme val="minor"/>
    </font>
    <font>
      <sz val="8"/>
      <color theme="1"/>
      <name val="Times New Roman"/>
      <family val="2"/>
    </font>
    <font>
      <sz val="12"/>
      <color theme="1" tint="4.9989318521683403E-2"/>
      <name val="Times New Roman"/>
      <family val="1"/>
    </font>
    <font>
      <sz val="10"/>
      <color rgb="FF000000"/>
      <name val="Times New Roman"/>
      <family val="1"/>
    </font>
    <font>
      <b/>
      <sz val="12"/>
      <color rgb="FF7030A0"/>
      <name val="Times New Roman"/>
      <family val="1"/>
    </font>
    <font>
      <sz val="10"/>
      <color rgb="FF00B050"/>
      <name val="Calibri"/>
      <family val="2"/>
    </font>
    <font>
      <sz val="11"/>
      <color rgb="FF00B050"/>
      <name val="Calibri"/>
      <family val="2"/>
    </font>
    <font>
      <sz val="12"/>
      <color rgb="FF00B050"/>
      <name val="Times New Roman"/>
      <family val="1"/>
    </font>
    <font>
      <sz val="12"/>
      <color rgb="FF00B050"/>
      <name val="Arial"/>
      <family val="2"/>
    </font>
    <font>
      <sz val="11"/>
      <color rgb="FF00B050"/>
      <name val="Times New Roman"/>
      <family val="1"/>
    </font>
    <font>
      <sz val="11"/>
      <color rgb="FF00B050"/>
      <name val="Times New Roman"/>
      <family val="2"/>
    </font>
    <font>
      <sz val="12"/>
      <color rgb="FF00B050"/>
      <name val="Times New Roman"/>
      <family val="2"/>
    </font>
    <font>
      <b/>
      <sz val="12"/>
      <color rgb="FF00B050"/>
      <name val="Times New Roman"/>
      <family val="1"/>
    </font>
    <font>
      <sz val="12"/>
      <color rgb="FF92D050"/>
      <name val="Times New Roman"/>
      <family val="1"/>
    </font>
    <font>
      <sz val="14"/>
      <color rgb="FF00B050"/>
      <name val="Times New Roman"/>
      <family val="1"/>
    </font>
    <font>
      <sz val="12"/>
      <color rgb="FFFF0000"/>
      <name val="Times New Roman"/>
      <family val="1"/>
    </font>
    <font>
      <b/>
      <sz val="8"/>
      <color theme="1"/>
      <name val="Times New Roman"/>
      <family val="1"/>
    </font>
    <font>
      <sz val="8"/>
      <color rgb="FF00B050"/>
      <name val="Times New Roman"/>
      <family val="2"/>
    </font>
    <font>
      <b/>
      <u/>
      <sz val="11"/>
      <color rgb="FF00B050"/>
      <name val="Calibri"/>
      <family val="2"/>
    </font>
    <font>
      <sz val="12"/>
      <name val="Times New Roman"/>
      <family val="2"/>
    </font>
    <font>
      <b/>
      <u/>
      <sz val="12"/>
      <color theme="1"/>
      <name val="Times New Roman"/>
      <family val="1"/>
    </font>
    <font>
      <sz val="10"/>
      <color rgb="FF00B050"/>
      <name val="Times New Roman"/>
      <family val="1"/>
    </font>
    <font>
      <sz val="12"/>
      <name val="Calibri"/>
      <family val="2"/>
    </font>
    <font>
      <b/>
      <u/>
      <sz val="12"/>
      <color rgb="FF00B050"/>
      <name val="Times New Roman"/>
      <family val="1"/>
    </font>
    <font>
      <b/>
      <sz val="11"/>
      <color theme="1"/>
      <name val="Calibri"/>
      <family val="2"/>
      <scheme val="minor"/>
    </font>
    <font>
      <b/>
      <sz val="18"/>
      <color theme="1"/>
      <name val="Calibri"/>
      <family val="2"/>
      <scheme val="minor"/>
    </font>
    <font>
      <sz val="11"/>
      <name val="Calibri"/>
      <family val="2"/>
      <scheme val="minor"/>
    </font>
    <font>
      <sz val="12"/>
      <color theme="0"/>
      <name val="Times New Roman"/>
      <family val="1"/>
    </font>
    <font>
      <sz val="11"/>
      <color theme="0"/>
      <name val="Calibri"/>
      <family val="2"/>
      <scheme val="minor"/>
    </font>
    <font>
      <sz val="12"/>
      <color indexed="12"/>
      <name val="SWISS"/>
    </font>
    <font>
      <b/>
      <sz val="12"/>
      <name val="SWISS"/>
    </font>
    <font>
      <sz val="8"/>
      <color indexed="9"/>
      <name val="Calibri"/>
      <family val="2"/>
    </font>
    <font>
      <sz val="14"/>
      <color indexed="9"/>
      <name val="Calibri"/>
      <family val="2"/>
    </font>
    <font>
      <b/>
      <sz val="14"/>
      <name val="SWISS"/>
    </font>
    <font>
      <sz val="9"/>
      <color rgb="FF0070C0"/>
      <name val="SWISS"/>
    </font>
    <font>
      <b/>
      <sz val="12"/>
      <color indexed="12"/>
      <name val="Times New Roman"/>
      <family val="1"/>
    </font>
    <font>
      <sz val="12"/>
      <color indexed="39"/>
      <name val="SWISS"/>
    </font>
    <font>
      <sz val="12"/>
      <color indexed="39"/>
      <name val="Times New Roman"/>
      <family val="1"/>
    </font>
    <font>
      <b/>
      <sz val="12"/>
      <color indexed="39"/>
      <name val="Times New Roman"/>
      <family val="1"/>
    </font>
    <font>
      <sz val="12"/>
      <color indexed="10"/>
      <name val="SWISS"/>
    </font>
    <font>
      <sz val="12"/>
      <color indexed="8"/>
      <name val="SWISS"/>
    </font>
    <font>
      <sz val="9"/>
      <color indexed="39"/>
      <name val="Times New Roman"/>
      <family val="1"/>
    </font>
    <font>
      <u/>
      <sz val="12"/>
      <color indexed="12"/>
      <name val="Times New Roman"/>
      <family val="1"/>
    </font>
    <font>
      <b/>
      <u/>
      <sz val="12"/>
      <color indexed="39"/>
      <name val="Times New Roman"/>
      <family val="1"/>
    </font>
    <font>
      <sz val="12"/>
      <color indexed="18"/>
      <name val="Times New Roman"/>
      <family val="1"/>
    </font>
    <font>
      <u/>
      <sz val="12"/>
      <color indexed="8"/>
      <name val="Times New Roman"/>
      <family val="1"/>
    </font>
    <font>
      <sz val="12"/>
      <color indexed="32"/>
      <name val="SWISS"/>
    </font>
    <font>
      <sz val="12"/>
      <color indexed="18"/>
      <name val="SWISS"/>
    </font>
    <font>
      <b/>
      <sz val="10"/>
      <name val="SWISS"/>
    </font>
    <font>
      <sz val="12"/>
      <color indexed="56"/>
      <name val="SWISS"/>
    </font>
    <font>
      <i/>
      <sz val="12"/>
      <name val="SWISS"/>
    </font>
    <font>
      <sz val="10"/>
      <color indexed="39"/>
      <name val="Times New Roman"/>
      <family val="1"/>
    </font>
    <font>
      <sz val="10"/>
      <color indexed="18"/>
      <name val="Times New Roman"/>
      <family val="1"/>
    </font>
  </fonts>
  <fills count="44">
    <fill>
      <patternFill patternType="none"/>
    </fill>
    <fill>
      <patternFill patternType="gray125"/>
    </fill>
    <fill>
      <patternFill patternType="solid">
        <fgColor indexed="31"/>
      </patternFill>
    </fill>
    <fill>
      <patternFill patternType="solid">
        <fgColor indexed="22"/>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8"/>
      </patternFill>
    </fill>
    <fill>
      <patternFill patternType="solid">
        <fgColor indexed="9"/>
      </patternFill>
    </fill>
    <fill>
      <patternFill patternType="solid">
        <fgColor indexed="63"/>
      </patternFill>
    </fill>
    <fill>
      <patternFill patternType="solid">
        <fgColor indexed="45"/>
        <bgColor indexed="64"/>
      </patternFill>
    </fill>
    <fill>
      <patternFill patternType="solid">
        <fgColor indexed="65"/>
        <bgColor indexed="10"/>
      </patternFill>
    </fill>
    <fill>
      <patternFill patternType="gray125">
        <fgColor indexed="10"/>
      </patternFill>
    </fill>
    <fill>
      <patternFill patternType="solid">
        <fgColor indexed="22"/>
        <bgColor indexed="64"/>
      </patternFill>
    </fill>
    <fill>
      <patternFill patternType="solid">
        <fgColor indexed="26"/>
        <bgColor indexed="64"/>
      </patternFill>
    </fill>
    <fill>
      <patternFill patternType="solid">
        <fgColor indexed="57"/>
        <bgColor indexed="64"/>
      </patternFill>
    </fill>
    <fill>
      <patternFill patternType="mediumGray">
        <fgColor indexed="22"/>
      </patternFill>
    </fill>
    <fill>
      <patternFill patternType="solid">
        <fgColor indexed="43"/>
        <bgColor indexed="64"/>
      </patternFill>
    </fill>
    <fill>
      <patternFill patternType="solid">
        <fgColor indexed="9"/>
        <bgColor indexed="64"/>
      </patternFill>
    </fill>
    <fill>
      <patternFill patternType="solid">
        <fgColor indexed="26"/>
        <bgColor indexed="41"/>
      </patternFill>
    </fill>
    <fill>
      <patternFill patternType="solid">
        <fgColor indexed="26"/>
        <bgColor indexed="31"/>
      </patternFill>
    </fill>
    <fill>
      <patternFill patternType="solid">
        <fgColor indexed="22"/>
        <bgColor indexed="26"/>
      </patternFill>
    </fill>
    <fill>
      <patternFill patternType="solid">
        <fgColor indexed="22"/>
        <bgColor indexed="29"/>
      </patternFill>
    </fill>
    <fill>
      <patternFill patternType="solid">
        <fgColor indexed="27"/>
        <bgColor indexed="64"/>
      </patternFill>
    </fill>
    <fill>
      <patternFill patternType="solid">
        <fgColor indexed="31"/>
        <bgColor indexed="64"/>
      </patternFill>
    </fill>
    <fill>
      <patternFill patternType="solid">
        <fgColor theme="0" tint="-4.9989318521683403E-2"/>
        <bgColor indexed="64"/>
      </patternFill>
    </fill>
    <fill>
      <patternFill patternType="solid">
        <fgColor theme="8"/>
      </patternFill>
    </fill>
    <fill>
      <patternFill patternType="solid">
        <fgColor indexed="15"/>
        <bgColor indexed="64"/>
      </patternFill>
    </fill>
    <fill>
      <patternFill patternType="solid">
        <fgColor rgb="FFFFFF00"/>
        <bgColor indexed="64"/>
      </patternFill>
    </fill>
    <fill>
      <patternFill patternType="solid">
        <fgColor indexed="9"/>
        <bgColor indexed="8"/>
      </patternFill>
    </fill>
  </fills>
  <borders count="84">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2"/>
      </left>
      <right style="double">
        <color indexed="62"/>
      </right>
      <top style="double">
        <color indexed="62"/>
      </top>
      <bottom style="double">
        <color indexed="62"/>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top/>
      <bottom/>
      <diagonal/>
    </border>
    <border>
      <left/>
      <right/>
      <top/>
      <bottom style="thin">
        <color indexed="8"/>
      </bottom>
      <diagonal/>
    </border>
    <border>
      <left/>
      <right/>
      <top/>
      <bottom style="double">
        <color indexed="8"/>
      </bottom>
      <diagonal/>
    </border>
    <border>
      <left/>
      <right/>
      <top style="thin">
        <color indexed="8"/>
      </top>
      <bottom style="thin">
        <color indexed="8"/>
      </bottom>
      <diagonal/>
    </border>
    <border>
      <left/>
      <right/>
      <top style="thin">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auto="1"/>
      </top>
      <bottom style="thin">
        <color auto="1"/>
      </bottom>
      <diagonal/>
    </border>
    <border>
      <left/>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style="thick">
        <color indexed="8"/>
      </left>
      <right/>
      <top/>
      <bottom style="double">
        <color indexed="8"/>
      </bottom>
      <diagonal/>
    </border>
    <border>
      <left style="thick">
        <color indexed="8"/>
      </left>
      <right/>
      <top/>
      <bottom/>
      <diagonal/>
    </border>
    <border>
      <left style="thick">
        <color indexed="8"/>
      </left>
      <right/>
      <top style="thin">
        <color indexed="8"/>
      </top>
      <bottom style="thin">
        <color indexed="8"/>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double">
        <color indexed="64"/>
      </bottom>
      <diagonal/>
    </border>
    <border>
      <left/>
      <right/>
      <top style="thin">
        <color theme="4" tint="-0.24994659260841701"/>
      </top>
      <bottom style="double">
        <color theme="4" tint="-0.24994659260841701"/>
      </bottom>
      <diagonal/>
    </border>
  </borders>
  <cellStyleXfs count="428">
    <xf numFmtId="37" fontId="0" fillId="0" borderId="0"/>
    <xf numFmtId="0" fontId="49" fillId="3"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12" borderId="0" applyNumberFormat="0" applyBorder="0" applyAlignment="0" applyProtection="0"/>
    <xf numFmtId="0" fontId="49" fillId="3" borderId="0" applyNumberFormat="0" applyBorder="0" applyAlignment="0" applyProtection="0"/>
    <xf numFmtId="0" fontId="49" fillId="8"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98" fillId="15" borderId="0" applyNumberFormat="0" applyBorder="0" applyAlignment="0" applyProtection="0"/>
    <xf numFmtId="0" fontId="98" fillId="14" borderId="0" applyNumberFormat="0" applyBorder="0" applyAlignment="0" applyProtection="0"/>
    <xf numFmtId="0" fontId="98" fillId="5" borderId="0" applyNumberFormat="0" applyBorder="0" applyAlignment="0" applyProtection="0"/>
    <xf numFmtId="0" fontId="98" fillId="12" borderId="0" applyNumberFormat="0" applyBorder="0" applyAlignment="0" applyProtection="0"/>
    <xf numFmtId="0" fontId="98" fillId="11" borderId="0" applyNumberFormat="0" applyBorder="0" applyAlignment="0" applyProtection="0"/>
    <xf numFmtId="0" fontId="98" fillId="3" borderId="0" applyNumberFormat="0" applyBorder="0" applyAlignment="0" applyProtection="0"/>
    <xf numFmtId="0" fontId="98" fillId="16" borderId="0" applyNumberFormat="0" applyBorder="0" applyAlignment="0" applyProtection="0"/>
    <xf numFmtId="0" fontId="98" fillId="15" borderId="0" applyNumberFormat="0" applyBorder="0" applyAlignment="0" applyProtection="0"/>
    <xf numFmtId="0" fontId="98" fillId="5" borderId="0" applyNumberFormat="0" applyBorder="0" applyAlignment="0" applyProtection="0"/>
    <xf numFmtId="0" fontId="98" fillId="15"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0" borderId="0" applyNumberFormat="0" applyBorder="0" applyAlignment="0" applyProtection="0"/>
    <xf numFmtId="41" fontId="9" fillId="0" borderId="0"/>
    <xf numFmtId="41" fontId="9" fillId="0" borderId="0"/>
    <xf numFmtId="41" fontId="9" fillId="0" borderId="0"/>
    <xf numFmtId="41" fontId="9" fillId="0" borderId="0"/>
    <xf numFmtId="0" fontId="90" fillId="4" borderId="0" applyNumberFormat="0" applyBorder="0" applyAlignment="0" applyProtection="0"/>
    <xf numFmtId="3" fontId="9" fillId="0" borderId="0"/>
    <xf numFmtId="3" fontId="9" fillId="0" borderId="0"/>
    <xf numFmtId="3" fontId="9" fillId="0" borderId="0"/>
    <xf numFmtId="3" fontId="9" fillId="0" borderId="0"/>
    <xf numFmtId="168" fontId="52" fillId="0" borderId="0" applyFill="0"/>
    <xf numFmtId="168" fontId="52" fillId="0" borderId="0">
      <alignment horizontal="center"/>
    </xf>
    <xf numFmtId="0" fontId="52" fillId="0" borderId="0" applyFill="0">
      <alignment horizontal="center"/>
    </xf>
    <xf numFmtId="168" fontId="53" fillId="0" borderId="1" applyFill="0"/>
    <xf numFmtId="0" fontId="9" fillId="0" borderId="0" applyFont="0" applyAlignment="0"/>
    <xf numFmtId="0" fontId="54" fillId="0" borderId="0" applyFill="0">
      <alignment vertical="top"/>
    </xf>
    <xf numFmtId="0" fontId="53" fillId="0" borderId="0" applyFill="0">
      <alignment horizontal="left" vertical="top"/>
    </xf>
    <xf numFmtId="168" fontId="2" fillId="0" borderId="2" applyFill="0"/>
    <xf numFmtId="0" fontId="9" fillId="0" borderId="0" applyNumberFormat="0" applyFont="0" applyAlignment="0"/>
    <xf numFmtId="0" fontId="54" fillId="0" borderId="0" applyFill="0">
      <alignment wrapText="1"/>
    </xf>
    <xf numFmtId="0" fontId="53" fillId="0" borderId="0" applyFill="0">
      <alignment horizontal="left" vertical="top" wrapText="1"/>
    </xf>
    <xf numFmtId="168" fontId="55" fillId="0" borderId="0" applyFill="0"/>
    <xf numFmtId="0" fontId="56" fillId="0" borderId="0" applyNumberFormat="0" applyFont="0" applyAlignment="0">
      <alignment horizontal="center"/>
    </xf>
    <xf numFmtId="0" fontId="57" fillId="0" borderId="0" applyFill="0">
      <alignment vertical="top" wrapText="1"/>
    </xf>
    <xf numFmtId="0" fontId="2" fillId="0" borderId="0" applyFill="0">
      <alignment horizontal="left" vertical="top" wrapText="1"/>
    </xf>
    <xf numFmtId="168" fontId="9" fillId="0" borderId="0" applyFill="0"/>
    <xf numFmtId="0" fontId="56" fillId="0" borderId="0" applyNumberFormat="0" applyFont="0" applyAlignment="0">
      <alignment horizontal="center"/>
    </xf>
    <xf numFmtId="0" fontId="58" fillId="0" borderId="0" applyFill="0">
      <alignment vertical="center" wrapText="1"/>
    </xf>
    <xf numFmtId="0" fontId="3" fillId="0" borderId="0">
      <alignment horizontal="left" vertical="center" wrapText="1"/>
    </xf>
    <xf numFmtId="168" fontId="40" fillId="0" borderId="0" applyFill="0"/>
    <xf numFmtId="0" fontId="56" fillId="0" borderId="0" applyNumberFormat="0" applyFont="0" applyAlignment="0">
      <alignment horizontal="center"/>
    </xf>
    <xf numFmtId="0" fontId="59" fillId="0" borderId="0" applyFill="0">
      <alignment horizontal="center" vertical="center" wrapText="1"/>
    </xf>
    <xf numFmtId="0" fontId="9" fillId="0" borderId="0" applyFill="0">
      <alignment horizontal="center" vertical="center" wrapText="1"/>
    </xf>
    <xf numFmtId="168" fontId="60" fillId="0" borderId="0" applyFill="0"/>
    <xf numFmtId="0" fontId="56" fillId="0" borderId="0" applyNumberFormat="0" applyFont="0" applyAlignment="0">
      <alignment horizontal="center"/>
    </xf>
    <xf numFmtId="0" fontId="61" fillId="0" borderId="0" applyFill="0">
      <alignment horizontal="center" vertical="center" wrapText="1"/>
    </xf>
    <xf numFmtId="0" fontId="62" fillId="0" borderId="0" applyFill="0">
      <alignment horizontal="center" vertical="center" wrapText="1"/>
    </xf>
    <xf numFmtId="168" fontId="63" fillId="0" borderId="0" applyFill="0"/>
    <xf numFmtId="0" fontId="56" fillId="0" borderId="0" applyNumberFormat="0" applyFont="0" applyAlignment="0">
      <alignment horizontal="center"/>
    </xf>
    <xf numFmtId="0" fontId="64" fillId="0" borderId="0">
      <alignment horizontal="center" wrapText="1"/>
    </xf>
    <xf numFmtId="0" fontId="60" fillId="0" borderId="0" applyFill="0">
      <alignment horizontal="center" wrapText="1"/>
    </xf>
    <xf numFmtId="0" fontId="92" fillId="22" borderId="3" applyNumberFormat="0" applyAlignment="0" applyProtection="0"/>
    <xf numFmtId="0" fontId="92" fillId="3" borderId="3" applyNumberFormat="0" applyAlignment="0" applyProtection="0"/>
    <xf numFmtId="0" fontId="94" fillId="23" borderId="4" applyNumberFormat="0" applyAlignment="0" applyProtection="0"/>
    <xf numFmtId="0" fontId="9" fillId="24" borderId="0">
      <alignment horizontal="center"/>
    </xf>
    <xf numFmtId="43" fontId="6"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2" fillId="0" borderId="0" applyFont="0" applyFill="0" applyBorder="0" applyAlignment="0" applyProtection="0"/>
    <xf numFmtId="43" fontId="7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174" fontId="1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73"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74" fillId="0" borderId="0" applyFont="0" applyFill="0" applyBorder="0" applyAlignment="0" applyProtection="0"/>
    <xf numFmtId="43" fontId="9" fillId="0" borderId="0" applyFont="0" applyFill="0" applyBorder="0" applyAlignment="0" applyProtection="0"/>
    <xf numFmtId="43" fontId="51" fillId="0" borderId="0" applyFont="0" applyFill="0" applyBorder="0" applyAlignment="0" applyProtection="0"/>
    <xf numFmtId="43" fontId="7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 fontId="1" fillId="0" borderId="0"/>
    <xf numFmtId="3" fontId="9" fillId="0" borderId="0" applyFill="0" applyBorder="0" applyAlignment="0" applyProtection="0"/>
    <xf numFmtId="0" fontId="99" fillId="0" borderId="0"/>
    <xf numFmtId="0" fontId="99" fillId="0" borderId="0"/>
    <xf numFmtId="0" fontId="100" fillId="25" borderId="5" applyAlignment="0">
      <alignment horizontal="right"/>
      <protection locked="0"/>
    </xf>
    <xf numFmtId="44" fontId="6" fillId="0" borderId="0" applyFont="0" applyFill="0" applyBorder="0" applyAlignment="0" applyProtection="0"/>
    <xf numFmtId="44" fontId="7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2"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101" fillId="0" borderId="0" applyFont="0" applyFill="0" applyBorder="0" applyAlignment="0" applyProtection="0"/>
    <xf numFmtId="44" fontId="10"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9" fillId="0" borderId="0" applyFont="0" applyFill="0" applyBorder="0" applyAlignment="0" applyProtection="0"/>
    <xf numFmtId="44" fontId="49" fillId="0" borderId="0" applyFont="0" applyFill="0" applyBorder="0" applyAlignment="0" applyProtection="0"/>
    <xf numFmtId="44" fontId="73" fillId="0" borderId="0" applyFont="0" applyFill="0" applyBorder="0" applyAlignment="0" applyProtection="0"/>
    <xf numFmtId="44" fontId="52"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5" fontId="9" fillId="0" borderId="0" applyFill="0" applyBorder="0" applyAlignment="0" applyProtection="0"/>
    <xf numFmtId="0" fontId="102" fillId="26" borderId="0">
      <alignment horizontal="right"/>
      <protection locked="0"/>
    </xf>
    <xf numFmtId="175" fontId="9" fillId="0" borderId="0" applyFill="0" applyBorder="0" applyAlignment="0" applyProtection="0"/>
    <xf numFmtId="14" fontId="9" fillId="0" borderId="0"/>
    <xf numFmtId="0" fontId="96" fillId="0" borderId="0" applyNumberFormat="0" applyFill="0" applyBorder="0" applyAlignment="0" applyProtection="0"/>
    <xf numFmtId="2" fontId="102" fillId="26" borderId="0">
      <alignment horizontal="right"/>
      <protection locked="0"/>
    </xf>
    <xf numFmtId="1" fontId="9" fillId="0" borderId="0">
      <alignment horizontal="center"/>
    </xf>
    <xf numFmtId="2" fontId="9" fillId="0" borderId="0" applyFill="0" applyBorder="0" applyAlignment="0" applyProtection="0"/>
    <xf numFmtId="0" fontId="89" fillId="6" borderId="0" applyNumberFormat="0" applyBorder="0" applyAlignment="0" applyProtection="0"/>
    <xf numFmtId="38" fontId="52" fillId="27" borderId="0" applyNumberFormat="0" applyBorder="0" applyAlignment="0" applyProtection="0"/>
    <xf numFmtId="0" fontId="2" fillId="0" borderId="6" applyNumberFormat="0" applyAlignment="0" applyProtection="0">
      <alignment horizontal="left" vertical="center"/>
    </xf>
    <xf numFmtId="0" fontId="2" fillId="0" borderId="7">
      <alignment horizontal="left" vertical="center"/>
    </xf>
    <xf numFmtId="0" fontId="103" fillId="0" borderId="9" applyNumberFormat="0" applyFill="0" applyAlignment="0" applyProtection="0"/>
    <xf numFmtId="0" fontId="113" fillId="0" borderId="8" applyNumberFormat="0" applyFill="0" applyAlignment="0" applyProtection="0"/>
    <xf numFmtId="0" fontId="104" fillId="0" borderId="10" applyNumberFormat="0" applyFill="0" applyAlignment="0" applyProtection="0"/>
    <xf numFmtId="0" fontId="114" fillId="0" borderId="10" applyNumberFormat="0" applyFill="0" applyAlignment="0" applyProtection="0"/>
    <xf numFmtId="0" fontId="105" fillId="0" borderId="12" applyNumberFormat="0" applyFill="0" applyAlignment="0" applyProtection="0"/>
    <xf numFmtId="0" fontId="115" fillId="0" borderId="11" applyNumberFormat="0" applyFill="0" applyAlignment="0" applyProtection="0"/>
    <xf numFmtId="0" fontId="110" fillId="0" borderId="0" applyNumberFormat="0" applyFill="0" applyBorder="0" applyAlignment="0" applyProtection="0"/>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0" fontId="52" fillId="28" borderId="13" applyNumberFormat="0" applyBorder="0" applyAlignment="0" applyProtection="0"/>
    <xf numFmtId="0" fontId="111" fillId="12" borderId="3" applyNumberFormat="0" applyAlignment="0" applyProtection="0"/>
    <xf numFmtId="3" fontId="108" fillId="27" borderId="0">
      <protection locked="0"/>
    </xf>
    <xf numFmtId="4" fontId="108" fillId="27" borderId="0">
      <protection locked="0"/>
    </xf>
    <xf numFmtId="0" fontId="93" fillId="0" borderId="14" applyNumberFormat="0" applyFill="0" applyAlignment="0" applyProtection="0"/>
    <xf numFmtId="41" fontId="65" fillId="29" borderId="0" applyFill="0" applyBorder="0" applyAlignment="0" applyProtection="0"/>
    <xf numFmtId="0" fontId="91" fillId="12" borderId="0" applyNumberFormat="0" applyBorder="0" applyAlignment="0" applyProtection="0"/>
    <xf numFmtId="43"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7" fontId="3" fillId="0" borderId="0"/>
    <xf numFmtId="0" fontId="122" fillId="0" borderId="0"/>
    <xf numFmtId="0" fontId="122" fillId="0" borderId="0"/>
    <xf numFmtId="0" fontId="49" fillId="0" borderId="0"/>
    <xf numFmtId="0" fontId="9" fillId="0" borderId="0"/>
    <xf numFmtId="0" fontId="9" fillId="0" borderId="0"/>
    <xf numFmtId="0" fontId="9" fillId="0" borderId="0"/>
    <xf numFmtId="37" fontId="3" fillId="0" borderId="0"/>
    <xf numFmtId="37" fontId="3" fillId="0" borderId="0"/>
    <xf numFmtId="0" fontId="122" fillId="0" borderId="0"/>
    <xf numFmtId="0" fontId="49" fillId="0" borderId="0"/>
    <xf numFmtId="37" fontId="3" fillId="0" borderId="0"/>
    <xf numFmtId="0" fontId="49" fillId="0" borderId="0"/>
    <xf numFmtId="37" fontId="3" fillId="0" borderId="0"/>
    <xf numFmtId="0" fontId="49" fillId="0" borderId="0"/>
    <xf numFmtId="37" fontId="3" fillId="0" borderId="0"/>
    <xf numFmtId="0" fontId="49" fillId="0" borderId="0"/>
    <xf numFmtId="0" fontId="122" fillId="0" borderId="0"/>
    <xf numFmtId="0" fontId="49" fillId="0" borderId="0"/>
    <xf numFmtId="0" fontId="49" fillId="0" borderId="0"/>
    <xf numFmtId="0" fontId="49" fillId="0" borderId="0"/>
    <xf numFmtId="0" fontId="49" fillId="0" borderId="0"/>
    <xf numFmtId="0" fontId="121" fillId="0" borderId="0"/>
    <xf numFmtId="169" fontId="11"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122" fillId="0" borderId="0"/>
    <xf numFmtId="0" fontId="9" fillId="0" borderId="0"/>
    <xf numFmtId="0" fontId="9" fillId="0" borderId="0"/>
    <xf numFmtId="0" fontId="4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122" fillId="0" borderId="0"/>
    <xf numFmtId="0" fontId="1"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2"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3" fillId="0" borderId="0"/>
    <xf numFmtId="0" fontId="1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9" fillId="0" borderId="0"/>
    <xf numFmtId="0" fontId="49" fillId="0" borderId="0"/>
    <xf numFmtId="0" fontId="1" fillId="0" borderId="0">
      <alignment vertical="top"/>
    </xf>
    <xf numFmtId="0" fontId="1" fillId="0" borderId="0">
      <alignment vertical="top"/>
    </xf>
    <xf numFmtId="0" fontId="1" fillId="0" borderId="0">
      <alignment vertical="top"/>
    </xf>
    <xf numFmtId="0" fontId="49" fillId="0" borderId="0"/>
    <xf numFmtId="0" fontId="122" fillId="0" borderId="0"/>
    <xf numFmtId="0" fontId="122" fillId="0" borderId="0"/>
    <xf numFmtId="37" fontId="25" fillId="0" borderId="0"/>
    <xf numFmtId="37" fontId="3" fillId="0" borderId="0"/>
    <xf numFmtId="0" fontId="9" fillId="0" borderId="0"/>
    <xf numFmtId="0" fontId="7" fillId="0" borderId="0"/>
    <xf numFmtId="0" fontId="49" fillId="7" borderId="15" applyNumberFormat="0" applyFont="0" applyAlignment="0" applyProtection="0"/>
    <xf numFmtId="0" fontId="52" fillId="7" borderId="15" applyNumberFormat="0" applyFont="0" applyAlignment="0" applyProtection="0"/>
    <xf numFmtId="170" fontId="109" fillId="0" borderId="0" applyNumberFormat="0"/>
    <xf numFmtId="0" fontId="105" fillId="22" borderId="16" applyNumberFormat="0" applyAlignment="0" applyProtection="0"/>
    <xf numFmtId="9" fontId="6" fillId="0" borderId="0" applyFont="0" applyFill="0" applyBorder="0" applyAlignment="0" applyProtection="0"/>
    <xf numFmtId="10" fontId="9" fillId="0" borderId="0" applyFont="0" applyFill="0" applyBorder="0" applyAlignment="0" applyProtection="0"/>
    <xf numFmtId="9" fontId="49" fillId="0" borderId="0" applyFont="0" applyFill="0" applyBorder="0" applyAlignment="0" applyProtection="0"/>
    <xf numFmtId="9" fontId="122" fillId="0" borderId="0" applyFont="0" applyFill="0" applyBorder="0" applyAlignment="0" applyProtection="0"/>
    <xf numFmtId="9" fontId="123" fillId="0" borderId="0" applyFont="0" applyFill="0" applyBorder="0" applyAlignment="0" applyProtection="0"/>
    <xf numFmtId="9" fontId="3" fillId="0" borderId="0" applyFont="0" applyFill="0" applyBorder="0" applyAlignment="0" applyProtection="0"/>
    <xf numFmtId="9" fontId="74" fillId="0" borderId="0" applyFont="0" applyFill="0" applyBorder="0" applyAlignment="0" applyProtection="0"/>
    <xf numFmtId="9" fontId="1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9" fillId="0" borderId="0" applyFont="0" applyFill="0" applyBorder="0" applyAlignment="0" applyProtection="0"/>
    <xf numFmtId="9" fontId="74" fillId="0" borderId="0" applyFont="0" applyFill="0" applyBorder="0" applyAlignment="0" applyProtection="0"/>
    <xf numFmtId="9" fontId="52"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73" fillId="0" borderId="0" applyFont="0" applyFill="0" applyBorder="0" applyAlignment="0" applyProtection="0"/>
    <xf numFmtId="9" fontId="49" fillId="0" borderId="0" applyFont="0" applyFill="0" applyBorder="0" applyAlignment="0" applyProtection="0"/>
    <xf numFmtId="170" fontId="9" fillId="0" borderId="0" applyFont="0" applyFill="0" applyBorder="0" applyAlignment="0" applyProtection="0"/>
    <xf numFmtId="10" fontId="9" fillId="0" borderId="0" applyFont="0" applyFill="0" applyBorder="0" applyAlignment="0" applyProtection="0"/>
    <xf numFmtId="0" fontId="9" fillId="0" borderId="0"/>
    <xf numFmtId="0" fontId="9" fillId="0" borderId="0"/>
    <xf numFmtId="0" fontId="9" fillId="0" borderId="0"/>
    <xf numFmtId="0" fontId="9" fillId="0" borderId="0"/>
    <xf numFmtId="38" fontId="66" fillId="0" borderId="0" applyNumberFormat="0" applyFont="0" applyFill="0" applyBorder="0">
      <alignment horizontal="left" indent="4"/>
      <protection locked="0"/>
    </xf>
    <xf numFmtId="0" fontId="67" fillId="0" borderId="0" applyNumberFormat="0" applyFont="0" applyFill="0" applyBorder="0" applyAlignment="0" applyProtection="0">
      <alignment horizontal="left"/>
    </xf>
    <xf numFmtId="15" fontId="67" fillId="0" borderId="0" applyFont="0" applyFill="0" applyBorder="0" applyAlignment="0" applyProtection="0"/>
    <xf numFmtId="4" fontId="67" fillId="0" borderId="0" applyFont="0" applyFill="0" applyBorder="0" applyAlignment="0" applyProtection="0"/>
    <xf numFmtId="0" fontId="68" fillId="0" borderId="17">
      <alignment horizontal="center"/>
    </xf>
    <xf numFmtId="0" fontId="68" fillId="0" borderId="17">
      <alignment horizontal="center"/>
    </xf>
    <xf numFmtId="3" fontId="67" fillId="0" borderId="0" applyFont="0" applyFill="0" applyBorder="0" applyAlignment="0" applyProtection="0"/>
    <xf numFmtId="0" fontId="67" fillId="30" borderId="0" applyNumberFormat="0" applyFont="0" applyBorder="0" applyAlignment="0" applyProtection="0"/>
    <xf numFmtId="176" fontId="26" fillId="31" borderId="18" applyNumberFormat="0" applyFill="0"/>
    <xf numFmtId="0" fontId="69" fillId="31" borderId="0" applyNumberFormat="0" applyFill="0" applyBorder="0" applyAlignment="0" applyProtection="0">
      <alignment horizontal="left" indent="7"/>
    </xf>
    <xf numFmtId="0" fontId="9" fillId="32" borderId="18" applyNumberFormat="0" applyFill="0">
      <alignment horizontal="left" indent="6"/>
    </xf>
    <xf numFmtId="176" fontId="55" fillId="0" borderId="19" applyNumberFormat="0" applyFill="0"/>
    <xf numFmtId="0" fontId="39" fillId="33" borderId="13" applyNumberFormat="0" applyFill="0" applyBorder="0" applyAlignment="0">
      <alignment horizontal="right"/>
    </xf>
    <xf numFmtId="0" fontId="48" fillId="34" borderId="18" applyNumberFormat="0" applyFill="0" applyBorder="0" applyAlignment="0"/>
    <xf numFmtId="0" fontId="55" fillId="0" borderId="18" applyNumberFormat="0" applyFill="0"/>
    <xf numFmtId="176" fontId="55" fillId="0" borderId="18" applyNumberFormat="0" applyFill="0"/>
    <xf numFmtId="0" fontId="9" fillId="35" borderId="0" applyNumberFormat="0" applyFill="0" applyBorder="0" applyAlignment="0"/>
    <xf numFmtId="0" fontId="70" fillId="36" borderId="18" applyNumberFormat="0" applyFill="0" applyBorder="0">
      <alignment horizontal="left" indent="1"/>
    </xf>
    <xf numFmtId="0" fontId="39" fillId="0" borderId="18" applyNumberFormat="0" applyFill="0">
      <alignment horizontal="left" indent="1"/>
    </xf>
    <xf numFmtId="176" fontId="55" fillId="0" borderId="18" applyNumberFormat="0" applyFill="0"/>
    <xf numFmtId="0" fontId="9" fillId="24" borderId="0" applyNumberFormat="0" applyFill="0" applyBorder="0" applyAlignment="0"/>
    <xf numFmtId="0" fontId="48" fillId="24" borderId="18" applyNumberFormat="0" applyFill="0" applyBorder="0">
      <alignment horizontal="left" indent="2"/>
    </xf>
    <xf numFmtId="0" fontId="39" fillId="24" borderId="18" applyNumberFormat="0" applyFill="0">
      <alignment horizontal="left" indent="2"/>
    </xf>
    <xf numFmtId="176" fontId="26" fillId="0" borderId="18" applyNumberFormat="0" applyFill="0"/>
    <xf numFmtId="0" fontId="9" fillId="0" borderId="0" applyNumberFormat="0" applyFill="0" applyBorder="0" applyAlignment="0"/>
    <xf numFmtId="0" fontId="70" fillId="0" borderId="18" applyNumberFormat="0" applyFill="0" applyBorder="0">
      <alignment horizontal="left" indent="3"/>
    </xf>
    <xf numFmtId="0" fontId="9" fillId="0" borderId="18" applyNumberFormat="0" applyFill="0" applyProtection="0">
      <alignment horizontal="left" indent="3"/>
    </xf>
    <xf numFmtId="176" fontId="26" fillId="0" borderId="18" applyNumberFormat="0" applyFill="0"/>
    <xf numFmtId="0" fontId="9" fillId="0" borderId="0" applyNumberFormat="0" applyFill="0" applyBorder="0" applyAlignment="0"/>
    <xf numFmtId="0" fontId="47" fillId="0" borderId="18" applyNumberFormat="0" applyFill="0" applyBorder="0">
      <alignment horizontal="left" indent="4"/>
    </xf>
    <xf numFmtId="177" fontId="9" fillId="0" borderId="18" applyNumberFormat="0" applyFill="0">
      <alignment horizontal="left" indent="4"/>
    </xf>
    <xf numFmtId="176" fontId="26" fillId="0" borderId="18" applyNumberFormat="0" applyFill="0"/>
    <xf numFmtId="0" fontId="9" fillId="0" borderId="0" applyNumberFormat="0" applyBorder="0" applyAlignment="0"/>
    <xf numFmtId="0" fontId="47" fillId="0" borderId="18" applyNumberFormat="0" applyFill="0" applyBorder="0">
      <alignment horizontal="left" indent="5"/>
    </xf>
    <xf numFmtId="0" fontId="9" fillId="0" borderId="18" applyNumberFormat="0" applyFill="0">
      <alignment horizontal="left" indent="5"/>
    </xf>
    <xf numFmtId="176" fontId="26" fillId="0" borderId="18" applyNumberFormat="0" applyFill="0"/>
    <xf numFmtId="0" fontId="9" fillId="0" borderId="0" applyNumberFormat="0" applyFill="0" applyBorder="0" applyAlignment="0"/>
    <xf numFmtId="0" fontId="71" fillId="0" borderId="18" applyNumberFormat="0" applyFill="0" applyBorder="0">
      <alignment horizontal="left" indent="6"/>
    </xf>
    <xf numFmtId="0" fontId="59" fillId="0" borderId="18" applyNumberFormat="0" applyFill="0">
      <alignment horizontal="left" indent="6"/>
    </xf>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 fillId="0" borderId="0">
      <alignment vertical="top"/>
    </xf>
    <xf numFmtId="0" fontId="1" fillId="0" borderId="0">
      <alignment vertical="top"/>
    </xf>
    <xf numFmtId="0" fontId="1" fillId="0" borderId="0" applyNumberFormat="0" applyBorder="0" applyAlignment="0"/>
    <xf numFmtId="0" fontId="1" fillId="0" borderId="0" applyNumberFormat="0" applyBorder="0" applyAlignment="0"/>
    <xf numFmtId="37" fontId="117" fillId="0" borderId="0"/>
    <xf numFmtId="176" fontId="72" fillId="31" borderId="18" applyNumberFormat="0" applyProtection="0">
      <alignment horizontal="right"/>
    </xf>
    <xf numFmtId="0" fontId="112" fillId="0" borderId="0" applyNumberFormat="0" applyFill="0" applyBorder="0" applyAlignment="0" applyProtection="0"/>
    <xf numFmtId="0" fontId="97" fillId="0" borderId="21" applyNumberFormat="0" applyFill="0" applyAlignment="0" applyProtection="0"/>
    <xf numFmtId="0" fontId="97" fillId="0" borderId="20" applyNumberFormat="0" applyFill="0" applyAlignment="0" applyProtection="0"/>
    <xf numFmtId="0" fontId="95" fillId="0" borderId="0" applyNumberFormat="0" applyFill="0" applyBorder="0" applyAlignment="0" applyProtection="0"/>
    <xf numFmtId="171" fontId="3" fillId="31" borderId="0" applyFont="0" applyFill="0" applyBorder="0" applyAlignment="0" applyProtection="0">
      <alignment wrapText="1"/>
    </xf>
    <xf numFmtId="0" fontId="3" fillId="31" borderId="22" applyNumberFormat="0" applyFill="0" applyBorder="0" applyProtection="0">
      <alignment horizontal="right"/>
    </xf>
    <xf numFmtId="0" fontId="24" fillId="22" borderId="0"/>
    <xf numFmtId="41" fontId="10" fillId="32" borderId="0">
      <alignment horizontal="left"/>
    </xf>
    <xf numFmtId="10" fontId="10" fillId="32" borderId="0"/>
    <xf numFmtId="41" fontId="10" fillId="32" borderId="0">
      <alignment horizontal="left"/>
    </xf>
    <xf numFmtId="0" fontId="169" fillId="40" borderId="0" applyNumberFormat="0" applyBorder="0" applyAlignment="0" applyProtection="0"/>
  </cellStyleXfs>
  <cellXfs count="1402">
    <xf numFmtId="37" fontId="0" fillId="0" borderId="0" xfId="0"/>
    <xf numFmtId="37" fontId="4" fillId="0" borderId="0" xfId="0" applyFont="1"/>
    <xf numFmtId="37" fontId="4" fillId="0" borderId="0" xfId="0" applyFont="1" applyAlignment="1">
      <alignment horizontal="center"/>
    </xf>
    <xf numFmtId="37" fontId="5" fillId="0" borderId="0" xfId="0" applyFont="1"/>
    <xf numFmtId="37" fontId="4" fillId="0" borderId="0" xfId="0" applyFont="1" applyFill="1" applyBorder="1"/>
    <xf numFmtId="37" fontId="5" fillId="0" borderId="0" xfId="0" applyFont="1" applyFill="1"/>
    <xf numFmtId="37" fontId="4" fillId="0" borderId="0" xfId="0" applyNumberFormat="1" applyFont="1" applyFill="1" applyProtection="1"/>
    <xf numFmtId="37" fontId="4" fillId="0" borderId="0" xfId="0" applyFont="1" applyFill="1"/>
    <xf numFmtId="0" fontId="7" fillId="0" borderId="0" xfId="319" applyFill="1"/>
    <xf numFmtId="41" fontId="4" fillId="0" borderId="0" xfId="0" applyNumberFormat="1" applyFont="1" applyFill="1" applyProtection="1"/>
    <xf numFmtId="41" fontId="4" fillId="0" borderId="0" xfId="0" applyNumberFormat="1" applyFont="1" applyFill="1"/>
    <xf numFmtId="41" fontId="4" fillId="0" borderId="23" xfId="0" applyNumberFormat="1" applyFont="1" applyFill="1" applyBorder="1" applyProtection="1"/>
    <xf numFmtId="41" fontId="4" fillId="0" borderId="24" xfId="0" applyNumberFormat="1" applyFont="1" applyFill="1" applyBorder="1" applyProtection="1"/>
    <xf numFmtId="0" fontId="4" fillId="0" borderId="0" xfId="240" applyFont="1"/>
    <xf numFmtId="0" fontId="5" fillId="0" borderId="0" xfId="240" applyFont="1" applyAlignment="1">
      <alignment horizontal="center"/>
    </xf>
    <xf numFmtId="0" fontId="4" fillId="0" borderId="0" xfId="240" applyFont="1" applyFill="1"/>
    <xf numFmtId="43" fontId="4" fillId="0" borderId="0" xfId="240" applyNumberFormat="1" applyFont="1" applyFill="1"/>
    <xf numFmtId="0" fontId="7" fillId="0" borderId="0" xfId="319" applyFont="1" applyFill="1"/>
    <xf numFmtId="0" fontId="7" fillId="0" borderId="0" xfId="319" applyFill="1" applyAlignment="1">
      <alignment vertical="top"/>
    </xf>
    <xf numFmtId="37" fontId="4" fillId="0" borderId="0" xfId="0" applyFont="1" applyFill="1" applyAlignment="1">
      <alignment horizontal="center"/>
    </xf>
    <xf numFmtId="37" fontId="4" fillId="0" borderId="0" xfId="0" applyFont="1" applyFill="1" applyAlignment="1">
      <alignment horizontal="left" indent="1"/>
    </xf>
    <xf numFmtId="41" fontId="4" fillId="0" borderId="0" xfId="0" applyNumberFormat="1" applyFont="1" applyFill="1" applyBorder="1" applyProtection="1"/>
    <xf numFmtId="0" fontId="5" fillId="0" borderId="0" xfId="240" applyFont="1" applyFill="1" applyAlignment="1">
      <alignment horizontal="center"/>
    </xf>
    <xf numFmtId="41" fontId="4" fillId="0" borderId="0" xfId="240" applyNumberFormat="1" applyFont="1" applyFill="1"/>
    <xf numFmtId="0" fontId="5" fillId="0" borderId="0" xfId="240" applyFont="1" applyAlignment="1">
      <alignment horizontal="left"/>
    </xf>
    <xf numFmtId="37" fontId="4" fillId="0" borderId="0" xfId="240" applyNumberFormat="1" applyFont="1" applyProtection="1"/>
    <xf numFmtId="37" fontId="4" fillId="0" borderId="0" xfId="240" applyNumberFormat="1" applyFont="1" applyFill="1" applyProtection="1"/>
    <xf numFmtId="37" fontId="5" fillId="0" borderId="0" xfId="240" applyNumberFormat="1" applyFont="1" applyAlignment="1">
      <alignment horizontal="left"/>
    </xf>
    <xf numFmtId="37" fontId="5" fillId="0" borderId="0" xfId="240" applyNumberFormat="1" applyFont="1" applyFill="1"/>
    <xf numFmtId="37" fontId="5" fillId="0" borderId="0" xfId="0" applyFont="1" applyAlignment="1">
      <alignment horizontal="center"/>
    </xf>
    <xf numFmtId="37" fontId="5" fillId="0" borderId="0" xfId="0" applyFont="1" applyFill="1" applyAlignment="1">
      <alignment horizontal="center"/>
    </xf>
    <xf numFmtId="37" fontId="5" fillId="0" borderId="0" xfId="240" applyNumberFormat="1" applyFont="1" applyFill="1" applyProtection="1"/>
    <xf numFmtId="37" fontId="4" fillId="0" borderId="0" xfId="0" quotePrefix="1" applyFont="1" applyFill="1" applyAlignment="1">
      <alignment horizontal="center"/>
    </xf>
    <xf numFmtId="0" fontId="4" fillId="0" borderId="0" xfId="0" applyNumberFormat="1" applyFont="1" applyFill="1" applyAlignment="1">
      <alignment horizontal="center"/>
    </xf>
    <xf numFmtId="41" fontId="4" fillId="0" borderId="0" xfId="0" applyNumberFormat="1" applyFont="1" applyFill="1" applyAlignment="1">
      <alignment horizontal="center"/>
    </xf>
    <xf numFmtId="37" fontId="5" fillId="0" borderId="0" xfId="0" applyFont="1" applyFill="1" applyAlignment="1">
      <alignment horizontal="left" indent="2"/>
    </xf>
    <xf numFmtId="0" fontId="5" fillId="0" borderId="0" xfId="0" applyNumberFormat="1" applyFont="1" applyFill="1" applyAlignment="1">
      <alignment horizontal="center"/>
    </xf>
    <xf numFmtId="37" fontId="4" fillId="0" borderId="0" xfId="0" applyFont="1" applyFill="1" applyAlignment="1">
      <alignment horizontal="left" indent="2"/>
    </xf>
    <xf numFmtId="43" fontId="4" fillId="0" borderId="0" xfId="0" applyNumberFormat="1" applyFont="1" applyFill="1"/>
    <xf numFmtId="41" fontId="13" fillId="0" borderId="0" xfId="0" applyNumberFormat="1" applyFont="1"/>
    <xf numFmtId="37" fontId="13" fillId="0" borderId="0" xfId="0" applyFont="1"/>
    <xf numFmtId="41" fontId="13" fillId="0" borderId="0" xfId="0" applyNumberFormat="1" applyFont="1" applyProtection="1"/>
    <xf numFmtId="41" fontId="13" fillId="0" borderId="0" xfId="0" applyNumberFormat="1" applyFont="1" applyFill="1"/>
    <xf numFmtId="41" fontId="13" fillId="0" borderId="0" xfId="0" applyNumberFormat="1" applyFont="1" applyBorder="1" applyProtection="1"/>
    <xf numFmtId="41" fontId="13" fillId="0" borderId="0" xfId="0" applyNumberFormat="1" applyFont="1" applyBorder="1"/>
    <xf numFmtId="37" fontId="13" fillId="0" borderId="0" xfId="0" applyFont="1" applyBorder="1"/>
    <xf numFmtId="37" fontId="13" fillId="0" borderId="0" xfId="0" applyNumberFormat="1" applyFont="1" applyProtection="1"/>
    <xf numFmtId="10" fontId="13" fillId="0" borderId="0" xfId="0" applyNumberFormat="1" applyFont="1" applyProtection="1"/>
    <xf numFmtId="41" fontId="5" fillId="0" borderId="0" xfId="0" applyNumberFormat="1" applyFont="1"/>
    <xf numFmtId="41" fontId="5" fillId="0" borderId="0" xfId="0" applyNumberFormat="1" applyFont="1" applyProtection="1"/>
    <xf numFmtId="0" fontId="4" fillId="0" borderId="0" xfId="222" applyFont="1"/>
    <xf numFmtId="0" fontId="5" fillId="0" borderId="0" xfId="222" applyFont="1"/>
    <xf numFmtId="0" fontId="4" fillId="0" borderId="0" xfId="222" applyFont="1" applyBorder="1"/>
    <xf numFmtId="37" fontId="5" fillId="0" borderId="0" xfId="0" applyFont="1" applyFill="1" applyBorder="1" applyAlignment="1">
      <alignment horizontal="center"/>
    </xf>
    <xf numFmtId="37" fontId="5" fillId="0" borderId="0" xfId="240" applyNumberFormat="1" applyFont="1" applyFill="1" applyAlignment="1" applyProtection="1">
      <alignment horizontal="center"/>
    </xf>
    <xf numFmtId="0" fontId="5" fillId="0" borderId="0" xfId="222" applyFont="1" applyBorder="1" applyAlignment="1">
      <alignment horizontal="center"/>
    </xf>
    <xf numFmtId="0" fontId="5" fillId="0" borderId="0" xfId="222" applyFont="1" applyAlignment="1">
      <alignment horizontal="center"/>
    </xf>
    <xf numFmtId="37" fontId="18" fillId="0" borderId="0" xfId="0" applyFont="1" applyFill="1"/>
    <xf numFmtId="37" fontId="17" fillId="0" borderId="0" xfId="0" applyFont="1" applyFill="1" applyAlignment="1">
      <alignment horizontal="center"/>
    </xf>
    <xf numFmtId="37" fontId="20" fillId="0" borderId="0" xfId="0" applyFont="1"/>
    <xf numFmtId="37" fontId="14" fillId="0" borderId="0" xfId="0" applyFont="1"/>
    <xf numFmtId="37" fontId="14" fillId="0" borderId="0" xfId="0" applyFont="1" applyFill="1"/>
    <xf numFmtId="37" fontId="14" fillId="0" borderId="0" xfId="0" applyFont="1" applyAlignment="1">
      <alignment horizontal="left" indent="1"/>
    </xf>
    <xf numFmtId="42" fontId="14" fillId="0" borderId="0" xfId="0" applyNumberFormat="1" applyFont="1" applyProtection="1"/>
    <xf numFmtId="41" fontId="14" fillId="0" borderId="0" xfId="0" applyNumberFormat="1" applyFont="1" applyProtection="1"/>
    <xf numFmtId="41" fontId="14" fillId="0" borderId="0" xfId="0" applyNumberFormat="1" applyFont="1" applyFill="1" applyProtection="1"/>
    <xf numFmtId="41" fontId="14" fillId="0" borderId="23" xfId="0" applyNumberFormat="1" applyFont="1" applyBorder="1" applyProtection="1"/>
    <xf numFmtId="41" fontId="14" fillId="0" borderId="0" xfId="0" applyNumberFormat="1" applyFont="1" applyFill="1"/>
    <xf numFmtId="41" fontId="14" fillId="0" borderId="0" xfId="0" applyNumberFormat="1" applyFont="1"/>
    <xf numFmtId="37" fontId="18" fillId="0" borderId="0" xfId="0" applyFont="1" applyFill="1" applyBorder="1"/>
    <xf numFmtId="37" fontId="17" fillId="0" borderId="0" xfId="0" applyFont="1" applyFill="1" applyBorder="1" applyAlignment="1">
      <alignment horizontal="center"/>
    </xf>
    <xf numFmtId="37" fontId="14" fillId="0" borderId="0" xfId="0" applyFont="1" applyFill="1" applyAlignment="1">
      <alignment horizontal="left" indent="1"/>
    </xf>
    <xf numFmtId="37" fontId="4" fillId="0" borderId="0" xfId="0" applyNumberFormat="1" applyFont="1" applyFill="1" applyBorder="1" applyProtection="1"/>
    <xf numFmtId="41" fontId="21" fillId="0" borderId="0" xfId="0" applyNumberFormat="1" applyFont="1" applyAlignment="1">
      <alignment horizontal="center"/>
    </xf>
    <xf numFmtId="41" fontId="14" fillId="0" borderId="0" xfId="0" applyNumberFormat="1" applyFont="1" applyAlignment="1">
      <alignment horizontal="center"/>
    </xf>
    <xf numFmtId="14" fontId="14" fillId="0" borderId="0" xfId="0" applyNumberFormat="1" applyFont="1" applyAlignment="1">
      <alignment horizontal="center"/>
    </xf>
    <xf numFmtId="41" fontId="20" fillId="0" borderId="0" xfId="0" applyNumberFormat="1" applyFont="1"/>
    <xf numFmtId="41" fontId="20" fillId="0" borderId="0" xfId="0" applyNumberFormat="1" applyFont="1" applyAlignment="1">
      <alignment horizontal="center"/>
    </xf>
    <xf numFmtId="41" fontId="14" fillId="0" borderId="0" xfId="0" applyNumberFormat="1" applyFont="1" applyBorder="1" applyProtection="1"/>
    <xf numFmtId="41" fontId="14" fillId="0" borderId="23" xfId="0" applyNumberFormat="1" applyFont="1" applyBorder="1"/>
    <xf numFmtId="41" fontId="14" fillId="0" borderId="5" xfId="0" applyNumberFormat="1" applyFont="1" applyBorder="1"/>
    <xf numFmtId="41" fontId="14" fillId="0" borderId="2" xfId="0" applyNumberFormat="1" applyFont="1" applyBorder="1" applyProtection="1"/>
    <xf numFmtId="42" fontId="14" fillId="0" borderId="24" xfId="0" applyNumberFormat="1" applyFont="1" applyBorder="1" applyProtection="1"/>
    <xf numFmtId="37" fontId="14" fillId="0" borderId="0" xfId="0" applyFont="1" applyAlignment="1"/>
    <xf numFmtId="41" fontId="14" fillId="0" borderId="0" xfId="0" applyNumberFormat="1" applyFont="1" applyBorder="1" applyAlignment="1" applyProtection="1"/>
    <xf numFmtId="41" fontId="13" fillId="0" borderId="0" xfId="0" applyNumberFormat="1" applyFont="1" applyAlignment="1"/>
    <xf numFmtId="41" fontId="13" fillId="0" borderId="0" xfId="0" applyNumberFormat="1" applyFont="1" applyBorder="1" applyAlignment="1"/>
    <xf numFmtId="41" fontId="13" fillId="0" borderId="0" xfId="0" applyNumberFormat="1" applyFont="1" applyBorder="1" applyAlignment="1" applyProtection="1"/>
    <xf numFmtId="37" fontId="13" fillId="0" borderId="0" xfId="0" applyNumberFormat="1" applyFont="1" applyBorder="1" applyAlignment="1" applyProtection="1"/>
    <xf numFmtId="37" fontId="13" fillId="0" borderId="0" xfId="0" applyFont="1" applyBorder="1" applyAlignment="1"/>
    <xf numFmtId="37" fontId="13" fillId="0" borderId="0" xfId="0" applyFont="1" applyAlignment="1"/>
    <xf numFmtId="37" fontId="16" fillId="0" borderId="0" xfId="0" applyFont="1" applyFill="1"/>
    <xf numFmtId="37" fontId="5" fillId="0" borderId="23" xfId="0" applyFont="1" applyFill="1" applyBorder="1" applyAlignment="1">
      <alignment horizontal="center"/>
    </xf>
    <xf numFmtId="37" fontId="20" fillId="0" borderId="0" xfId="0" applyFont="1" applyFill="1"/>
    <xf numFmtId="41" fontId="14" fillId="0" borderId="25" xfId="0" applyNumberFormat="1" applyFont="1" applyBorder="1" applyProtection="1"/>
    <xf numFmtId="41" fontId="14" fillId="0" borderId="26" xfId="0" applyNumberFormat="1" applyFont="1" applyBorder="1" applyProtection="1"/>
    <xf numFmtId="37" fontId="16" fillId="0" borderId="23" xfId="0" applyFont="1" applyFill="1" applyBorder="1"/>
    <xf numFmtId="37" fontId="5" fillId="0" borderId="0" xfId="0" quotePrefix="1" applyFont="1" applyFill="1" applyAlignment="1">
      <alignment horizontal="center"/>
    </xf>
    <xf numFmtId="9" fontId="5" fillId="0" borderId="0" xfId="0" applyNumberFormat="1" applyFont="1" applyFill="1" applyAlignment="1">
      <alignment horizontal="center"/>
    </xf>
    <xf numFmtId="0" fontId="14" fillId="0" borderId="0" xfId="240" applyFont="1" applyFill="1"/>
    <xf numFmtId="0" fontId="20" fillId="0" borderId="0" xfId="240" applyFont="1" applyFill="1" applyAlignment="1">
      <alignment horizontal="center"/>
    </xf>
    <xf numFmtId="43" fontId="14" fillId="0" borderId="0" xfId="240" applyNumberFormat="1" applyFont="1" applyFill="1"/>
    <xf numFmtId="14" fontId="14" fillId="0" borderId="0" xfId="240" quotePrefix="1" applyNumberFormat="1" applyFont="1" applyFill="1" applyAlignment="1">
      <alignment horizontal="center"/>
    </xf>
    <xf numFmtId="43" fontId="14" fillId="0" borderId="23" xfId="240" applyNumberFormat="1" applyFont="1" applyFill="1" applyBorder="1"/>
    <xf numFmtId="41" fontId="4" fillId="0" borderId="23" xfId="240" applyNumberFormat="1" applyFont="1" applyFill="1" applyBorder="1"/>
    <xf numFmtId="43" fontId="14" fillId="0" borderId="0" xfId="240" applyNumberFormat="1" applyFont="1" applyFill="1" applyBorder="1"/>
    <xf numFmtId="37" fontId="17" fillId="0" borderId="0" xfId="0" applyFont="1" applyAlignment="1">
      <alignment horizontal="center"/>
    </xf>
    <xf numFmtId="37" fontId="5" fillId="0" borderId="0" xfId="0" applyFont="1" applyAlignment="1">
      <alignment horizontal="justify"/>
    </xf>
    <xf numFmtId="37" fontId="4" fillId="0" borderId="0" xfId="0" applyFont="1" applyAlignment="1">
      <alignment horizontal="justify"/>
    </xf>
    <xf numFmtId="37" fontId="13" fillId="0" borderId="0" xfId="0" applyFont="1" applyAlignment="1">
      <alignment horizontal="justify"/>
    </xf>
    <xf numFmtId="37" fontId="5" fillId="0" borderId="0" xfId="0" applyFont="1" applyAlignment="1"/>
    <xf numFmtId="0" fontId="16" fillId="0" borderId="0" xfId="0" applyNumberFormat="1" applyFont="1" applyFill="1"/>
    <xf numFmtId="0" fontId="5" fillId="0" borderId="0" xfId="240" applyNumberFormat="1" applyFont="1" applyAlignment="1">
      <alignment horizontal="center"/>
    </xf>
    <xf numFmtId="0" fontId="4" fillId="0" borderId="0" xfId="0" applyNumberFormat="1" applyFont="1" applyFill="1"/>
    <xf numFmtId="0" fontId="5" fillId="0" borderId="23" xfId="0" applyNumberFormat="1" applyFont="1" applyFill="1" applyBorder="1" applyAlignment="1">
      <alignment horizontal="center"/>
    </xf>
    <xf numFmtId="0" fontId="4" fillId="0" borderId="0" xfId="0" applyNumberFormat="1" applyFont="1" applyFill="1" applyProtection="1"/>
    <xf numFmtId="0" fontId="4" fillId="0" borderId="0" xfId="0" applyNumberFormat="1" applyFont="1" applyFill="1" applyBorder="1" applyProtection="1"/>
    <xf numFmtId="0" fontId="5" fillId="0" borderId="0" xfId="240" applyFont="1" applyFill="1" applyAlignment="1"/>
    <xf numFmtId="0" fontId="5" fillId="0" borderId="0" xfId="240" applyFont="1" applyFill="1" applyAlignment="1">
      <alignment horizontal="left"/>
    </xf>
    <xf numFmtId="37" fontId="5" fillId="0" borderId="0" xfId="240" applyNumberFormat="1" applyFont="1" applyFill="1" applyAlignment="1">
      <alignment horizontal="center"/>
    </xf>
    <xf numFmtId="37" fontId="5" fillId="0" borderId="0" xfId="240" applyNumberFormat="1" applyFont="1" applyFill="1" applyAlignment="1">
      <alignment horizontal="left"/>
    </xf>
    <xf numFmtId="37" fontId="4" fillId="0" borderId="0" xfId="0" applyFont="1" applyFill="1" applyAlignment="1">
      <alignment horizontal="left"/>
    </xf>
    <xf numFmtId="37" fontId="4" fillId="0" borderId="0" xfId="0" applyFont="1" applyFill="1" applyAlignment="1">
      <alignment horizontal="right"/>
    </xf>
    <xf numFmtId="37" fontId="4" fillId="0" borderId="2" xfId="0" applyFont="1" applyFill="1" applyBorder="1"/>
    <xf numFmtId="0" fontId="4" fillId="0" borderId="0" xfId="240" applyFont="1" applyFill="1" applyAlignment="1">
      <alignment horizontal="center"/>
    </xf>
    <xf numFmtId="37" fontId="0" fillId="0" borderId="0" xfId="0" applyFill="1"/>
    <xf numFmtId="37" fontId="17" fillId="0" borderId="0" xfId="0" applyFont="1" applyFill="1"/>
    <xf numFmtId="37" fontId="4" fillId="0" borderId="0" xfId="0" applyFont="1" applyFill="1" applyBorder="1" applyAlignment="1">
      <alignment horizontal="center"/>
    </xf>
    <xf numFmtId="165" fontId="13" fillId="0" borderId="0" xfId="0" applyNumberFormat="1" applyFont="1"/>
    <xf numFmtId="165" fontId="14" fillId="0" borderId="0" xfId="0" applyNumberFormat="1" applyFont="1"/>
    <xf numFmtId="165" fontId="14" fillId="0" borderId="0" xfId="0" applyNumberFormat="1" applyFont="1" applyAlignment="1">
      <alignment horizontal="center"/>
    </xf>
    <xf numFmtId="165" fontId="13" fillId="0" borderId="0" xfId="0" applyNumberFormat="1" applyFont="1" applyFill="1"/>
    <xf numFmtId="165" fontId="13" fillId="0" borderId="0" xfId="0" applyNumberFormat="1" applyFont="1" applyAlignment="1"/>
    <xf numFmtId="165" fontId="13" fillId="0" borderId="0" xfId="0" applyNumberFormat="1" applyFont="1" applyProtection="1"/>
    <xf numFmtId="0" fontId="17" fillId="0" borderId="0" xfId="319" applyFont="1" applyFill="1" applyAlignment="1">
      <alignment horizontal="center" vertical="top"/>
    </xf>
    <xf numFmtId="0" fontId="7" fillId="0" borderId="0" xfId="319" applyFont="1" applyFill="1" applyAlignment="1">
      <alignment wrapText="1"/>
    </xf>
    <xf numFmtId="0" fontId="4" fillId="0" borderId="0" xfId="307" applyFont="1"/>
    <xf numFmtId="0" fontId="4" fillId="0" borderId="0" xfId="307" applyFont="1" applyBorder="1"/>
    <xf numFmtId="0" fontId="14" fillId="0" borderId="0" xfId="307" applyFont="1"/>
    <xf numFmtId="0" fontId="14" fillId="0" borderId="0" xfId="307" applyFont="1" applyBorder="1"/>
    <xf numFmtId="43" fontId="14" fillId="0" borderId="0" xfId="307" applyNumberFormat="1" applyFont="1"/>
    <xf numFmtId="43" fontId="14" fillId="0" borderId="0" xfId="307" applyNumberFormat="1" applyFont="1" applyBorder="1"/>
    <xf numFmtId="43" fontId="10" fillId="0" borderId="0" xfId="307" applyNumberFormat="1" applyFont="1"/>
    <xf numFmtId="43" fontId="10" fillId="0" borderId="0" xfId="307" applyNumberFormat="1" applyFont="1" applyBorder="1"/>
    <xf numFmtId="0" fontId="10" fillId="0" borderId="0" xfId="307" applyFont="1"/>
    <xf numFmtId="44" fontId="10" fillId="0" borderId="24" xfId="307" applyNumberFormat="1" applyFont="1" applyBorder="1"/>
    <xf numFmtId="0" fontId="19" fillId="0" borderId="0" xfId="307" applyFont="1" applyBorder="1" applyAlignment="1">
      <alignment horizontal="center"/>
    </xf>
    <xf numFmtId="14" fontId="10" fillId="0" borderId="0" xfId="307" applyNumberFormat="1" applyFont="1" applyBorder="1" applyAlignment="1">
      <alignment horizontal="center"/>
    </xf>
    <xf numFmtId="14" fontId="19" fillId="0" borderId="0" xfId="307" applyNumberFormat="1" applyFont="1" applyBorder="1" applyAlignment="1">
      <alignment horizontal="center"/>
    </xf>
    <xf numFmtId="14" fontId="10" fillId="0" borderId="0" xfId="307" applyNumberFormat="1" applyFont="1" applyFill="1" applyBorder="1" applyAlignment="1">
      <alignment horizontal="center"/>
    </xf>
    <xf numFmtId="14" fontId="19" fillId="0" borderId="0" xfId="307" quotePrefix="1" applyNumberFormat="1" applyFont="1" applyBorder="1" applyAlignment="1">
      <alignment horizontal="center"/>
    </xf>
    <xf numFmtId="0" fontId="10" fillId="0" borderId="0" xfId="307" applyFont="1" applyBorder="1" applyAlignment="1">
      <alignment horizontal="center"/>
    </xf>
    <xf numFmtId="0" fontId="10" fillId="0" borderId="0" xfId="307" applyFont="1" applyBorder="1"/>
    <xf numFmtId="0" fontId="12" fillId="0" borderId="0" xfId="307" applyFont="1" applyBorder="1" applyAlignment="1">
      <alignment horizontal="left"/>
    </xf>
    <xf numFmtId="0" fontId="12" fillId="0" borderId="0" xfId="307" applyFont="1" applyAlignment="1">
      <alignment horizontal="center"/>
    </xf>
    <xf numFmtId="0" fontId="10" fillId="0" borderId="0" xfId="307" applyFont="1" applyAlignment="1">
      <alignment horizontal="center"/>
    </xf>
    <xf numFmtId="0" fontId="10" fillId="0" borderId="0" xfId="307" applyFont="1" applyFill="1"/>
    <xf numFmtId="0" fontId="10" fillId="0" borderId="0" xfId="307" quotePrefix="1" applyFont="1" applyFill="1" applyAlignment="1">
      <alignment horizontal="right"/>
    </xf>
    <xf numFmtId="37" fontId="5" fillId="0" borderId="0" xfId="307" applyNumberFormat="1" applyFont="1" applyAlignment="1">
      <alignment horizontal="center"/>
    </xf>
    <xf numFmtId="37" fontId="5" fillId="0" borderId="0" xfId="307" applyNumberFormat="1" applyFont="1" applyBorder="1" applyAlignment="1">
      <alignment horizontal="center"/>
    </xf>
    <xf numFmtId="0" fontId="5" fillId="0" borderId="0" xfId="307" applyFont="1"/>
    <xf numFmtId="0" fontId="5" fillId="0" borderId="0" xfId="307" applyFont="1" applyBorder="1"/>
    <xf numFmtId="37" fontId="5" fillId="0" borderId="0" xfId="307" applyNumberFormat="1" applyFont="1"/>
    <xf numFmtId="0" fontId="4" fillId="0" borderId="0" xfId="307" applyFont="1" applyFill="1"/>
    <xf numFmtId="43" fontId="4" fillId="0" borderId="0" xfId="307" applyNumberFormat="1" applyFont="1"/>
    <xf numFmtId="39" fontId="4" fillId="0" borderId="0" xfId="307" applyNumberFormat="1" applyFont="1" applyFill="1" applyProtection="1"/>
    <xf numFmtId="43" fontId="4" fillId="0" borderId="0" xfId="307" applyNumberFormat="1" applyFont="1" applyProtection="1"/>
    <xf numFmtId="39" fontId="4" fillId="0" borderId="0" xfId="307" applyNumberFormat="1" applyFont="1" applyProtection="1"/>
    <xf numFmtId="43" fontId="4" fillId="0" borderId="0" xfId="307" applyNumberFormat="1" applyFont="1" applyFill="1" applyProtection="1"/>
    <xf numFmtId="43" fontId="4" fillId="0" borderId="0" xfId="307" applyNumberFormat="1" applyFont="1" applyBorder="1"/>
    <xf numFmtId="43" fontId="4" fillId="0" borderId="0" xfId="307" applyNumberFormat="1" applyFont="1" applyFill="1"/>
    <xf numFmtId="43" fontId="4" fillId="0" borderId="24" xfId="307" applyNumberFormat="1" applyFont="1" applyBorder="1" applyProtection="1"/>
    <xf numFmtId="43" fontId="4" fillId="0" borderId="0" xfId="307" applyNumberFormat="1" applyFont="1" applyBorder="1" applyProtection="1"/>
    <xf numFmtId="44" fontId="4" fillId="0" borderId="24" xfId="307" applyNumberFormat="1" applyFont="1" applyFill="1" applyBorder="1" applyProtection="1"/>
    <xf numFmtId="0" fontId="5" fillId="0" borderId="0" xfId="307" applyFont="1" applyFill="1"/>
    <xf numFmtId="43" fontId="4" fillId="0" borderId="0" xfId="307" applyNumberFormat="1" applyFont="1" applyFill="1" applyBorder="1" applyProtection="1"/>
    <xf numFmtId="10" fontId="4" fillId="0" borderId="0" xfId="307" applyNumberFormat="1" applyFont="1" applyFill="1" applyBorder="1" applyProtection="1"/>
    <xf numFmtId="0" fontId="4" fillId="0" borderId="0" xfId="307" applyFont="1" applyFill="1" applyAlignment="1">
      <alignment horizontal="center"/>
    </xf>
    <xf numFmtId="9" fontId="4" fillId="0" borderId="0" xfId="307" applyNumberFormat="1" applyFont="1" applyFill="1" applyProtection="1"/>
    <xf numFmtId="10" fontId="4" fillId="0" borderId="0" xfId="307" applyNumberFormat="1" applyFont="1" applyFill="1" applyProtection="1"/>
    <xf numFmtId="44" fontId="4" fillId="0" borderId="0" xfId="307" applyNumberFormat="1" applyFont="1" applyFill="1" applyBorder="1" applyProtection="1"/>
    <xf numFmtId="43" fontId="4" fillId="0" borderId="24" xfId="307" applyNumberFormat="1" applyFont="1" applyFill="1" applyBorder="1" applyProtection="1"/>
    <xf numFmtId="10" fontId="4" fillId="0" borderId="0" xfId="307" applyNumberFormat="1" applyFont="1" applyBorder="1" applyProtection="1"/>
    <xf numFmtId="0" fontId="4" fillId="0" borderId="0" xfId="307" applyFont="1" applyFill="1" applyAlignment="1">
      <alignment horizontal="right"/>
    </xf>
    <xf numFmtId="43" fontId="4" fillId="0" borderId="23" xfId="307" applyNumberFormat="1" applyFont="1" applyFill="1" applyBorder="1" applyProtection="1"/>
    <xf numFmtId="10" fontId="4" fillId="0" borderId="0" xfId="307" applyNumberFormat="1" applyFont="1" applyProtection="1"/>
    <xf numFmtId="43" fontId="4" fillId="0" borderId="0" xfId="307" applyNumberFormat="1" applyFont="1" applyFill="1" applyBorder="1"/>
    <xf numFmtId="10" fontId="4" fillId="0" borderId="0" xfId="307" applyNumberFormat="1" applyFont="1" applyFill="1" applyBorder="1"/>
    <xf numFmtId="43" fontId="4" fillId="0" borderId="23" xfId="307" applyNumberFormat="1" applyFont="1" applyBorder="1" applyProtection="1"/>
    <xf numFmtId="0" fontId="4" fillId="0" borderId="0" xfId="307" applyFont="1" applyAlignment="1">
      <alignment horizontal="fill"/>
    </xf>
    <xf numFmtId="0" fontId="4" fillId="0" borderId="0" xfId="307" applyFont="1" applyFill="1" applyAlignment="1">
      <alignment horizontal="left"/>
    </xf>
    <xf numFmtId="43" fontId="4" fillId="0" borderId="26" xfId="307" applyNumberFormat="1" applyFont="1" applyFill="1" applyBorder="1" applyProtection="1"/>
    <xf numFmtId="39" fontId="4" fillId="0" borderId="0" xfId="307" applyNumberFormat="1" applyFont="1" applyFill="1" applyBorder="1" applyProtection="1"/>
    <xf numFmtId="0" fontId="4" fillId="0" borderId="0" xfId="307" applyFont="1" applyFill="1" applyAlignment="1">
      <alignment horizontal="fill"/>
    </xf>
    <xf numFmtId="0" fontId="4" fillId="0" borderId="0" xfId="307" applyFont="1" applyAlignment="1">
      <alignment horizontal="center"/>
    </xf>
    <xf numFmtId="0" fontId="4" fillId="0" borderId="23" xfId="307" applyFont="1" applyBorder="1" applyAlignment="1">
      <alignment horizontal="center"/>
    </xf>
    <xf numFmtId="14" fontId="4" fillId="0" borderId="23" xfId="307" quotePrefix="1" applyNumberFormat="1" applyFont="1" applyFill="1" applyBorder="1" applyAlignment="1">
      <alignment horizontal="center"/>
    </xf>
    <xf numFmtId="14" fontId="4" fillId="0" borderId="23" xfId="307" applyNumberFormat="1" applyFont="1" applyFill="1" applyBorder="1" applyAlignment="1">
      <alignment horizontal="center"/>
    </xf>
    <xf numFmtId="0" fontId="4" fillId="0" borderId="23" xfId="307" applyFont="1" applyFill="1" applyBorder="1" applyAlignment="1">
      <alignment horizontal="center"/>
    </xf>
    <xf numFmtId="0" fontId="5" fillId="0" borderId="0" xfId="307" applyFont="1" applyFill="1" applyBorder="1" applyAlignment="1">
      <alignment horizontal="left"/>
    </xf>
    <xf numFmtId="166" fontId="4" fillId="0" borderId="0" xfId="307" quotePrefix="1" applyNumberFormat="1" applyFont="1" applyFill="1" applyAlignment="1" applyProtection="1">
      <alignment horizontal="left"/>
    </xf>
    <xf numFmtId="37" fontId="5" fillId="0" borderId="0" xfId="307" applyNumberFormat="1" applyFont="1" applyFill="1" applyAlignment="1">
      <alignment horizontal="center"/>
    </xf>
    <xf numFmtId="37" fontId="5" fillId="0" borderId="0" xfId="307" applyNumberFormat="1" applyFont="1" applyFill="1"/>
    <xf numFmtId="0" fontId="20" fillId="0" borderId="0" xfId="240" applyFont="1" applyFill="1"/>
    <xf numFmtId="0" fontId="20" fillId="0" borderId="0" xfId="240" applyFont="1" applyFill="1" applyAlignment="1">
      <alignment horizontal="right"/>
    </xf>
    <xf numFmtId="43" fontId="20" fillId="0" borderId="0" xfId="240" applyNumberFormat="1" applyFont="1" applyFill="1"/>
    <xf numFmtId="0" fontId="4" fillId="0" borderId="0" xfId="240" applyFont="1" applyFill="1" applyAlignment="1">
      <alignment horizontal="left"/>
    </xf>
    <xf numFmtId="0" fontId="16" fillId="0" borderId="0" xfId="0" applyNumberFormat="1" applyFont="1" applyFill="1" applyBorder="1"/>
    <xf numFmtId="37" fontId="16" fillId="0" borderId="0" xfId="0" applyFont="1" applyFill="1" applyBorder="1"/>
    <xf numFmtId="0" fontId="4" fillId="0" borderId="0" xfId="0" applyNumberFormat="1" applyFont="1" applyFill="1" applyBorder="1"/>
    <xf numFmtId="0" fontId="4"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37" fontId="10" fillId="0" borderId="0" xfId="0" applyFont="1" applyFill="1" applyAlignment="1">
      <alignment horizontal="left"/>
    </xf>
    <xf numFmtId="43" fontId="4" fillId="0" borderId="0" xfId="0" applyNumberFormat="1" applyFont="1" applyFill="1" applyBorder="1" applyProtection="1"/>
    <xf numFmtId="37" fontId="5" fillId="0" borderId="27" xfId="0" applyFont="1" applyFill="1" applyBorder="1"/>
    <xf numFmtId="37" fontId="5" fillId="0" borderId="18" xfId="0" applyFont="1" applyFill="1" applyBorder="1"/>
    <xf numFmtId="164" fontId="5" fillId="0" borderId="18" xfId="0" applyNumberFormat="1" applyFont="1" applyFill="1" applyBorder="1"/>
    <xf numFmtId="37" fontId="5" fillId="0" borderId="28" xfId="0" applyFont="1" applyFill="1" applyBorder="1"/>
    <xf numFmtId="37" fontId="5" fillId="0" borderId="0" xfId="0" applyFont="1" applyFill="1" applyBorder="1"/>
    <xf numFmtId="37" fontId="4" fillId="0" borderId="0" xfId="0" applyFont="1" applyFill="1" applyBorder="1" applyAlignment="1">
      <alignment horizontal="left" indent="1"/>
    </xf>
    <xf numFmtId="0" fontId="123" fillId="0" borderId="0" xfId="282"/>
    <xf numFmtId="37" fontId="4" fillId="0" borderId="0" xfId="316" applyFont="1" applyFill="1"/>
    <xf numFmtId="41" fontId="123" fillId="0" borderId="0" xfId="282" applyNumberFormat="1"/>
    <xf numFmtId="0" fontId="12" fillId="0" borderId="0" xfId="216" applyFont="1" applyFill="1"/>
    <xf numFmtId="43" fontId="10" fillId="0" borderId="0" xfId="216" applyNumberFormat="1" applyFont="1" applyFill="1"/>
    <xf numFmtId="0" fontId="10" fillId="0" borderId="0" xfId="216" applyFont="1" applyFill="1"/>
    <xf numFmtId="43" fontId="10" fillId="0" borderId="0" xfId="216" quotePrefix="1" applyNumberFormat="1" applyFont="1" applyFill="1" applyAlignment="1">
      <alignment horizontal="center"/>
    </xf>
    <xf numFmtId="49" fontId="10" fillId="0" borderId="0" xfId="216" applyNumberFormat="1" applyFont="1" applyFill="1" applyAlignment="1">
      <alignment horizontal="center"/>
    </xf>
    <xf numFmtId="43" fontId="10" fillId="0" borderId="0" xfId="216" applyNumberFormat="1" applyFont="1" applyFill="1" applyAlignment="1">
      <alignment horizontal="center"/>
    </xf>
    <xf numFmtId="49" fontId="10" fillId="0" borderId="0" xfId="216" applyNumberFormat="1" applyFont="1" applyFill="1" applyAlignment="1">
      <alignment horizontal="left"/>
    </xf>
    <xf numFmtId="43" fontId="10" fillId="0" borderId="0" xfId="216" applyNumberFormat="1" applyFont="1" applyFill="1" applyAlignment="1">
      <alignment horizontal="right"/>
    </xf>
    <xf numFmtId="43" fontId="10" fillId="0" borderId="0" xfId="282" applyNumberFormat="1" applyFont="1" applyFill="1" applyAlignment="1">
      <alignment horizontal="right"/>
    </xf>
    <xf numFmtId="49" fontId="9" fillId="0" borderId="0" xfId="216" applyNumberFormat="1" applyFont="1" applyFill="1" applyAlignment="1">
      <alignment horizontal="left"/>
    </xf>
    <xf numFmtId="43" fontId="9" fillId="0" borderId="2" xfId="216" applyNumberFormat="1" applyFont="1" applyFill="1" applyBorder="1" applyAlignment="1">
      <alignment horizontal="right"/>
    </xf>
    <xf numFmtId="43" fontId="9" fillId="0" borderId="0" xfId="216" applyNumberFormat="1" applyFont="1" applyFill="1"/>
    <xf numFmtId="0" fontId="9" fillId="0" borderId="0" xfId="216" applyFont="1" applyFill="1"/>
    <xf numFmtId="43" fontId="10" fillId="0" borderId="29" xfId="216" applyNumberFormat="1" applyFont="1" applyFill="1" applyBorder="1" applyAlignment="1">
      <alignment horizontal="right"/>
    </xf>
    <xf numFmtId="43" fontId="123" fillId="0" borderId="0" xfId="282" applyNumberFormat="1" applyFill="1"/>
    <xf numFmtId="37" fontId="4" fillId="0" borderId="0" xfId="0" applyFont="1" applyAlignment="1">
      <alignment wrapText="1"/>
    </xf>
    <xf numFmtId="37" fontId="4" fillId="0" borderId="0" xfId="0" quotePrefix="1" applyFont="1" applyAlignment="1">
      <alignment wrapText="1"/>
    </xf>
    <xf numFmtId="164" fontId="4" fillId="0" borderId="0" xfId="0" applyNumberFormat="1" applyFont="1"/>
    <xf numFmtId="0" fontId="75" fillId="0" borderId="0" xfId="282" applyFont="1"/>
    <xf numFmtId="0" fontId="75" fillId="0" borderId="0" xfId="226" applyFont="1"/>
    <xf numFmtId="0" fontId="75" fillId="0" borderId="0" xfId="282" applyFont="1" applyFill="1"/>
    <xf numFmtId="43" fontId="75" fillId="0" borderId="0" xfId="226" applyNumberFormat="1" applyFont="1" applyFill="1"/>
    <xf numFmtId="0" fontId="75" fillId="0" borderId="0" xfId="226" applyFont="1" applyFill="1"/>
    <xf numFmtId="167" fontId="75" fillId="0" borderId="0" xfId="226" applyNumberFormat="1" applyFont="1" applyFill="1"/>
    <xf numFmtId="43" fontId="75" fillId="0" borderId="5" xfId="226" applyNumberFormat="1" applyFont="1" applyFill="1" applyBorder="1"/>
    <xf numFmtId="43" fontId="75" fillId="0" borderId="0" xfId="282" applyNumberFormat="1" applyFont="1" applyFill="1"/>
    <xf numFmtId="0" fontId="76" fillId="0" borderId="0" xfId="226" applyFont="1"/>
    <xf numFmtId="44" fontId="76" fillId="0" borderId="29" xfId="226" applyNumberFormat="1" applyFont="1" applyBorder="1"/>
    <xf numFmtId="43" fontId="14" fillId="0" borderId="5" xfId="240" applyNumberFormat="1" applyFont="1" applyFill="1" applyBorder="1"/>
    <xf numFmtId="44" fontId="14" fillId="0" borderId="24" xfId="240" applyNumberFormat="1" applyFont="1" applyFill="1" applyBorder="1"/>
    <xf numFmtId="0" fontId="4" fillId="0" borderId="0" xfId="240" applyFont="1" applyFill="1" applyBorder="1"/>
    <xf numFmtId="37" fontId="5" fillId="0" borderId="0" xfId="240" applyNumberFormat="1" applyFont="1" applyFill="1" applyBorder="1" applyAlignment="1" applyProtection="1">
      <alignment horizontal="center"/>
    </xf>
    <xf numFmtId="41" fontId="4" fillId="0" borderId="0" xfId="240" applyNumberFormat="1" applyFont="1" applyFill="1" applyBorder="1"/>
    <xf numFmtId="41" fontId="4" fillId="0" borderId="0" xfId="240" applyNumberFormat="1" applyFont="1" applyFill="1" applyBorder="1" applyProtection="1"/>
    <xf numFmtId="41" fontId="4" fillId="0" borderId="0" xfId="240" applyNumberFormat="1" applyFont="1" applyFill="1" applyBorder="1" applyAlignment="1">
      <alignment horizontal="center"/>
    </xf>
    <xf numFmtId="0" fontId="20" fillId="0" borderId="0" xfId="240" applyFont="1" applyFill="1" applyBorder="1" applyAlignment="1">
      <alignment horizontal="center"/>
    </xf>
    <xf numFmtId="0" fontId="20" fillId="0" borderId="0" xfId="240" applyFont="1" applyFill="1" applyBorder="1"/>
    <xf numFmtId="43" fontId="30" fillId="0" borderId="0" xfId="240" applyNumberFormat="1" applyFont="1" applyFill="1" applyAlignment="1">
      <alignment horizontal="center"/>
    </xf>
    <xf numFmtId="0" fontId="21" fillId="0" borderId="0" xfId="240" applyFont="1" applyFill="1" applyAlignment="1">
      <alignment horizontal="center"/>
    </xf>
    <xf numFmtId="42" fontId="4" fillId="0" borderId="0" xfId="240" applyNumberFormat="1" applyFont="1" applyFill="1"/>
    <xf numFmtId="42" fontId="4" fillId="0" borderId="24" xfId="240" applyNumberFormat="1" applyFont="1" applyFill="1" applyBorder="1" applyProtection="1"/>
    <xf numFmtId="42" fontId="4" fillId="0" borderId="0" xfId="240" applyNumberFormat="1" applyFont="1" applyFill="1" applyProtection="1"/>
    <xf numFmtId="0" fontId="75" fillId="0" borderId="0" xfId="282" applyFont="1" applyBorder="1"/>
    <xf numFmtId="0" fontId="75" fillId="0" borderId="0" xfId="226" applyFont="1" applyBorder="1"/>
    <xf numFmtId="0" fontId="75" fillId="0" borderId="0" xfId="226" applyFont="1" applyBorder="1" applyAlignment="1">
      <alignment horizontal="right"/>
    </xf>
    <xf numFmtId="0" fontId="75" fillId="0" borderId="0" xfId="226" applyFont="1" applyFill="1" applyBorder="1" applyAlignment="1">
      <alignment horizontal="right"/>
    </xf>
    <xf numFmtId="0" fontId="76" fillId="0" borderId="0" xfId="226" applyFont="1" applyBorder="1"/>
    <xf numFmtId="0" fontId="78" fillId="0" borderId="0" xfId="226" applyFont="1" applyAlignment="1">
      <alignment horizontal="center"/>
    </xf>
    <xf numFmtId="0" fontId="78" fillId="0" borderId="0" xfId="226" applyFont="1" applyBorder="1" applyAlignment="1">
      <alignment horizontal="center"/>
    </xf>
    <xf numFmtId="43" fontId="77" fillId="0" borderId="0" xfId="282" applyNumberFormat="1" applyFont="1"/>
    <xf numFmtId="0" fontId="77" fillId="0" borderId="0" xfId="226" applyFont="1" applyAlignment="1">
      <alignment horizontal="center"/>
    </xf>
    <xf numFmtId="43" fontId="78" fillId="0" borderId="0" xfId="226" applyNumberFormat="1" applyFont="1" applyAlignment="1">
      <alignment horizontal="center"/>
    </xf>
    <xf numFmtId="0" fontId="79" fillId="0" borderId="0" xfId="226" applyFont="1" applyAlignment="1">
      <alignment horizontal="center"/>
    </xf>
    <xf numFmtId="0" fontId="79" fillId="0" borderId="0" xfId="226" applyFont="1" applyBorder="1" applyAlignment="1">
      <alignment horizontal="center"/>
    </xf>
    <xf numFmtId="43" fontId="79" fillId="0" borderId="0" xfId="226" applyNumberFormat="1" applyFont="1" applyFill="1" applyAlignment="1">
      <alignment horizontal="center"/>
    </xf>
    <xf numFmtId="0" fontId="80" fillId="0" borderId="0" xfId="226" applyFont="1" applyFill="1" applyAlignment="1">
      <alignment horizontal="center"/>
    </xf>
    <xf numFmtId="37" fontId="5" fillId="0" borderId="0" xfId="240" applyNumberFormat="1" applyFont="1" applyFill="1" applyBorder="1" applyAlignment="1">
      <alignment horizontal="center"/>
    </xf>
    <xf numFmtId="0" fontId="14" fillId="0" borderId="0" xfId="240" applyFont="1" applyFill="1" applyBorder="1"/>
    <xf numFmtId="0" fontId="21" fillId="0" borderId="0" xfId="240" applyFont="1" applyFill="1" applyBorder="1" applyAlignment="1">
      <alignment horizontal="center"/>
    </xf>
    <xf numFmtId="44" fontId="14" fillId="0" borderId="0" xfId="240" applyNumberFormat="1" applyFont="1" applyFill="1" applyBorder="1"/>
    <xf numFmtId="14" fontId="14" fillId="0" borderId="0" xfId="240" quotePrefix="1" applyNumberFormat="1" applyFont="1" applyFill="1" applyAlignment="1">
      <alignment horizontal="right"/>
    </xf>
    <xf numFmtId="37" fontId="15" fillId="0" borderId="0" xfId="0" applyFont="1" applyFill="1" applyBorder="1" applyAlignment="1">
      <alignment horizontal="center"/>
    </xf>
    <xf numFmtId="0" fontId="22" fillId="0" borderId="0" xfId="0" applyNumberFormat="1" applyFont="1" applyFill="1" applyBorder="1" applyAlignment="1"/>
    <xf numFmtId="0" fontId="14" fillId="0" borderId="0" xfId="240" applyFont="1"/>
    <xf numFmtId="0" fontId="20" fillId="0" borderId="0" xfId="240" applyFont="1" applyAlignment="1">
      <alignment horizontal="center"/>
    </xf>
    <xf numFmtId="14" fontId="21" fillId="0" borderId="0" xfId="240" applyNumberFormat="1" applyFont="1" applyAlignment="1">
      <alignment horizontal="center"/>
    </xf>
    <xf numFmtId="0" fontId="21" fillId="0" borderId="0" xfId="240" applyFont="1" applyAlignment="1">
      <alignment horizontal="center"/>
    </xf>
    <xf numFmtId="0" fontId="31" fillId="0" borderId="0" xfId="240" applyFont="1" applyAlignment="1">
      <alignment horizontal="center"/>
    </xf>
    <xf numFmtId="37" fontId="4" fillId="0" borderId="0" xfId="0" applyFont="1" applyAlignment="1">
      <alignment vertical="center"/>
    </xf>
    <xf numFmtId="0" fontId="4" fillId="0" borderId="0" xfId="307" applyNumberFormat="1" applyFont="1"/>
    <xf numFmtId="0" fontId="4" fillId="0" borderId="0" xfId="307" applyNumberFormat="1" applyFont="1" applyProtection="1"/>
    <xf numFmtId="0" fontId="4" fillId="0" borderId="0" xfId="307" applyNumberFormat="1" applyFont="1" applyFill="1"/>
    <xf numFmtId="0" fontId="4" fillId="0" borderId="0" xfId="307" applyNumberFormat="1" applyFont="1" applyFill="1" applyProtection="1"/>
    <xf numFmtId="37" fontId="2" fillId="0" borderId="0" xfId="0" applyFont="1" applyAlignment="1">
      <alignment horizontal="center"/>
    </xf>
    <xf numFmtId="37" fontId="35" fillId="0" borderId="0" xfId="0" applyFont="1"/>
    <xf numFmtId="37" fontId="36" fillId="0" borderId="0" xfId="0" applyFont="1"/>
    <xf numFmtId="37" fontId="36" fillId="0" borderId="0" xfId="0" applyFont="1" applyAlignment="1"/>
    <xf numFmtId="171" fontId="0" fillId="0" borderId="0" xfId="78" applyNumberFormat="1" applyFont="1"/>
    <xf numFmtId="37" fontId="20" fillId="0" borderId="0" xfId="0" applyFont="1" applyFill="1" applyAlignment="1">
      <alignment horizontal="right" indent="1"/>
    </xf>
    <xf numFmtId="171" fontId="2" fillId="0" borderId="7" xfId="78" applyNumberFormat="1" applyFont="1" applyBorder="1"/>
    <xf numFmtId="37" fontId="20" fillId="0" borderId="0" xfId="0" applyFont="1" applyFill="1" applyAlignment="1">
      <alignment horizontal="right"/>
    </xf>
    <xf numFmtId="9" fontId="0" fillId="0" borderId="0" xfId="324" applyFont="1"/>
    <xf numFmtId="37" fontId="36" fillId="0" borderId="0" xfId="0" applyFont="1" applyFill="1" applyBorder="1"/>
    <xf numFmtId="37" fontId="37" fillId="0" borderId="0" xfId="0" applyFont="1" applyFill="1" applyBorder="1" applyAlignment="1">
      <alignment horizontal="center"/>
    </xf>
    <xf numFmtId="37" fontId="35" fillId="0" borderId="5" xfId="0" applyFont="1" applyBorder="1" applyAlignment="1">
      <alignment horizontal="center"/>
    </xf>
    <xf numFmtId="171" fontId="35" fillId="0" borderId="0" xfId="78" applyNumberFormat="1" applyFont="1"/>
    <xf numFmtId="37" fontId="36" fillId="0" borderId="0" xfId="0" applyFont="1" applyFill="1"/>
    <xf numFmtId="37" fontId="37" fillId="0" borderId="0" xfId="0" applyFont="1" applyFill="1" applyAlignment="1">
      <alignment horizontal="center"/>
    </xf>
    <xf numFmtId="0" fontId="83" fillId="0" borderId="0" xfId="319" applyFont="1" applyFill="1"/>
    <xf numFmtId="0" fontId="83" fillId="0" borderId="0" xfId="319" applyFont="1" applyFill="1" applyAlignment="1"/>
    <xf numFmtId="37" fontId="41" fillId="0" borderId="0" xfId="0" applyFont="1" applyFill="1"/>
    <xf numFmtId="0" fontId="7" fillId="0" borderId="0" xfId="319" applyFill="1" applyAlignment="1"/>
    <xf numFmtId="0" fontId="4" fillId="0" borderId="0" xfId="319" applyFont="1" applyFill="1" applyAlignment="1"/>
    <xf numFmtId="0" fontId="82" fillId="0" borderId="0" xfId="319" applyFont="1" applyFill="1" applyAlignment="1">
      <alignment wrapText="1"/>
    </xf>
    <xf numFmtId="14" fontId="123" fillId="0" borderId="0" xfId="282" applyNumberFormat="1"/>
    <xf numFmtId="171" fontId="35" fillId="0" borderId="0" xfId="78" applyNumberFormat="1" applyFont="1" applyFill="1"/>
    <xf numFmtId="41" fontId="84" fillId="0" borderId="0" xfId="0" applyNumberFormat="1" applyFont="1" applyFill="1"/>
    <xf numFmtId="171" fontId="7" fillId="0" borderId="0" xfId="78" applyNumberFormat="1" applyFont="1" applyFill="1"/>
    <xf numFmtId="0" fontId="82" fillId="0" borderId="0" xfId="307" applyFont="1" applyFill="1"/>
    <xf numFmtId="0" fontId="82" fillId="0" borderId="0" xfId="282" applyFont="1"/>
    <xf numFmtId="0" fontId="82" fillId="0" borderId="0" xfId="282" applyFont="1" applyBorder="1"/>
    <xf numFmtId="0" fontId="82" fillId="0" borderId="0" xfId="282" applyFont="1" applyFill="1"/>
    <xf numFmtId="0" fontId="5" fillId="0" borderId="0" xfId="282" applyFont="1" applyFill="1"/>
    <xf numFmtId="167" fontId="82" fillId="0" borderId="0" xfId="282" applyNumberFormat="1" applyFont="1"/>
    <xf numFmtId="173" fontId="82" fillId="0" borderId="0" xfId="282" applyNumberFormat="1" applyFont="1" applyBorder="1"/>
    <xf numFmtId="0" fontId="81" fillId="0" borderId="0" xfId="282" applyFont="1" applyBorder="1"/>
    <xf numFmtId="0" fontId="85" fillId="0" borderId="0" xfId="282" applyFont="1"/>
    <xf numFmtId="0" fontId="83" fillId="0" borderId="0" xfId="282" applyFont="1"/>
    <xf numFmtId="0" fontId="83" fillId="0" borderId="0" xfId="282" applyFont="1" applyBorder="1"/>
    <xf numFmtId="171" fontId="86" fillId="0" borderId="0" xfId="78" applyNumberFormat="1" applyFont="1" applyBorder="1" applyAlignment="1">
      <alignment vertical="center" wrapText="1"/>
    </xf>
    <xf numFmtId="2" fontId="83" fillId="0" borderId="0" xfId="282" applyNumberFormat="1" applyFont="1"/>
    <xf numFmtId="0" fontId="82" fillId="0" borderId="0" xfId="307" applyNumberFormat="1" applyFont="1" applyFill="1"/>
    <xf numFmtId="44" fontId="4" fillId="0" borderId="0" xfId="307" applyNumberFormat="1" applyFont="1"/>
    <xf numFmtId="37" fontId="2" fillId="0" borderId="0" xfId="0" applyFont="1" applyFill="1" applyAlignment="1">
      <alignment horizontal="center"/>
    </xf>
    <xf numFmtId="171" fontId="0" fillId="0" borderId="0" xfId="78" applyNumberFormat="1" applyFont="1" applyFill="1"/>
    <xf numFmtId="171" fontId="2" fillId="0" borderId="7" xfId="78" applyNumberFormat="1" applyFont="1" applyFill="1" applyBorder="1"/>
    <xf numFmtId="37" fontId="35" fillId="0" borderId="0" xfId="0" applyFont="1" applyBorder="1" applyAlignment="1">
      <alignment horizontal="center"/>
    </xf>
    <xf numFmtId="0" fontId="124" fillId="0" borderId="0" xfId="195" applyFont="1"/>
    <xf numFmtId="0" fontId="124" fillId="0" borderId="0" xfId="195" applyFont="1" applyAlignment="1">
      <alignment horizontal="center"/>
    </xf>
    <xf numFmtId="0" fontId="124" fillId="0" borderId="5" xfId="195" applyFont="1" applyBorder="1"/>
    <xf numFmtId="0" fontId="124" fillId="0" borderId="5" xfId="195" applyFont="1" applyBorder="1" applyAlignment="1">
      <alignment horizontal="center"/>
    </xf>
    <xf numFmtId="0" fontId="124" fillId="0" borderId="0" xfId="195" applyFont="1" applyAlignment="1">
      <alignment horizontal="right"/>
    </xf>
    <xf numFmtId="2" fontId="124" fillId="0" borderId="0" xfId="195" applyNumberFormat="1" applyFont="1"/>
    <xf numFmtId="4" fontId="124" fillId="0" borderId="0" xfId="195" applyNumberFormat="1" applyFont="1"/>
    <xf numFmtId="0" fontId="124" fillId="0" borderId="5" xfId="195" applyFont="1" applyBorder="1" applyAlignment="1">
      <alignment horizontal="right"/>
    </xf>
    <xf numFmtId="2" fontId="124" fillId="0" borderId="5" xfId="195" applyNumberFormat="1" applyFont="1" applyBorder="1"/>
    <xf numFmtId="4" fontId="124" fillId="0" borderId="5" xfId="195" applyNumberFormat="1" applyFont="1" applyBorder="1"/>
    <xf numFmtId="0" fontId="125" fillId="0" borderId="0" xfId="195" applyFont="1"/>
    <xf numFmtId="43" fontId="125" fillId="0" borderId="0" xfId="195" applyNumberFormat="1" applyFont="1"/>
    <xf numFmtId="43" fontId="124" fillId="0" borderId="0" xfId="101" applyFont="1"/>
    <xf numFmtId="0" fontId="125" fillId="0" borderId="0" xfId="195" applyFont="1" applyBorder="1"/>
    <xf numFmtId="43" fontId="125" fillId="0" borderId="0" xfId="195" applyNumberFormat="1" applyFont="1" applyBorder="1"/>
    <xf numFmtId="43" fontId="124" fillId="0" borderId="0" xfId="195" applyNumberFormat="1" applyFont="1"/>
    <xf numFmtId="0" fontId="126" fillId="0" borderId="0" xfId="195" applyFont="1" applyBorder="1"/>
    <xf numFmtId="1" fontId="126" fillId="0" borderId="0" xfId="195" applyNumberFormat="1" applyFont="1" applyBorder="1"/>
    <xf numFmtId="0" fontId="124" fillId="0" borderId="22" xfId="195" applyFont="1" applyBorder="1"/>
    <xf numFmtId="0" fontId="124" fillId="0" borderId="0" xfId="195" applyFont="1" applyBorder="1"/>
    <xf numFmtId="0" fontId="124" fillId="0" borderId="36" xfId="195" applyFont="1" applyBorder="1"/>
    <xf numFmtId="0" fontId="124" fillId="0" borderId="37" xfId="195" applyFont="1" applyBorder="1"/>
    <xf numFmtId="0" fontId="124" fillId="0" borderId="17" xfId="195" applyFont="1" applyBorder="1"/>
    <xf numFmtId="0" fontId="124" fillId="0" borderId="38" xfId="195" applyFont="1" applyBorder="1"/>
    <xf numFmtId="43" fontId="0" fillId="0" borderId="0" xfId="101" applyFont="1"/>
    <xf numFmtId="37" fontId="0" fillId="0" borderId="5" xfId="0" applyBorder="1"/>
    <xf numFmtId="0" fontId="124" fillId="0" borderId="0" xfId="195" applyFont="1" applyFill="1"/>
    <xf numFmtId="0" fontId="124" fillId="0" borderId="0" xfId="195" applyFont="1" applyFill="1" applyBorder="1"/>
    <xf numFmtId="0" fontId="124" fillId="0" borderId="0" xfId="195" applyFont="1" applyFill="1" applyBorder="1" applyAlignment="1">
      <alignment horizontal="center"/>
    </xf>
    <xf numFmtId="43" fontId="124" fillId="0" borderId="0" xfId="195" applyNumberFormat="1" applyFont="1" applyFill="1"/>
    <xf numFmtId="43" fontId="124" fillId="0" borderId="0" xfId="195" applyNumberFormat="1" applyFont="1" applyFill="1" applyBorder="1"/>
    <xf numFmtId="0" fontId="127" fillId="0" borderId="0" xfId="282" applyFont="1"/>
    <xf numFmtId="43" fontId="127" fillId="0" borderId="0" xfId="282" applyNumberFormat="1" applyFont="1"/>
    <xf numFmtId="0" fontId="124" fillId="0" borderId="0" xfId="195" applyFont="1" applyFill="1" applyAlignment="1">
      <alignment horizontal="left" vertical="center" wrapText="1"/>
    </xf>
    <xf numFmtId="43" fontId="124" fillId="0" borderId="0" xfId="195" applyNumberFormat="1" applyFont="1" applyFill="1" applyAlignment="1">
      <alignment horizontal="left" vertical="center" wrapText="1"/>
    </xf>
    <xf numFmtId="43" fontId="82" fillId="0" borderId="0" xfId="282" applyNumberFormat="1" applyFont="1" applyBorder="1"/>
    <xf numFmtId="43" fontId="81" fillId="0" borderId="0" xfId="282" applyNumberFormat="1" applyFont="1" applyBorder="1"/>
    <xf numFmtId="43" fontId="123" fillId="0" borderId="0" xfId="282" applyNumberFormat="1"/>
    <xf numFmtId="43" fontId="123" fillId="0" borderId="0" xfId="282" applyNumberFormat="1" applyBorder="1"/>
    <xf numFmtId="43" fontId="123" fillId="0" borderId="0" xfId="282" applyNumberFormat="1" applyAlignment="1">
      <alignment horizontal="center"/>
    </xf>
    <xf numFmtId="43" fontId="123" fillId="0" borderId="2" xfId="282" applyNumberFormat="1" applyBorder="1"/>
    <xf numFmtId="43" fontId="123" fillId="0" borderId="0" xfId="282" applyNumberFormat="1" applyAlignment="1"/>
    <xf numFmtId="0" fontId="124" fillId="0" borderId="0" xfId="319" applyFont="1" applyFill="1"/>
    <xf numFmtId="37" fontId="129" fillId="0" borderId="0" xfId="0" applyFont="1" applyFill="1"/>
    <xf numFmtId="37" fontId="124" fillId="0" borderId="0" xfId="0" applyFont="1" applyFill="1"/>
    <xf numFmtId="37" fontId="124" fillId="0" borderId="0" xfId="0" applyFont="1" applyFill="1" applyBorder="1"/>
    <xf numFmtId="37" fontId="124" fillId="0" borderId="0" xfId="0" applyNumberFormat="1" applyFont="1" applyFill="1" applyProtection="1"/>
    <xf numFmtId="37" fontId="124" fillId="0" borderId="0" xfId="0" applyNumberFormat="1" applyFont="1" applyFill="1" applyBorder="1" applyProtection="1"/>
    <xf numFmtId="0" fontId="129" fillId="0" borderId="0" xfId="319" applyFont="1" applyFill="1" applyAlignment="1">
      <alignment horizontal="right"/>
    </xf>
    <xf numFmtId="0" fontId="129" fillId="0" borderId="0" xfId="319" applyFont="1" applyFill="1"/>
    <xf numFmtId="37" fontId="129" fillId="0" borderId="0" xfId="0" applyFont="1" applyFill="1" applyAlignment="1">
      <alignment horizontal="center"/>
    </xf>
    <xf numFmtId="37" fontId="129" fillId="0" borderId="0" xfId="0" applyFont="1" applyFill="1" applyBorder="1" applyAlignment="1">
      <alignment horizontal="center"/>
    </xf>
    <xf numFmtId="37" fontId="130" fillId="0" borderId="0" xfId="0" applyFont="1" applyFill="1"/>
    <xf numFmtId="37" fontId="131" fillId="0" borderId="0" xfId="0" applyFont="1" applyFill="1" applyAlignment="1">
      <alignment horizontal="center"/>
    </xf>
    <xf numFmtId="37" fontId="131" fillId="0" borderId="0" xfId="0" applyFont="1" applyFill="1" applyBorder="1" applyAlignment="1">
      <alignment horizontal="center"/>
    </xf>
    <xf numFmtId="37" fontId="131" fillId="0" borderId="0" xfId="0" applyFont="1" applyFill="1"/>
    <xf numFmtId="37" fontId="131" fillId="0" borderId="0" xfId="0" applyNumberFormat="1" applyFont="1" applyFill="1" applyBorder="1" applyProtection="1"/>
    <xf numFmtId="37" fontId="131" fillId="0" borderId="0" xfId="0" applyFont="1" applyFill="1" applyBorder="1"/>
    <xf numFmtId="37" fontId="131" fillId="0" borderId="0" xfId="0" applyNumberFormat="1" applyFont="1" applyFill="1" applyAlignment="1" applyProtection="1">
      <alignment horizontal="center"/>
    </xf>
    <xf numFmtId="37" fontId="131" fillId="0" borderId="0" xfId="0" applyNumberFormat="1" applyFont="1" applyFill="1" applyBorder="1" applyAlignment="1" applyProtection="1">
      <alignment horizontal="center"/>
    </xf>
    <xf numFmtId="37" fontId="131" fillId="0" borderId="23" xfId="0" applyFont="1" applyFill="1" applyBorder="1" applyAlignment="1">
      <alignment horizontal="center"/>
    </xf>
    <xf numFmtId="37" fontId="131" fillId="0" borderId="23" xfId="0" applyNumberFormat="1" applyFont="1" applyFill="1" applyBorder="1" applyAlignment="1" applyProtection="1">
      <alignment horizontal="center"/>
    </xf>
    <xf numFmtId="37" fontId="128" fillId="0" borderId="0" xfId="0" applyFont="1" applyFill="1"/>
    <xf numFmtId="37" fontId="130" fillId="0" borderId="0" xfId="0" applyFont="1" applyFill="1" applyBorder="1"/>
    <xf numFmtId="37" fontId="130" fillId="0" borderId="0" xfId="0" applyNumberFormat="1" applyFont="1" applyFill="1" applyProtection="1"/>
    <xf numFmtId="37" fontId="130" fillId="0" borderId="0" xfId="0" applyNumberFormat="1" applyFont="1" applyFill="1" applyBorder="1" applyProtection="1"/>
    <xf numFmtId="37" fontId="130" fillId="0" borderId="0" xfId="0" applyFont="1" applyFill="1" applyAlignment="1">
      <alignment horizontal="left" indent="1"/>
    </xf>
    <xf numFmtId="41" fontId="130" fillId="0" borderId="0" xfId="0" applyNumberFormat="1" applyFont="1" applyFill="1"/>
    <xf numFmtId="37" fontId="128" fillId="0" borderId="0" xfId="0" applyNumberFormat="1" applyFont="1" applyFill="1" applyProtection="1"/>
    <xf numFmtId="41" fontId="130" fillId="0" borderId="0" xfId="0" applyNumberFormat="1" applyFont="1" applyFill="1" applyBorder="1"/>
    <xf numFmtId="0" fontId="132" fillId="0" borderId="0" xfId="319" applyFont="1" applyFill="1" applyAlignment="1">
      <alignment horizontal="center" vertical="top"/>
    </xf>
    <xf numFmtId="0" fontId="124" fillId="0" borderId="0" xfId="319" applyFont="1" applyFill="1" applyAlignment="1">
      <alignment wrapText="1"/>
    </xf>
    <xf numFmtId="43" fontId="124" fillId="0" borderId="0" xfId="319" applyNumberFormat="1" applyFont="1" applyFill="1"/>
    <xf numFmtId="0" fontId="129" fillId="0" borderId="0" xfId="319" applyFont="1" applyFill="1" applyAlignment="1">
      <alignment vertical="top"/>
    </xf>
    <xf numFmtId="0" fontId="131" fillId="0" borderId="0" xfId="319" applyFont="1" applyFill="1"/>
    <xf numFmtId="0" fontId="131" fillId="0" borderId="0" xfId="319" applyFont="1" applyFill="1" applyBorder="1"/>
    <xf numFmtId="0" fontId="131" fillId="0" borderId="0" xfId="319" applyFont="1" applyFill="1" applyAlignment="1">
      <alignment horizontal="center"/>
    </xf>
    <xf numFmtId="37" fontId="131" fillId="0" borderId="5" xfId="0" applyFont="1" applyFill="1" applyBorder="1" applyAlignment="1">
      <alignment horizontal="center"/>
    </xf>
    <xf numFmtId="0" fontId="124" fillId="0" borderId="0" xfId="319" applyFont="1"/>
    <xf numFmtId="0" fontId="132" fillId="0" borderId="0" xfId="319" applyFont="1" applyAlignment="1">
      <alignment horizontal="center" vertical="top"/>
    </xf>
    <xf numFmtId="0" fontId="132" fillId="0" borderId="0" xfId="319" applyFont="1" applyBorder="1" applyAlignment="1">
      <alignment horizontal="center" vertical="top"/>
    </xf>
    <xf numFmtId="0" fontId="124" fillId="0" borderId="0" xfId="319" applyFont="1" applyBorder="1" applyAlignment="1">
      <alignment wrapText="1"/>
    </xf>
    <xf numFmtId="0" fontId="124" fillId="0" borderId="0" xfId="319" applyFont="1" applyAlignment="1">
      <alignment wrapText="1"/>
    </xf>
    <xf numFmtId="49" fontId="124" fillId="0" borderId="0" xfId="319" applyNumberFormat="1" applyFont="1" applyFill="1" applyAlignment="1">
      <alignment horizontal="center"/>
    </xf>
    <xf numFmtId="49" fontId="124" fillId="0" borderId="0" xfId="319" applyNumberFormat="1" applyFont="1" applyAlignment="1">
      <alignment horizontal="center"/>
    </xf>
    <xf numFmtId="49" fontId="124" fillId="0" borderId="0" xfId="0" applyNumberFormat="1" applyFont="1" applyFill="1" applyAlignment="1"/>
    <xf numFmtId="49" fontId="124" fillId="0" borderId="0" xfId="319" applyNumberFormat="1" applyFont="1" applyFill="1" applyAlignment="1"/>
    <xf numFmtId="41" fontId="124" fillId="0" borderId="0" xfId="319" applyNumberFormat="1" applyFont="1" applyFill="1"/>
    <xf numFmtId="37" fontId="133" fillId="0" borderId="0" xfId="0" applyFont="1"/>
    <xf numFmtId="37" fontId="134" fillId="0" borderId="0" xfId="0" applyFont="1"/>
    <xf numFmtId="37" fontId="134" fillId="0" borderId="0" xfId="0" applyFont="1" applyAlignment="1">
      <alignment wrapText="1"/>
    </xf>
    <xf numFmtId="37" fontId="134" fillId="0" borderId="5" xfId="0" applyFont="1" applyBorder="1" applyAlignment="1">
      <alignment horizontal="center" wrapText="1"/>
    </xf>
    <xf numFmtId="37" fontId="134" fillId="0" borderId="0" xfId="0" applyNumberFormat="1" applyFont="1"/>
    <xf numFmtId="37" fontId="134" fillId="0" borderId="0" xfId="0" applyFont="1" applyFill="1"/>
    <xf numFmtId="10" fontId="134" fillId="0" borderId="0" xfId="0" applyNumberFormat="1" applyFont="1"/>
    <xf numFmtId="37" fontId="134" fillId="0" borderId="5" xfId="0" applyNumberFormat="1" applyFont="1" applyBorder="1" applyAlignment="1">
      <alignment horizontal="center"/>
    </xf>
    <xf numFmtId="37" fontId="134" fillId="0" borderId="0" xfId="0" applyFont="1" applyBorder="1"/>
    <xf numFmtId="3" fontId="134" fillId="0" borderId="0" xfId="0" applyNumberFormat="1" applyFont="1" applyBorder="1"/>
    <xf numFmtId="9" fontId="134" fillId="0" borderId="0" xfId="0" applyNumberFormat="1" applyFont="1" applyBorder="1"/>
    <xf numFmtId="37" fontId="134" fillId="0" borderId="0" xfId="0" applyNumberFormat="1" applyFont="1" applyBorder="1"/>
    <xf numFmtId="3" fontId="134" fillId="0" borderId="5" xfId="0" applyNumberFormat="1" applyFont="1" applyBorder="1" applyAlignment="1">
      <alignment horizontal="right"/>
    </xf>
    <xf numFmtId="3" fontId="134" fillId="0" borderId="5" xfId="0" applyNumberFormat="1" applyFont="1" applyBorder="1" applyAlignment="1">
      <alignment horizontal="center"/>
    </xf>
    <xf numFmtId="9" fontId="134" fillId="0" borderId="0" xfId="0" applyNumberFormat="1" applyFont="1"/>
    <xf numFmtId="37" fontId="135" fillId="0" borderId="0" xfId="0" applyFont="1" applyFill="1" applyAlignment="1">
      <alignment horizontal="center"/>
    </xf>
    <xf numFmtId="37" fontId="135" fillId="0" borderId="0" xfId="0" applyFont="1" applyFill="1"/>
    <xf numFmtId="37" fontId="129" fillId="0" borderId="0" xfId="240" applyNumberFormat="1" applyFont="1" applyAlignment="1">
      <alignment horizontal="left"/>
    </xf>
    <xf numFmtId="0" fontId="124" fillId="0" borderId="0" xfId="240" applyFont="1"/>
    <xf numFmtId="0" fontId="129" fillId="0" borderId="0" xfId="240" applyFont="1" applyAlignment="1">
      <alignment horizontal="center"/>
    </xf>
    <xf numFmtId="14" fontId="127" fillId="0" borderId="0" xfId="282" applyNumberFormat="1" applyFont="1" applyFill="1"/>
    <xf numFmtId="0" fontId="130" fillId="0" borderId="0" xfId="267" applyFont="1"/>
    <xf numFmtId="43" fontId="130" fillId="0" borderId="0" xfId="267" applyNumberFormat="1" applyFont="1"/>
    <xf numFmtId="0" fontId="130" fillId="0" borderId="0" xfId="267" applyFont="1" applyAlignment="1">
      <alignment horizontal="center"/>
    </xf>
    <xf numFmtId="0" fontId="127" fillId="0" borderId="0" xfId="282" applyFont="1" applyFill="1" applyAlignment="1">
      <alignment vertical="top"/>
    </xf>
    <xf numFmtId="43" fontId="127" fillId="0" borderId="0" xfId="282" applyNumberFormat="1" applyFont="1" applyFill="1" applyAlignment="1">
      <alignment vertical="top"/>
    </xf>
    <xf numFmtId="43" fontId="127" fillId="0" borderId="0" xfId="282" applyNumberFormat="1" applyFont="1" applyFill="1" applyAlignment="1">
      <alignment vertical="center"/>
    </xf>
    <xf numFmtId="49" fontId="127" fillId="0" borderId="0" xfId="282" applyNumberFormat="1" applyFont="1" applyFill="1" applyAlignment="1">
      <alignment horizontal="justify" vertical="top" wrapText="1"/>
    </xf>
    <xf numFmtId="43" fontId="123" fillId="0" borderId="0" xfId="282" applyNumberFormat="1" applyFont="1" applyFill="1" applyAlignment="1">
      <alignment horizontal="center"/>
    </xf>
    <xf numFmtId="43" fontId="123" fillId="0" borderId="0" xfId="282" applyNumberFormat="1" applyFont="1" applyFill="1"/>
    <xf numFmtId="0" fontId="127" fillId="0" borderId="0" xfId="282" applyFont="1" applyFill="1" applyAlignment="1">
      <alignment vertical="center"/>
    </xf>
    <xf numFmtId="44" fontId="127" fillId="0" borderId="0" xfId="282" applyNumberFormat="1" applyFont="1" applyFill="1" applyAlignment="1">
      <alignment vertical="center"/>
    </xf>
    <xf numFmtId="49" fontId="136" fillId="0" borderId="0" xfId="194" applyNumberFormat="1" applyFont="1" applyAlignment="1">
      <alignment horizontal="center" vertical="top" wrapText="1"/>
    </xf>
    <xf numFmtId="49" fontId="136" fillId="0" borderId="0" xfId="194" applyNumberFormat="1" applyFont="1" applyAlignment="1">
      <alignment vertical="top" wrapText="1"/>
    </xf>
    <xf numFmtId="37" fontId="136" fillId="0" borderId="0" xfId="0" applyFont="1" applyFill="1"/>
    <xf numFmtId="0" fontId="127" fillId="0" borderId="0" xfId="282" applyFont="1" applyFill="1"/>
    <xf numFmtId="0" fontId="123" fillId="0" borderId="0" xfId="282" applyFont="1" applyFill="1" applyAlignment="1">
      <alignment horizontal="center"/>
    </xf>
    <xf numFmtId="0" fontId="123" fillId="0" borderId="0" xfId="282" applyFont="1" applyFill="1"/>
    <xf numFmtId="43" fontId="129" fillId="0" borderId="0" xfId="282" applyNumberFormat="1" applyFont="1" applyFill="1"/>
    <xf numFmtId="43" fontId="123" fillId="0" borderId="0" xfId="282" applyNumberFormat="1" applyFont="1" applyFill="1" applyAlignment="1">
      <alignment horizontal="left" wrapText="1"/>
    </xf>
    <xf numFmtId="43" fontId="127" fillId="0" borderId="2" xfId="282" applyNumberFormat="1" applyFont="1" applyFill="1" applyBorder="1" applyAlignment="1">
      <alignment vertical="center"/>
    </xf>
    <xf numFmtId="43" fontId="127" fillId="0" borderId="0" xfId="282" applyNumberFormat="1" applyFont="1" applyFill="1" applyBorder="1" applyAlignment="1">
      <alignment vertical="center"/>
    </xf>
    <xf numFmtId="43" fontId="127" fillId="0" borderId="0" xfId="282" applyNumberFormat="1" applyFont="1" applyFill="1" applyAlignment="1">
      <alignment horizontal="left" wrapText="1"/>
    </xf>
    <xf numFmtId="43" fontId="129" fillId="0" borderId="0" xfId="282" applyNumberFormat="1" applyFont="1" applyFill="1" applyAlignment="1">
      <alignment horizontal="center" vertical="top"/>
    </xf>
    <xf numFmtId="43" fontId="129" fillId="0" borderId="0" xfId="282" applyNumberFormat="1" applyFont="1" applyFill="1" applyAlignment="1">
      <alignment horizontal="center"/>
    </xf>
    <xf numFmtId="44" fontId="127" fillId="0" borderId="29" xfId="282" applyNumberFormat="1" applyFont="1" applyFill="1" applyBorder="1"/>
    <xf numFmtId="44" fontId="127" fillId="0" borderId="0" xfId="282" applyNumberFormat="1" applyFont="1" applyFill="1" applyBorder="1"/>
    <xf numFmtId="43" fontId="127" fillId="0" borderId="0" xfId="282" applyNumberFormat="1" applyFont="1" applyFill="1"/>
    <xf numFmtId="0" fontId="130" fillId="0" borderId="0" xfId="267" applyFont="1" applyFill="1"/>
    <xf numFmtId="43" fontId="130" fillId="0" borderId="0" xfId="267" applyNumberFormat="1" applyFont="1" applyAlignment="1">
      <alignment wrapText="1"/>
    </xf>
    <xf numFmtId="37" fontId="136" fillId="0" borderId="0" xfId="0" applyFont="1" applyFill="1" applyAlignment="1">
      <alignment wrapText="1"/>
    </xf>
    <xf numFmtId="44" fontId="130" fillId="0" borderId="0" xfId="267" applyNumberFormat="1" applyFont="1"/>
    <xf numFmtId="49" fontId="130" fillId="0" borderId="0" xfId="267" applyNumberFormat="1" applyFont="1" applyAlignment="1">
      <alignment vertical="center" wrapText="1"/>
    </xf>
    <xf numFmtId="44" fontId="130" fillId="0" borderId="0" xfId="267" applyNumberFormat="1" applyFont="1" applyFill="1"/>
    <xf numFmtId="49" fontId="130" fillId="0" borderId="0" xfId="267" applyNumberFormat="1" applyFont="1" applyFill="1" applyAlignment="1">
      <alignment horizontal="left" vertical="center" wrapText="1"/>
    </xf>
    <xf numFmtId="49" fontId="136" fillId="0" borderId="0" xfId="0" applyNumberFormat="1" applyFont="1" applyAlignment="1">
      <alignment horizontal="center" vertical="top" wrapText="1"/>
    </xf>
    <xf numFmtId="43" fontId="130" fillId="0" borderId="0" xfId="267" applyNumberFormat="1" applyFont="1" applyBorder="1"/>
    <xf numFmtId="49" fontId="136" fillId="0" borderId="0" xfId="0" applyNumberFormat="1" applyFont="1" applyAlignment="1">
      <alignment horizontal="justify" vertical="top" wrapText="1"/>
    </xf>
    <xf numFmtId="49" fontId="130" fillId="0" borderId="0" xfId="267" applyNumberFormat="1" applyFont="1"/>
    <xf numFmtId="49" fontId="130" fillId="0" borderId="0" xfId="267" applyNumberFormat="1" applyFont="1" applyAlignment="1">
      <alignment horizontal="center"/>
    </xf>
    <xf numFmtId="0" fontId="124" fillId="0" borderId="0" xfId="222" applyFont="1"/>
    <xf numFmtId="0" fontId="129" fillId="0" borderId="0" xfId="222" applyFont="1"/>
    <xf numFmtId="0" fontId="124" fillId="0" borderId="0" xfId="222" applyFont="1" applyBorder="1"/>
    <xf numFmtId="0" fontId="137" fillId="0" borderId="0" xfId="222" applyFont="1" applyBorder="1"/>
    <xf numFmtId="0" fontId="128" fillId="0" borderId="0" xfId="222" applyFont="1" applyAlignment="1">
      <alignment horizontal="center"/>
    </xf>
    <xf numFmtId="0" fontId="130" fillId="0" borderId="0" xfId="222" applyFont="1"/>
    <xf numFmtId="0" fontId="128" fillId="0" borderId="0" xfId="222" applyFont="1" applyBorder="1"/>
    <xf numFmtId="0" fontId="128" fillId="0" borderId="22" xfId="222" applyFont="1" applyBorder="1" applyAlignment="1">
      <alignment horizontal="center"/>
    </xf>
    <xf numFmtId="0" fontId="124" fillId="0" borderId="22" xfId="222" applyFont="1" applyBorder="1"/>
    <xf numFmtId="0" fontId="130" fillId="0" borderId="13" xfId="222" applyFont="1" applyBorder="1"/>
    <xf numFmtId="0" fontId="130" fillId="0" borderId="41" xfId="222" applyFont="1" applyBorder="1"/>
    <xf numFmtId="0" fontId="129" fillId="0" borderId="37" xfId="222" applyFont="1" applyBorder="1"/>
    <xf numFmtId="172" fontId="124" fillId="0" borderId="17" xfId="222" applyNumberFormat="1" applyFont="1" applyBorder="1"/>
    <xf numFmtId="170" fontId="124" fillId="0" borderId="38" xfId="222" applyNumberFormat="1" applyFont="1" applyBorder="1"/>
    <xf numFmtId="0" fontId="130" fillId="0" borderId="0" xfId="222" applyFont="1" applyBorder="1"/>
    <xf numFmtId="0" fontId="128" fillId="0" borderId="0" xfId="222" applyFont="1"/>
    <xf numFmtId="0" fontId="130" fillId="0" borderId="42" xfId="222" applyFont="1" applyFill="1" applyBorder="1"/>
    <xf numFmtId="0" fontId="130" fillId="0" borderId="43" xfId="222" applyFont="1" applyFill="1" applyBorder="1"/>
    <xf numFmtId="0" fontId="130" fillId="0" borderId="44" xfId="222" applyFont="1" applyFill="1" applyBorder="1"/>
    <xf numFmtId="0" fontId="130" fillId="0" borderId="30" xfId="222" applyFont="1" applyFill="1" applyBorder="1"/>
    <xf numFmtId="0" fontId="130" fillId="0" borderId="0" xfId="222" applyFont="1" applyFill="1"/>
    <xf numFmtId="0" fontId="124" fillId="0" borderId="0" xfId="222" applyFont="1" applyFill="1"/>
    <xf numFmtId="0" fontId="130" fillId="0" borderId="13" xfId="222" applyFont="1" applyFill="1" applyBorder="1"/>
    <xf numFmtId="0" fontId="130" fillId="0" borderId="41" xfId="222" applyFont="1" applyFill="1" applyBorder="1"/>
    <xf numFmtId="8" fontId="130" fillId="0" borderId="41" xfId="222" applyNumberFormat="1" applyFont="1" applyFill="1" applyBorder="1"/>
    <xf numFmtId="0" fontId="130" fillId="0" borderId="22" xfId="222" applyFont="1" applyFill="1" applyBorder="1"/>
    <xf numFmtId="0" fontId="130" fillId="0" borderId="0" xfId="222" applyFont="1" applyFill="1" applyBorder="1"/>
    <xf numFmtId="0" fontId="139" fillId="0" borderId="0" xfId="222" applyFont="1" applyBorder="1"/>
    <xf numFmtId="0" fontId="130" fillId="24" borderId="0" xfId="222" applyFont="1" applyFill="1" applyBorder="1" applyAlignment="1">
      <alignment horizontal="center"/>
    </xf>
    <xf numFmtId="0" fontId="128" fillId="37" borderId="0" xfId="222" applyFont="1" applyFill="1" applyBorder="1" applyAlignment="1">
      <alignment horizontal="center"/>
    </xf>
    <xf numFmtId="172" fontId="124" fillId="0" borderId="0" xfId="222" applyNumberFormat="1" applyFont="1" applyBorder="1"/>
    <xf numFmtId="170" fontId="138" fillId="0" borderId="36" xfId="222" applyNumberFormat="1" applyFont="1" applyBorder="1"/>
    <xf numFmtId="0" fontId="129" fillId="0" borderId="0" xfId="222" applyFont="1" applyBorder="1" applyAlignment="1"/>
    <xf numFmtId="0" fontId="128" fillId="0" borderId="13" xfId="222" applyFont="1" applyBorder="1"/>
    <xf numFmtId="0" fontId="130" fillId="0" borderId="22" xfId="222" applyFont="1" applyBorder="1"/>
    <xf numFmtId="0" fontId="128" fillId="0" borderId="13" xfId="222" applyFont="1" applyFill="1" applyBorder="1"/>
    <xf numFmtId="0" fontId="139" fillId="0" borderId="41" xfId="222" applyFont="1" applyFill="1" applyBorder="1"/>
    <xf numFmtId="0" fontId="128" fillId="0" borderId="41" xfId="222" applyFont="1" applyFill="1" applyBorder="1"/>
    <xf numFmtId="170" fontId="124" fillId="0" borderId="0" xfId="222" applyNumberFormat="1" applyFont="1"/>
    <xf numFmtId="171" fontId="124" fillId="0" borderId="0" xfId="222" applyNumberFormat="1" applyFont="1"/>
    <xf numFmtId="0" fontId="128" fillId="0" borderId="40" xfId="222" applyFont="1" applyBorder="1"/>
    <xf numFmtId="0" fontId="130" fillId="0" borderId="48" xfId="222" applyFont="1" applyBorder="1"/>
    <xf numFmtId="0" fontId="130" fillId="0" borderId="40" xfId="222" applyFont="1" applyBorder="1"/>
    <xf numFmtId="0" fontId="130" fillId="0" borderId="32" xfId="222" applyFont="1" applyBorder="1"/>
    <xf numFmtId="8" fontId="130" fillId="0" borderId="41" xfId="222" applyNumberFormat="1" applyFont="1" applyBorder="1"/>
    <xf numFmtId="0" fontId="128" fillId="0" borderId="27" xfId="222" applyFont="1" applyBorder="1"/>
    <xf numFmtId="0" fontId="129" fillId="0" borderId="0" xfId="222" applyFont="1" applyBorder="1"/>
    <xf numFmtId="0" fontId="128" fillId="0" borderId="18" xfId="222" applyFont="1" applyBorder="1"/>
    <xf numFmtId="0" fontId="128" fillId="0" borderId="28" xfId="222" applyFont="1" applyBorder="1"/>
    <xf numFmtId="43" fontId="138" fillId="0" borderId="0" xfId="228" applyNumberFormat="1" applyFont="1" applyFill="1" applyBorder="1"/>
    <xf numFmtId="0" fontId="121" fillId="0" borderId="0" xfId="228" applyFont="1" applyFill="1" applyBorder="1"/>
    <xf numFmtId="0" fontId="138" fillId="0" borderId="0" xfId="228" applyFont="1" applyFill="1" applyBorder="1"/>
    <xf numFmtId="0" fontId="138" fillId="0" borderId="0" xfId="228" applyFont="1" applyFill="1"/>
    <xf numFmtId="41" fontId="123" fillId="0" borderId="0" xfId="282" applyNumberFormat="1" applyBorder="1"/>
    <xf numFmtId="37" fontId="5" fillId="0" borderId="0" xfId="240" applyNumberFormat="1" applyFont="1" applyAlignment="1"/>
    <xf numFmtId="0" fontId="5" fillId="0" borderId="0" xfId="240" applyFont="1" applyAlignment="1"/>
    <xf numFmtId="0" fontId="140" fillId="0" borderId="0" xfId="195" applyFont="1"/>
    <xf numFmtId="0" fontId="8" fillId="0" borderId="0" xfId="222" applyFont="1" applyBorder="1"/>
    <xf numFmtId="0" fontId="8" fillId="0" borderId="0" xfId="222" applyFont="1"/>
    <xf numFmtId="0" fontId="140" fillId="0" borderId="0" xfId="195" applyFont="1" applyFill="1" applyAlignment="1">
      <alignment horizontal="left" vertical="center" wrapText="1"/>
    </xf>
    <xf numFmtId="0" fontId="140" fillId="0" borderId="0" xfId="195" applyFont="1" applyFill="1"/>
    <xf numFmtId="0" fontId="140" fillId="0" borderId="0" xfId="195" applyFont="1" applyFill="1" applyBorder="1"/>
    <xf numFmtId="0" fontId="118" fillId="0" borderId="0" xfId="222" applyFont="1" applyBorder="1" applyAlignment="1">
      <alignment horizontal="center"/>
    </xf>
    <xf numFmtId="0" fontId="118" fillId="0" borderId="0" xfId="222" applyFont="1" applyAlignment="1">
      <alignment horizontal="center"/>
    </xf>
    <xf numFmtId="0" fontId="140" fillId="0" borderId="0" xfId="195" applyFont="1" applyFill="1" applyBorder="1" applyAlignment="1">
      <alignment horizontal="center"/>
    </xf>
    <xf numFmtId="0" fontId="138" fillId="0" borderId="0" xfId="195" applyFont="1" applyFill="1" applyAlignment="1">
      <alignment horizontal="left" vertical="center" wrapText="1"/>
    </xf>
    <xf numFmtId="39" fontId="141" fillId="0" borderId="49" xfId="282" applyNumberFormat="1" applyFont="1" applyFill="1" applyBorder="1"/>
    <xf numFmtId="0" fontId="118" fillId="0" borderId="0" xfId="222" applyFont="1"/>
    <xf numFmtId="0" fontId="141" fillId="0" borderId="0" xfId="282" applyFont="1" applyFill="1"/>
    <xf numFmtId="0" fontId="142" fillId="0" borderId="0" xfId="282" applyFont="1" applyFill="1" applyAlignment="1">
      <alignment horizontal="center"/>
    </xf>
    <xf numFmtId="0" fontId="142" fillId="0" borderId="0" xfId="282" applyFont="1" applyFill="1"/>
    <xf numFmtId="39" fontId="141" fillId="0" borderId="0" xfId="282" applyNumberFormat="1" applyFont="1" applyFill="1" applyAlignment="1">
      <alignment horizontal="center"/>
    </xf>
    <xf numFmtId="0" fontId="141" fillId="0" borderId="13" xfId="282" applyFont="1" applyFill="1" applyBorder="1" applyAlignment="1">
      <alignment horizontal="center"/>
    </xf>
    <xf numFmtId="0" fontId="141" fillId="0" borderId="50" xfId="282" applyNumberFormat="1" applyFont="1" applyFill="1" applyBorder="1" applyAlignment="1">
      <alignment horizontal="center"/>
    </xf>
    <xf numFmtId="0" fontId="141" fillId="0" borderId="51" xfId="282" applyFont="1" applyFill="1" applyBorder="1" applyAlignment="1">
      <alignment horizontal="center"/>
    </xf>
    <xf numFmtId="0" fontId="142" fillId="0" borderId="31" xfId="282" applyFont="1" applyFill="1" applyBorder="1"/>
    <xf numFmtId="0" fontId="142" fillId="0" borderId="5" xfId="282" applyFont="1" applyFill="1" applyBorder="1"/>
    <xf numFmtId="0" fontId="141" fillId="0" borderId="7" xfId="282" applyFont="1" applyFill="1" applyBorder="1" applyAlignment="1">
      <alignment horizontal="center"/>
    </xf>
    <xf numFmtId="0" fontId="142" fillId="0" borderId="7" xfId="282" applyFont="1" applyFill="1" applyBorder="1" applyAlignment="1">
      <alignment horizontal="center"/>
    </xf>
    <xf numFmtId="0" fontId="142" fillId="0" borderId="7" xfId="282" applyFont="1" applyFill="1" applyBorder="1"/>
    <xf numFmtId="39" fontId="141" fillId="0" borderId="5" xfId="282" applyNumberFormat="1" applyFont="1" applyFill="1" applyBorder="1" applyAlignment="1">
      <alignment horizontal="center"/>
    </xf>
    <xf numFmtId="0" fontId="142" fillId="0" borderId="5" xfId="282" applyFont="1" applyFill="1" applyBorder="1" applyAlignment="1">
      <alignment horizontal="center"/>
    </xf>
    <xf numFmtId="0" fontId="141" fillId="0" borderId="0" xfId="282" applyFont="1" applyFill="1" applyBorder="1" applyAlignment="1">
      <alignment horizontal="center"/>
    </xf>
    <xf numFmtId="0" fontId="142" fillId="0" borderId="0" xfId="282" applyFont="1" applyFill="1" applyBorder="1" applyAlignment="1">
      <alignment horizontal="center"/>
    </xf>
    <xf numFmtId="0" fontId="142" fillId="0" borderId="0" xfId="282" applyFont="1" applyFill="1" applyBorder="1"/>
    <xf numFmtId="39" fontId="142" fillId="0" borderId="5" xfId="282" applyNumberFormat="1" applyFont="1" applyFill="1" applyBorder="1"/>
    <xf numFmtId="39" fontId="141" fillId="0" borderId="5" xfId="282" applyNumberFormat="1" applyFont="1" applyFill="1" applyBorder="1"/>
    <xf numFmtId="39" fontId="141" fillId="0" borderId="13" xfId="282" applyNumberFormat="1" applyFont="1" applyFill="1" applyBorder="1" applyAlignment="1">
      <alignment horizontal="center"/>
    </xf>
    <xf numFmtId="39" fontId="142" fillId="0" borderId="0" xfId="282" applyNumberFormat="1" applyFont="1" applyFill="1"/>
    <xf numFmtId="0" fontId="141" fillId="0" borderId="35" xfId="282" applyFont="1" applyFill="1" applyBorder="1"/>
    <xf numFmtId="0" fontId="142" fillId="0" borderId="2" xfId="282" applyFont="1" applyFill="1" applyBorder="1" applyAlignment="1">
      <alignment horizontal="center"/>
    </xf>
    <xf numFmtId="0" fontId="142" fillId="0" borderId="34" xfId="282" applyFont="1" applyFill="1" applyBorder="1" applyAlignment="1">
      <alignment horizontal="center"/>
    </xf>
    <xf numFmtId="39" fontId="142" fillId="0" borderId="7" xfId="282" applyNumberFormat="1" applyFont="1" applyFill="1" applyBorder="1"/>
    <xf numFmtId="39" fontId="141" fillId="0" borderId="7" xfId="282" applyNumberFormat="1" applyFont="1" applyFill="1" applyBorder="1"/>
    <xf numFmtId="0" fontId="141" fillId="0" borderId="33" xfId="282" applyFont="1" applyFill="1" applyBorder="1"/>
    <xf numFmtId="0" fontId="142" fillId="0" borderId="32" xfId="282" applyFont="1" applyFill="1" applyBorder="1" applyAlignment="1">
      <alignment horizontal="center"/>
    </xf>
    <xf numFmtId="0" fontId="141" fillId="0" borderId="31" xfId="282" applyFont="1" applyFill="1" applyBorder="1"/>
    <xf numFmtId="0" fontId="142" fillId="0" borderId="30" xfId="282" applyFont="1" applyFill="1" applyBorder="1" applyAlignment="1">
      <alignment horizontal="center"/>
    </xf>
    <xf numFmtId="39" fontId="141" fillId="0" borderId="0" xfId="282" applyNumberFormat="1" applyFont="1" applyFill="1"/>
    <xf numFmtId="0" fontId="141" fillId="0" borderId="0" xfId="282" applyFont="1" applyFill="1" applyBorder="1"/>
    <xf numFmtId="39" fontId="142" fillId="0" borderId="0" xfId="282" applyNumberFormat="1" applyFont="1" applyFill="1" applyBorder="1"/>
    <xf numFmtId="39" fontId="141" fillId="0" borderId="50" xfId="282" applyNumberFormat="1" applyFont="1" applyFill="1" applyBorder="1"/>
    <xf numFmtId="0" fontId="141" fillId="0" borderId="5" xfId="282" applyFont="1" applyFill="1" applyBorder="1"/>
    <xf numFmtId="0" fontId="141" fillId="0" borderId="5" xfId="282" applyFont="1" applyFill="1" applyBorder="1" applyAlignment="1">
      <alignment horizontal="right"/>
    </xf>
    <xf numFmtId="0" fontId="141" fillId="0" borderId="5" xfId="282" applyFont="1" applyFill="1" applyBorder="1" applyAlignment="1">
      <alignment horizontal="center"/>
    </xf>
    <xf numFmtId="39" fontId="142" fillId="0" borderId="49" xfId="282" applyNumberFormat="1" applyFont="1" applyFill="1" applyBorder="1"/>
    <xf numFmtId="39" fontId="141" fillId="0" borderId="0" xfId="282" applyNumberFormat="1" applyFont="1" applyFill="1" applyBorder="1"/>
    <xf numFmtId="39" fontId="141" fillId="0" borderId="39" xfId="282" applyNumberFormat="1" applyFont="1" applyFill="1" applyBorder="1"/>
    <xf numFmtId="39" fontId="141" fillId="0" borderId="13" xfId="282" applyNumberFormat="1" applyFont="1" applyFill="1" applyBorder="1"/>
    <xf numFmtId="0" fontId="141" fillId="0" borderId="0" xfId="282" applyFont="1" applyFill="1" applyAlignment="1">
      <alignment horizontal="center"/>
    </xf>
    <xf numFmtId="39" fontId="141" fillId="0" borderId="0" xfId="282" applyNumberFormat="1" applyFont="1" applyFill="1" applyBorder="1" applyAlignment="1">
      <alignment horizontal="center"/>
    </xf>
    <xf numFmtId="0" fontId="142" fillId="0" borderId="52" xfId="282" applyFont="1" applyFill="1" applyBorder="1"/>
    <xf numFmtId="0" fontId="141" fillId="0" borderId="53" xfId="282" applyNumberFormat="1" applyFont="1" applyFill="1" applyBorder="1" applyAlignment="1">
      <alignment horizontal="center"/>
    </xf>
    <xf numFmtId="39" fontId="141" fillId="0" borderId="29" xfId="282" applyNumberFormat="1" applyFont="1" applyFill="1" applyBorder="1"/>
    <xf numFmtId="0" fontId="141" fillId="0" borderId="54" xfId="282" applyFont="1" applyFill="1" applyBorder="1" applyAlignment="1">
      <alignment horizontal="center"/>
    </xf>
    <xf numFmtId="41" fontId="119" fillId="0" borderId="0" xfId="0" applyNumberFormat="1" applyFont="1" applyFill="1" applyProtection="1"/>
    <xf numFmtId="0" fontId="143" fillId="0" borderId="0" xfId="282" applyFont="1"/>
    <xf numFmtId="167" fontId="143" fillId="0" borderId="0" xfId="226" applyNumberFormat="1" applyFont="1" applyFill="1"/>
    <xf numFmtId="0" fontId="143" fillId="0" borderId="0" xfId="282" applyFont="1" applyFill="1"/>
    <xf numFmtId="0" fontId="143" fillId="0" borderId="0" xfId="282" applyFont="1" applyAlignment="1">
      <alignment horizontal="center"/>
    </xf>
    <xf numFmtId="43" fontId="75" fillId="0" borderId="0" xfId="226" applyNumberFormat="1" applyFont="1" applyFill="1" applyBorder="1"/>
    <xf numFmtId="0" fontId="75" fillId="0" borderId="0" xfId="282" applyFont="1" applyFill="1" applyBorder="1"/>
    <xf numFmtId="0" fontId="143" fillId="0" borderId="0" xfId="282" applyFont="1" applyBorder="1"/>
    <xf numFmtId="17" fontId="75" fillId="0" borderId="0" xfId="226" applyNumberFormat="1" applyFont="1" applyAlignment="1">
      <alignment horizontal="left"/>
    </xf>
    <xf numFmtId="0" fontId="143" fillId="0" borderId="0" xfId="282" applyFont="1" applyFill="1" applyBorder="1" applyAlignment="1">
      <alignment horizontal="center"/>
    </xf>
    <xf numFmtId="0" fontId="124" fillId="0" borderId="0" xfId="195" applyFont="1" applyBorder="1" applyAlignment="1">
      <alignment horizontal="center"/>
    </xf>
    <xf numFmtId="171" fontId="2" fillId="0" borderId="0" xfId="78" applyNumberFormat="1" applyFont="1" applyFill="1" applyBorder="1"/>
    <xf numFmtId="0" fontId="127" fillId="0" borderId="0" xfId="282" applyFont="1" applyAlignment="1">
      <alignment wrapText="1"/>
    </xf>
    <xf numFmtId="0" fontId="123" fillId="0" borderId="0" xfId="282" applyAlignment="1">
      <alignment wrapText="1"/>
    </xf>
    <xf numFmtId="37" fontId="134" fillId="0" borderId="0" xfId="0" applyFont="1" applyAlignment="1">
      <alignment horizontal="left" indent="2"/>
    </xf>
    <xf numFmtId="37" fontId="0" fillId="0" borderId="0" xfId="0" applyBorder="1"/>
    <xf numFmtId="39" fontId="141" fillId="0" borderId="51" xfId="282" applyNumberFormat="1" applyFont="1" applyFill="1" applyBorder="1" applyAlignment="1">
      <alignment horizontal="center"/>
    </xf>
    <xf numFmtId="49" fontId="144" fillId="0" borderId="0" xfId="0" applyNumberFormat="1" applyFont="1" applyAlignment="1">
      <alignment horizontal="left"/>
    </xf>
    <xf numFmtId="43" fontId="82" fillId="0" borderId="0" xfId="307" applyNumberFormat="1" applyFont="1" applyFill="1"/>
    <xf numFmtId="44" fontId="10" fillId="0" borderId="0" xfId="307" applyNumberFormat="1" applyFont="1" applyFill="1"/>
    <xf numFmtId="43" fontId="10" fillId="0" borderId="0" xfId="307" applyNumberFormat="1" applyFont="1" applyFill="1"/>
    <xf numFmtId="43" fontId="10" fillId="0" borderId="23" xfId="307" applyNumberFormat="1" applyFont="1" applyFill="1" applyBorder="1"/>
    <xf numFmtId="43" fontId="10" fillId="0" borderId="0" xfId="307" applyNumberFormat="1" applyFont="1" applyFill="1" applyBorder="1"/>
    <xf numFmtId="0" fontId="145" fillId="0" borderId="0" xfId="307" applyFont="1" applyFill="1"/>
    <xf numFmtId="43" fontId="4" fillId="0" borderId="24" xfId="307" applyNumberFormat="1" applyFont="1" applyFill="1" applyBorder="1"/>
    <xf numFmtId="44" fontId="4" fillId="0" borderId="0" xfId="307" applyNumberFormat="1" applyFont="1" applyFill="1" applyProtection="1"/>
    <xf numFmtId="43" fontId="4" fillId="0" borderId="26" xfId="307" applyNumberFormat="1" applyFont="1" applyFill="1" applyBorder="1" applyAlignment="1">
      <alignment horizontal="fill"/>
    </xf>
    <xf numFmtId="43" fontId="4" fillId="0" borderId="0" xfId="307" applyNumberFormat="1" applyFont="1" applyFill="1" applyBorder="1" applyAlignment="1">
      <alignment horizontal="fill"/>
    </xf>
    <xf numFmtId="0" fontId="4" fillId="0" borderId="0" xfId="307" applyFont="1" applyFill="1" applyBorder="1" applyAlignment="1">
      <alignment horizontal="fill"/>
    </xf>
    <xf numFmtId="43" fontId="4" fillId="0" borderId="26" xfId="307" applyNumberFormat="1" applyFont="1" applyFill="1" applyBorder="1"/>
    <xf numFmtId="43" fontId="144" fillId="0" borderId="0" xfId="0" applyNumberFormat="1" applyFont="1" applyAlignment="1">
      <alignment horizontal="right"/>
    </xf>
    <xf numFmtId="0" fontId="4" fillId="0" borderId="0" xfId="319" applyFont="1" applyFill="1" applyAlignment="1">
      <alignment vertical="top"/>
    </xf>
    <xf numFmtId="42" fontId="130" fillId="0" borderId="0" xfId="0" applyNumberFormat="1" applyFont="1" applyFill="1" applyProtection="1"/>
    <xf numFmtId="41" fontId="130" fillId="0" borderId="0" xfId="0" applyNumberFormat="1" applyFont="1" applyFill="1" applyBorder="1" applyProtection="1"/>
    <xf numFmtId="41" fontId="130" fillId="0" borderId="0" xfId="0" applyNumberFormat="1" applyFont="1" applyFill="1" applyProtection="1"/>
    <xf numFmtId="41" fontId="130" fillId="0" borderId="23" xfId="0" applyNumberFormat="1" applyFont="1" applyFill="1" applyBorder="1" applyProtection="1"/>
    <xf numFmtId="41" fontId="130" fillId="0" borderId="23" xfId="0" applyNumberFormat="1" applyFont="1" applyFill="1" applyBorder="1"/>
    <xf numFmtId="41" fontId="130" fillId="0" borderId="25" xfId="0" applyNumberFormat="1" applyFont="1" applyFill="1" applyBorder="1" applyProtection="1"/>
    <xf numFmtId="42" fontId="130" fillId="0" borderId="24" xfId="0" applyNumberFormat="1" applyFont="1" applyFill="1" applyBorder="1" applyProtection="1"/>
    <xf numFmtId="171" fontId="120" fillId="0" borderId="0" xfId="78" applyNumberFormat="1" applyFont="1" applyFill="1"/>
    <xf numFmtId="9" fontId="120" fillId="0" borderId="0" xfId="324" applyFont="1" applyFill="1"/>
    <xf numFmtId="0" fontId="124" fillId="0" borderId="0" xfId="319" applyFont="1" applyFill="1" applyAlignment="1">
      <alignment vertical="top"/>
    </xf>
    <xf numFmtId="41" fontId="130" fillId="0" borderId="55" xfId="0" applyNumberFormat="1" applyFont="1" applyFill="1" applyBorder="1" applyProtection="1"/>
    <xf numFmtId="171" fontId="38" fillId="0" borderId="7" xfId="78" applyNumberFormat="1" applyFont="1" applyFill="1" applyBorder="1"/>
    <xf numFmtId="49" fontId="131" fillId="0" borderId="0" xfId="319" applyNumberFormat="1" applyFont="1" applyFill="1" applyAlignment="1">
      <alignment horizontal="center" wrapText="1"/>
    </xf>
    <xf numFmtId="49" fontId="131" fillId="0" borderId="0" xfId="319" applyNumberFormat="1" applyFont="1" applyFill="1" applyBorder="1" applyAlignment="1">
      <alignment horizontal="center" wrapText="1"/>
    </xf>
    <xf numFmtId="49" fontId="131" fillId="0" borderId="0" xfId="0" applyNumberFormat="1" applyFont="1" applyFill="1" applyAlignment="1">
      <alignment horizontal="center"/>
    </xf>
    <xf numFmtId="49" fontId="131" fillId="0" borderId="0" xfId="0" applyNumberFormat="1" applyFont="1" applyFill="1" applyBorder="1" applyAlignment="1">
      <alignment horizontal="center"/>
    </xf>
    <xf numFmtId="49" fontId="131" fillId="0" borderId="23" xfId="0" applyNumberFormat="1" applyFont="1" applyFill="1" applyBorder="1" applyAlignment="1">
      <alignment horizontal="center"/>
    </xf>
    <xf numFmtId="49" fontId="131" fillId="0" borderId="0" xfId="0" applyNumberFormat="1" applyFont="1" applyFill="1" applyBorder="1" applyAlignment="1"/>
    <xf numFmtId="42" fontId="130" fillId="0" borderId="0" xfId="0" applyNumberFormat="1" applyFont="1" applyFill="1" applyBorder="1" applyProtection="1"/>
    <xf numFmtId="41" fontId="130" fillId="0" borderId="5" xfId="0" applyNumberFormat="1" applyFont="1" applyFill="1" applyBorder="1" applyProtection="1"/>
    <xf numFmtId="41" fontId="140" fillId="0" borderId="0" xfId="0" applyNumberFormat="1" applyFont="1" applyFill="1" applyBorder="1" applyProtection="1"/>
    <xf numFmtId="9" fontId="35" fillId="0" borderId="0" xfId="324" applyFont="1" applyFill="1"/>
    <xf numFmtId="43" fontId="7" fillId="0" borderId="0" xfId="319" applyNumberFormat="1" applyFill="1"/>
    <xf numFmtId="0" fontId="4" fillId="0" borderId="0" xfId="319" applyFont="1" applyFill="1"/>
    <xf numFmtId="0" fontId="27" fillId="0" borderId="0" xfId="319" applyFont="1" applyFill="1"/>
    <xf numFmtId="171" fontId="87" fillId="0" borderId="0" xfId="319" applyNumberFormat="1" applyFont="1" applyFill="1"/>
    <xf numFmtId="0" fontId="82" fillId="0" borderId="0" xfId="319" applyFont="1" applyFill="1"/>
    <xf numFmtId="171" fontId="46" fillId="0" borderId="0" xfId="78" applyNumberFormat="1" applyFont="1" applyFill="1"/>
    <xf numFmtId="171" fontId="43" fillId="0" borderId="0" xfId="78" applyNumberFormat="1" applyFont="1" applyFill="1"/>
    <xf numFmtId="171" fontId="42" fillId="0" borderId="0" xfId="78" applyNumberFormat="1" applyFont="1" applyFill="1"/>
    <xf numFmtId="37" fontId="134" fillId="0" borderId="0" xfId="0" applyNumberFormat="1" applyFont="1" applyFill="1"/>
    <xf numFmtId="37" fontId="134" fillId="0" borderId="0" xfId="0" applyFont="1" applyAlignment="1">
      <alignment horizontal="left" indent="1"/>
    </xf>
    <xf numFmtId="37" fontId="134" fillId="0" borderId="5" xfId="0" applyNumberFormat="1" applyFont="1" applyFill="1" applyBorder="1"/>
    <xf numFmtId="37" fontId="134" fillId="0" borderId="49" xfId="0" applyNumberFormat="1" applyFont="1" applyFill="1" applyBorder="1"/>
    <xf numFmtId="37" fontId="134" fillId="0" borderId="29" xfId="0" applyNumberFormat="1" applyFont="1" applyFill="1" applyBorder="1"/>
    <xf numFmtId="10" fontId="134" fillId="0" borderId="0" xfId="0" applyNumberFormat="1" applyFont="1" applyFill="1"/>
    <xf numFmtId="10" fontId="134" fillId="0" borderId="0" xfId="0" applyNumberFormat="1" applyFont="1" applyFill="1" applyBorder="1"/>
    <xf numFmtId="10" fontId="4" fillId="0" borderId="0" xfId="240" applyNumberFormat="1" applyFont="1" applyFill="1"/>
    <xf numFmtId="44" fontId="4" fillId="0" borderId="0" xfId="240" applyNumberFormat="1" applyFont="1" applyFill="1"/>
    <xf numFmtId="0" fontId="4" fillId="0" borderId="23" xfId="0" applyNumberFormat="1" applyFont="1" applyFill="1" applyBorder="1" applyProtection="1"/>
    <xf numFmtId="0" fontId="4" fillId="0" borderId="5" xfId="0" applyNumberFormat="1" applyFont="1" applyFill="1" applyBorder="1" applyProtection="1"/>
    <xf numFmtId="41" fontId="4" fillId="0" borderId="0" xfId="0" applyNumberFormat="1" applyFont="1" applyFill="1" applyBorder="1"/>
    <xf numFmtId="0" fontId="4" fillId="0" borderId="25" xfId="0" applyNumberFormat="1" applyFont="1" applyFill="1" applyBorder="1" applyProtection="1"/>
    <xf numFmtId="0" fontId="4" fillId="0" borderId="55" xfId="0" applyNumberFormat="1" applyFont="1" applyFill="1" applyBorder="1"/>
    <xf numFmtId="0" fontId="5" fillId="0" borderId="0" xfId="240" applyNumberFormat="1" applyFont="1" applyFill="1" applyBorder="1" applyAlignment="1">
      <alignment horizontal="center"/>
    </xf>
    <xf numFmtId="41" fontId="4" fillId="0" borderId="25" xfId="0" applyNumberFormat="1" applyFont="1" applyFill="1" applyBorder="1" applyProtection="1"/>
    <xf numFmtId="171" fontId="84" fillId="0" borderId="0" xfId="0" applyNumberFormat="1" applyFont="1" applyFill="1"/>
    <xf numFmtId="171" fontId="84" fillId="0" borderId="0" xfId="0" applyNumberFormat="1" applyFont="1" applyFill="1" applyProtection="1"/>
    <xf numFmtId="0" fontId="4" fillId="0" borderId="24" xfId="0" applyNumberFormat="1" applyFont="1" applyFill="1" applyBorder="1" applyProtection="1"/>
    <xf numFmtId="39" fontId="4" fillId="0" borderId="0" xfId="0" applyNumberFormat="1" applyFont="1" applyFill="1"/>
    <xf numFmtId="0" fontId="5" fillId="0" borderId="0" xfId="240" applyFont="1" applyFill="1" applyBorder="1" applyAlignment="1">
      <alignment horizontal="center"/>
    </xf>
    <xf numFmtId="171" fontId="84" fillId="0" borderId="0" xfId="0" applyNumberFormat="1" applyFont="1" applyFill="1" applyBorder="1" applyProtection="1"/>
    <xf numFmtId="41" fontId="84" fillId="0" borderId="0" xfId="0" applyNumberFormat="1" applyFont="1" applyFill="1" applyBorder="1" applyProtection="1"/>
    <xf numFmtId="41" fontId="4" fillId="0" borderId="5" xfId="0" applyNumberFormat="1" applyFont="1" applyFill="1" applyBorder="1" applyProtection="1"/>
    <xf numFmtId="43" fontId="4" fillId="0" borderId="0" xfId="0" applyNumberFormat="1" applyFont="1" applyFill="1" applyAlignment="1">
      <alignment horizontal="center"/>
    </xf>
    <xf numFmtId="43" fontId="5" fillId="0" borderId="0" xfId="0" applyNumberFormat="1" applyFont="1" applyFill="1" applyAlignment="1">
      <alignment horizontal="center"/>
    </xf>
    <xf numFmtId="41" fontId="4" fillId="0" borderId="0" xfId="0" applyNumberFormat="1" applyFont="1" applyFill="1" applyBorder="1" applyAlignment="1">
      <alignment horizontal="center"/>
    </xf>
    <xf numFmtId="41" fontId="4" fillId="0" borderId="0" xfId="203" applyNumberFormat="1" applyFont="1" applyFill="1" applyBorder="1" applyProtection="1"/>
    <xf numFmtId="41" fontId="4" fillId="0" borderId="0" xfId="0" applyNumberFormat="1" applyFont="1" applyFill="1" applyAlignment="1"/>
    <xf numFmtId="37" fontId="5" fillId="0" borderId="0" xfId="222" applyNumberFormat="1" applyFont="1" applyFill="1" applyAlignment="1">
      <alignment horizontal="center"/>
    </xf>
    <xf numFmtId="37" fontId="0" fillId="0" borderId="0" xfId="0" applyFill="1" applyAlignment="1">
      <alignment wrapText="1"/>
    </xf>
    <xf numFmtId="14" fontId="5" fillId="0" borderId="0" xfId="0" applyNumberFormat="1" applyFont="1" applyFill="1" applyAlignment="1">
      <alignment horizontal="center"/>
    </xf>
    <xf numFmtId="37" fontId="88" fillId="0" borderId="0" xfId="0" applyFont="1" applyFill="1" applyAlignment="1">
      <alignment horizontal="center"/>
    </xf>
    <xf numFmtId="37" fontId="5" fillId="0" borderId="0" xfId="0" applyFont="1" applyFill="1" applyAlignment="1">
      <alignment wrapText="1"/>
    </xf>
    <xf numFmtId="37" fontId="4" fillId="0" borderId="49" xfId="0" applyFont="1" applyFill="1" applyBorder="1"/>
    <xf numFmtId="0" fontId="146" fillId="0" borderId="0" xfId="216" applyFont="1" applyFill="1"/>
    <xf numFmtId="41" fontId="14" fillId="0" borderId="0" xfId="0" applyNumberFormat="1" applyFont="1" applyFill="1" applyBorder="1" applyAlignment="1" applyProtection="1"/>
    <xf numFmtId="41" fontId="147" fillId="0" borderId="0" xfId="0" applyNumberFormat="1" applyFont="1" applyAlignment="1" applyProtection="1">
      <alignment horizontal="center"/>
    </xf>
    <xf numFmtId="37" fontId="148" fillId="0" borderId="0" xfId="0" applyFont="1" applyFill="1"/>
    <xf numFmtId="41" fontId="4" fillId="0" borderId="5" xfId="0" applyNumberFormat="1" applyFont="1" applyFill="1" applyBorder="1"/>
    <xf numFmtId="43" fontId="0" fillId="0" borderId="0" xfId="0" applyNumberFormat="1"/>
    <xf numFmtId="0" fontId="4" fillId="0" borderId="0" xfId="195" applyFont="1" applyBorder="1"/>
    <xf numFmtId="2" fontId="4" fillId="0" borderId="0" xfId="195" applyNumberFormat="1" applyFont="1" applyBorder="1"/>
    <xf numFmtId="43" fontId="4" fillId="0" borderId="0" xfId="195" applyNumberFormat="1" applyFont="1" applyBorder="1"/>
    <xf numFmtId="171" fontId="126" fillId="0" borderId="0" xfId="101" applyNumberFormat="1" applyFont="1" applyBorder="1"/>
    <xf numFmtId="37" fontId="3" fillId="0" borderId="0" xfId="0" applyFont="1"/>
    <xf numFmtId="49" fontId="131" fillId="0" borderId="0" xfId="319" applyNumberFormat="1" applyFont="1" applyFill="1" applyAlignment="1"/>
    <xf numFmtId="49" fontId="131" fillId="0" borderId="0" xfId="319" applyNumberFormat="1" applyFont="1" applyFill="1" applyBorder="1" applyAlignment="1"/>
    <xf numFmtId="41" fontId="130" fillId="0" borderId="7" xfId="0" applyNumberFormat="1" applyFont="1" applyFill="1" applyBorder="1" applyProtection="1"/>
    <xf numFmtId="37" fontId="148" fillId="0" borderId="0" xfId="0" applyFont="1" applyFill="1" applyAlignment="1">
      <alignment horizontal="center"/>
    </xf>
    <xf numFmtId="41" fontId="20" fillId="0" borderId="0" xfId="0" applyNumberFormat="1" applyFont="1" applyFill="1"/>
    <xf numFmtId="37" fontId="14" fillId="0" borderId="0" xfId="0" applyFont="1" applyFill="1" applyAlignment="1">
      <alignment horizontal="center"/>
    </xf>
    <xf numFmtId="41" fontId="20" fillId="0" borderId="0" xfId="0" applyNumberFormat="1" applyFont="1" applyFill="1" applyProtection="1"/>
    <xf numFmtId="41" fontId="20" fillId="0" borderId="0" xfId="0" applyNumberFormat="1" applyFont="1" applyFill="1" applyAlignment="1">
      <alignment horizontal="center"/>
    </xf>
    <xf numFmtId="41" fontId="20" fillId="0" borderId="0" xfId="0" applyNumberFormat="1" applyFont="1" applyFill="1" applyAlignment="1" applyProtection="1">
      <alignment horizontal="center"/>
    </xf>
    <xf numFmtId="41" fontId="21" fillId="0" borderId="0" xfId="0" applyNumberFormat="1" applyFont="1" applyFill="1" applyAlignment="1">
      <alignment horizontal="center"/>
    </xf>
    <xf numFmtId="41" fontId="13" fillId="0" borderId="0" xfId="0" applyNumberFormat="1" applyFont="1" applyFill="1" applyBorder="1" applyProtection="1"/>
    <xf numFmtId="41" fontId="13" fillId="0" borderId="0" xfId="0" applyNumberFormat="1" applyFont="1" applyFill="1" applyProtection="1"/>
    <xf numFmtId="42" fontId="14" fillId="0" borderId="0" xfId="0" applyNumberFormat="1" applyFont="1" applyFill="1" applyProtection="1"/>
    <xf numFmtId="41" fontId="14" fillId="0" borderId="0" xfId="0" applyNumberFormat="1" applyFont="1" applyFill="1" applyBorder="1" applyProtection="1"/>
    <xf numFmtId="41" fontId="14" fillId="0" borderId="23" xfId="0" applyNumberFormat="1" applyFont="1" applyFill="1" applyBorder="1" applyProtection="1"/>
    <xf numFmtId="41" fontId="14" fillId="0" borderId="0" xfId="0" applyNumberFormat="1" applyFont="1" applyFill="1" applyAlignment="1" applyProtection="1">
      <alignment horizontal="center"/>
    </xf>
    <xf numFmtId="41" fontId="14" fillId="0" borderId="55" xfId="0" applyNumberFormat="1" applyFont="1" applyFill="1" applyBorder="1" applyAlignment="1" applyProtection="1"/>
    <xf numFmtId="41" fontId="14" fillId="0" borderId="26" xfId="0" applyNumberFormat="1" applyFont="1" applyFill="1" applyBorder="1" applyProtection="1"/>
    <xf numFmtId="42" fontId="14" fillId="0" borderId="24" xfId="0" applyNumberFormat="1" applyFont="1" applyFill="1" applyBorder="1" applyProtection="1"/>
    <xf numFmtId="41" fontId="150" fillId="0" borderId="0" xfId="0" applyNumberFormat="1" applyFont="1" applyFill="1" applyProtection="1"/>
    <xf numFmtId="0" fontId="124" fillId="0" borderId="0" xfId="319" applyFont="1" applyFill="1" applyAlignment="1">
      <alignment vertical="top" wrapText="1"/>
    </xf>
    <xf numFmtId="0" fontId="124" fillId="0" borderId="0" xfId="319" applyFont="1" applyFill="1" applyAlignment="1">
      <alignment horizontal="center"/>
    </xf>
    <xf numFmtId="4" fontId="124" fillId="0" borderId="0" xfId="319" applyNumberFormat="1" applyFont="1" applyFill="1"/>
    <xf numFmtId="4" fontId="124" fillId="0" borderId="5" xfId="319" applyNumberFormat="1" applyFont="1" applyFill="1" applyBorder="1"/>
    <xf numFmtId="41" fontId="140" fillId="0" borderId="0" xfId="0" applyNumberFormat="1" applyFont="1" applyFill="1" applyProtection="1"/>
    <xf numFmtId="17" fontId="75" fillId="0" borderId="5" xfId="226" applyNumberFormat="1" applyFont="1" applyBorder="1" applyAlignment="1">
      <alignment horizontal="left"/>
    </xf>
    <xf numFmtId="0" fontId="75" fillId="0" borderId="5" xfId="226" applyFont="1" applyBorder="1"/>
    <xf numFmtId="0" fontId="75" fillId="0" borderId="5" xfId="226" applyFont="1" applyFill="1" applyBorder="1" applyAlignment="1">
      <alignment horizontal="right"/>
    </xf>
    <xf numFmtId="0" fontId="75" fillId="0" borderId="5" xfId="226" applyFont="1" applyFill="1" applyBorder="1"/>
    <xf numFmtId="0" fontId="75" fillId="0" borderId="5" xfId="282" applyFont="1" applyFill="1" applyBorder="1"/>
    <xf numFmtId="17" fontId="75" fillId="0" borderId="0" xfId="226" applyNumberFormat="1" applyFont="1" applyBorder="1" applyAlignment="1">
      <alignment horizontal="left"/>
    </xf>
    <xf numFmtId="0" fontId="148" fillId="0" borderId="0" xfId="195" applyFont="1"/>
    <xf numFmtId="37" fontId="149" fillId="0" borderId="0" xfId="0" applyFont="1" applyFill="1" applyAlignment="1">
      <alignment horizontal="center"/>
    </xf>
    <xf numFmtId="0" fontId="148" fillId="0" borderId="0" xfId="282" applyFont="1"/>
    <xf numFmtId="0" fontId="75" fillId="0" borderId="0" xfId="226" applyFont="1" applyFill="1" applyBorder="1"/>
    <xf numFmtId="41" fontId="150" fillId="0" borderId="0" xfId="0" applyNumberFormat="1" applyFont="1" applyFill="1"/>
    <xf numFmtId="44" fontId="127" fillId="0" borderId="0" xfId="282" applyNumberFormat="1" applyFont="1" applyFill="1" applyAlignment="1">
      <alignment vertical="top"/>
    </xf>
    <xf numFmtId="43" fontId="130" fillId="0" borderId="0" xfId="267" applyNumberFormat="1" applyFont="1" applyFill="1" applyBorder="1"/>
    <xf numFmtId="49" fontId="127" fillId="0" borderId="0" xfId="282" applyNumberFormat="1" applyFont="1" applyFill="1" applyAlignment="1">
      <alignment vertical="top" wrapText="1"/>
    </xf>
    <xf numFmtId="43" fontId="127" fillId="0" borderId="0" xfId="282" applyNumberFormat="1" applyFont="1" applyFill="1" applyBorder="1" applyAlignment="1">
      <alignment vertical="top"/>
    </xf>
    <xf numFmtId="43" fontId="127" fillId="0" borderId="5" xfId="282" applyNumberFormat="1" applyFont="1" applyFill="1" applyBorder="1" applyAlignment="1">
      <alignment vertical="top"/>
    </xf>
    <xf numFmtId="43" fontId="130" fillId="0" borderId="0" xfId="267" applyNumberFormat="1" applyFont="1" applyFill="1"/>
    <xf numFmtId="0" fontId="151" fillId="0" borderId="0" xfId="282" applyFont="1"/>
    <xf numFmtId="0" fontId="124" fillId="0" borderId="0" xfId="319" applyFont="1" applyFill="1" applyAlignment="1">
      <alignment horizontal="center" vertical="center"/>
    </xf>
    <xf numFmtId="43" fontId="123" fillId="0" borderId="0" xfId="282" applyNumberFormat="1" applyFill="1" applyAlignment="1">
      <alignment horizontal="left"/>
    </xf>
    <xf numFmtId="43" fontId="123" fillId="0" borderId="5" xfId="282" applyNumberFormat="1" applyFill="1" applyBorder="1"/>
    <xf numFmtId="43" fontId="152" fillId="0" borderId="0" xfId="282" applyNumberFormat="1" applyFont="1"/>
    <xf numFmtId="43" fontId="7" fillId="0" borderId="0" xfId="78" applyFont="1" applyFill="1"/>
    <xf numFmtId="171" fontId="4" fillId="0" borderId="0" xfId="78" applyNumberFormat="1" applyFont="1" applyFill="1"/>
    <xf numFmtId="171" fontId="44" fillId="0" borderId="0" xfId="78" applyNumberFormat="1" applyFont="1" applyFill="1"/>
    <xf numFmtId="0" fontId="148" fillId="0" borderId="0" xfId="319" applyFont="1" applyFill="1"/>
    <xf numFmtId="171" fontId="50" fillId="0" borderId="0" xfId="78" applyNumberFormat="1" applyFont="1" applyFill="1"/>
    <xf numFmtId="43" fontId="153" fillId="0" borderId="0" xfId="0" applyNumberFormat="1" applyFont="1" applyFill="1" applyAlignment="1">
      <alignment horizontal="center"/>
    </xf>
    <xf numFmtId="41" fontId="5" fillId="0" borderId="0" xfId="0" applyNumberFormat="1" applyFont="1" applyFill="1"/>
    <xf numFmtId="10" fontId="4" fillId="0" borderId="0" xfId="0" applyNumberFormat="1" applyFont="1" applyFill="1" applyAlignment="1">
      <alignment horizontal="center"/>
    </xf>
    <xf numFmtId="10" fontId="4" fillId="0" borderId="0" xfId="0" applyNumberFormat="1" applyFont="1" applyFill="1"/>
    <xf numFmtId="41" fontId="4" fillId="0" borderId="49" xfId="0" applyNumberFormat="1" applyFont="1" applyFill="1" applyBorder="1" applyProtection="1"/>
    <xf numFmtId="9" fontId="4" fillId="0" borderId="0" xfId="0" applyNumberFormat="1" applyFont="1" applyFill="1"/>
    <xf numFmtId="170" fontId="128" fillId="0" borderId="0" xfId="324" applyNumberFormat="1" applyFont="1" applyFill="1" applyBorder="1" applyAlignment="1">
      <alignment wrapText="1"/>
    </xf>
    <xf numFmtId="37" fontId="5" fillId="0" borderId="0" xfId="0" applyFont="1" applyFill="1" applyBorder="1" applyAlignment="1"/>
    <xf numFmtId="0" fontId="148" fillId="0" borderId="0" xfId="240" applyFont="1" applyFill="1"/>
    <xf numFmtId="43" fontId="75" fillId="0" borderId="0" xfId="78" applyFont="1" applyFill="1"/>
    <xf numFmtId="43" fontId="75" fillId="0" borderId="0" xfId="78" applyFont="1" applyFill="1" applyAlignment="1">
      <alignment horizontal="right"/>
    </xf>
    <xf numFmtId="43" fontId="75" fillId="0" borderId="0" xfId="78" applyFont="1" applyFill="1" applyBorder="1" applyAlignment="1">
      <alignment horizontal="right"/>
    </xf>
    <xf numFmtId="43" fontId="76" fillId="0" borderId="49" xfId="78" applyFont="1" applyBorder="1"/>
    <xf numFmtId="37" fontId="155" fillId="0" borderId="0" xfId="0" applyFont="1"/>
    <xf numFmtId="0" fontId="141" fillId="0" borderId="38" xfId="282" applyFont="1" applyFill="1" applyBorder="1" applyAlignment="1">
      <alignment horizontal="center"/>
    </xf>
    <xf numFmtId="0" fontId="141" fillId="0" borderId="56" xfId="282" applyFont="1" applyFill="1" applyBorder="1" applyAlignment="1">
      <alignment horizontal="center"/>
    </xf>
    <xf numFmtId="0" fontId="141" fillId="0" borderId="57" xfId="282" applyFont="1" applyFill="1" applyBorder="1" applyAlignment="1">
      <alignment horizontal="center"/>
    </xf>
    <xf numFmtId="0" fontId="141" fillId="0" borderId="58" xfId="282" applyFont="1" applyFill="1" applyBorder="1" applyAlignment="1">
      <alignment horizontal="center"/>
    </xf>
    <xf numFmtId="0" fontId="141" fillId="0" borderId="37" xfId="282" applyFont="1" applyFill="1" applyBorder="1" applyAlignment="1">
      <alignment horizontal="center"/>
    </xf>
    <xf numFmtId="0" fontId="141" fillId="0" borderId="53" xfId="282" applyFont="1" applyFill="1" applyBorder="1" applyAlignment="1">
      <alignment horizontal="center"/>
    </xf>
    <xf numFmtId="0" fontId="141" fillId="0" borderId="50" xfId="282" applyFont="1" applyFill="1" applyBorder="1" applyAlignment="1">
      <alignment horizontal="center"/>
    </xf>
    <xf numFmtId="0" fontId="141" fillId="0" borderId="28" xfId="282" applyFont="1" applyFill="1" applyBorder="1" applyAlignment="1">
      <alignment horizontal="center"/>
    </xf>
    <xf numFmtId="43" fontId="123" fillId="0" borderId="5" xfId="282" applyNumberFormat="1" applyBorder="1"/>
    <xf numFmtId="14" fontId="154" fillId="0" borderId="0" xfId="0" applyNumberFormat="1" applyFont="1" applyFill="1" applyBorder="1" applyAlignment="1">
      <alignment horizontal="center"/>
    </xf>
    <xf numFmtId="39" fontId="154" fillId="0" borderId="0" xfId="0" applyNumberFormat="1" applyFont="1" applyFill="1" applyBorder="1" applyAlignment="1">
      <alignment horizontal="center"/>
    </xf>
    <xf numFmtId="39" fontId="154" fillId="0" borderId="0" xfId="0" applyNumberFormat="1" applyFont="1" applyFill="1" applyBorder="1"/>
    <xf numFmtId="0" fontId="148" fillId="0" borderId="0" xfId="226" applyFont="1" applyFill="1"/>
    <xf numFmtId="0" fontId="148" fillId="0" borderId="0" xfId="282" applyFont="1" applyBorder="1"/>
    <xf numFmtId="37" fontId="135" fillId="0" borderId="0" xfId="0" applyFont="1"/>
    <xf numFmtId="170" fontId="124" fillId="0" borderId="0" xfId="327" applyNumberFormat="1" applyFont="1"/>
    <xf numFmtId="0" fontId="124" fillId="0" borderId="47" xfId="195" applyFont="1" applyBorder="1"/>
    <xf numFmtId="0" fontId="124" fillId="0" borderId="45" xfId="195" applyFont="1" applyBorder="1"/>
    <xf numFmtId="43" fontId="124" fillId="0" borderId="45" xfId="78" applyFont="1" applyBorder="1"/>
    <xf numFmtId="0" fontId="124" fillId="0" borderId="46" xfId="195" applyFont="1" applyBorder="1"/>
    <xf numFmtId="43" fontId="124" fillId="0" borderId="0" xfId="195" applyNumberFormat="1" applyFont="1" applyBorder="1"/>
    <xf numFmtId="0" fontId="129" fillId="0" borderId="0" xfId="195" applyFont="1" applyBorder="1"/>
    <xf numFmtId="43" fontId="129" fillId="0" borderId="49" xfId="78" applyFont="1" applyBorder="1"/>
    <xf numFmtId="1" fontId="129" fillId="0" borderId="0" xfId="195" applyNumberFormat="1" applyFont="1" applyBorder="1"/>
    <xf numFmtId="171" fontId="129" fillId="0" borderId="49" xfId="101" applyNumberFormat="1" applyFont="1" applyBorder="1"/>
    <xf numFmtId="171" fontId="45" fillId="0" borderId="0" xfId="78" applyNumberFormat="1" applyFont="1" applyFill="1"/>
    <xf numFmtId="17" fontId="124" fillId="0" borderId="0" xfId="195" quotePrefix="1" applyNumberFormat="1" applyFont="1" applyFill="1"/>
    <xf numFmtId="0" fontId="124" fillId="0" borderId="0" xfId="195" quotePrefix="1" applyFont="1" applyFill="1"/>
    <xf numFmtId="39" fontId="141" fillId="0" borderId="7" xfId="282" applyNumberFormat="1" applyFont="1" applyFill="1" applyBorder="1" applyAlignment="1">
      <alignment horizontal="center"/>
    </xf>
    <xf numFmtId="0" fontId="5" fillId="0" borderId="0" xfId="319" applyFont="1" applyFill="1" applyAlignment="1">
      <alignment vertical="top"/>
    </xf>
    <xf numFmtId="0" fontId="5" fillId="0" borderId="29" xfId="319" applyFont="1" applyFill="1" applyBorder="1" applyAlignment="1"/>
    <xf numFmtId="171" fontId="5" fillId="0" borderId="29" xfId="319" applyNumberFormat="1" applyFont="1" applyFill="1" applyBorder="1" applyAlignment="1"/>
    <xf numFmtId="0" fontId="4" fillId="0" borderId="35" xfId="307" applyFont="1" applyBorder="1"/>
    <xf numFmtId="0" fontId="4" fillId="0" borderId="2" xfId="307" applyFont="1" applyBorder="1"/>
    <xf numFmtId="0" fontId="4" fillId="0" borderId="34" xfId="307" applyFont="1" applyBorder="1"/>
    <xf numFmtId="0" fontId="4" fillId="0" borderId="33" xfId="307" applyFont="1" applyBorder="1"/>
    <xf numFmtId="0" fontId="4" fillId="0" borderId="32" xfId="307" applyFont="1" applyBorder="1"/>
    <xf numFmtId="0" fontId="4" fillId="0" borderId="31" xfId="307" applyFont="1" applyBorder="1"/>
    <xf numFmtId="0" fontId="4" fillId="0" borderId="5" xfId="307" applyFont="1" applyBorder="1"/>
    <xf numFmtId="0" fontId="4" fillId="0" borderId="30" xfId="307" applyFont="1" applyBorder="1"/>
    <xf numFmtId="0" fontId="148" fillId="0" borderId="0" xfId="307" applyFont="1" applyFill="1"/>
    <xf numFmtId="0" fontId="148" fillId="0" borderId="0" xfId="307" applyNumberFormat="1" applyFont="1" applyFill="1"/>
    <xf numFmtId="9" fontId="148" fillId="0" borderId="0" xfId="307" applyNumberFormat="1" applyFont="1" applyFill="1" applyProtection="1"/>
    <xf numFmtId="0" fontId="148" fillId="0" borderId="0" xfId="307" applyFont="1" applyFill="1" applyAlignment="1">
      <alignment horizontal="center"/>
    </xf>
    <xf numFmtId="43" fontId="148" fillId="0" borderId="0" xfId="307" applyNumberFormat="1" applyFont="1" applyFill="1" applyBorder="1" applyProtection="1"/>
    <xf numFmtId="43" fontId="148" fillId="0" borderId="0" xfId="307" applyNumberFormat="1" applyFont="1" applyFill="1"/>
    <xf numFmtId="43" fontId="148" fillId="0" borderId="0" xfId="307" applyNumberFormat="1" applyFont="1" applyFill="1" applyProtection="1"/>
    <xf numFmtId="44" fontId="153" fillId="0" borderId="54" xfId="307" applyNumberFormat="1" applyFont="1" applyFill="1" applyBorder="1" applyAlignment="1" applyProtection="1">
      <alignment horizontal="right"/>
    </xf>
    <xf numFmtId="43" fontId="153" fillId="0" borderId="53" xfId="307" applyNumberFormat="1" applyFont="1" applyFill="1" applyBorder="1" applyProtection="1"/>
    <xf numFmtId="0" fontId="148" fillId="0" borderId="0" xfId="307" applyFont="1" applyFill="1" applyAlignment="1">
      <alignment horizontal="right"/>
    </xf>
    <xf numFmtId="43" fontId="148" fillId="0" borderId="0" xfId="307" applyNumberFormat="1" applyFont="1" applyFill="1" applyBorder="1"/>
    <xf numFmtId="10" fontId="148" fillId="0" borderId="0" xfId="307" applyNumberFormat="1" applyFont="1" applyFill="1" applyBorder="1" applyProtection="1"/>
    <xf numFmtId="173" fontId="4" fillId="0" borderId="0" xfId="282" applyNumberFormat="1" applyFont="1" applyFill="1"/>
    <xf numFmtId="167" fontId="75" fillId="0" borderId="5" xfId="226" applyNumberFormat="1" applyFont="1" applyFill="1" applyBorder="1"/>
    <xf numFmtId="43" fontId="75" fillId="0" borderId="5" xfId="78" applyFont="1" applyFill="1" applyBorder="1" applyAlignment="1">
      <alignment horizontal="right"/>
    </xf>
    <xf numFmtId="43" fontId="148" fillId="0" borderId="0" xfId="195" applyNumberFormat="1" applyFont="1"/>
    <xf numFmtId="0" fontId="148" fillId="0" borderId="0" xfId="195" applyFont="1" applyBorder="1"/>
    <xf numFmtId="179" fontId="124" fillId="0" borderId="0" xfId="195" applyNumberFormat="1" applyFont="1" applyBorder="1" applyAlignment="1">
      <alignment horizontal="left"/>
    </xf>
    <xf numFmtId="43" fontId="124" fillId="0" borderId="0" xfId="101" applyFont="1" applyBorder="1"/>
    <xf numFmtId="0" fontId="124" fillId="0" borderId="0" xfId="195" applyFont="1" applyBorder="1" applyAlignment="1">
      <alignment horizontal="right"/>
    </xf>
    <xf numFmtId="14" fontId="124" fillId="0" borderId="0" xfId="195" applyNumberFormat="1" applyFont="1" applyBorder="1"/>
    <xf numFmtId="39" fontId="0" fillId="0" borderId="0" xfId="0" applyNumberFormat="1" applyBorder="1"/>
    <xf numFmtId="43" fontId="0" fillId="0" borderId="0" xfId="101" applyFont="1" applyBorder="1"/>
    <xf numFmtId="0" fontId="124" fillId="0" borderId="45" xfId="195" applyFont="1" applyBorder="1" applyAlignment="1">
      <alignment horizontal="center"/>
    </xf>
    <xf numFmtId="0" fontId="156" fillId="0" borderId="0" xfId="307" applyFont="1" applyFill="1"/>
    <xf numFmtId="0" fontId="156" fillId="0" borderId="0" xfId="307" applyNumberFormat="1" applyFont="1" applyFill="1" applyProtection="1"/>
    <xf numFmtId="9" fontId="156" fillId="0" borderId="0" xfId="307" applyNumberFormat="1" applyFont="1" applyFill="1" applyProtection="1"/>
    <xf numFmtId="0" fontId="156" fillId="0" borderId="0" xfId="307" applyFont="1" applyFill="1" applyAlignment="1">
      <alignment horizontal="center"/>
    </xf>
    <xf numFmtId="43" fontId="156" fillId="0" borderId="0" xfId="307" applyNumberFormat="1" applyFont="1" applyFill="1" applyBorder="1" applyProtection="1"/>
    <xf numFmtId="10" fontId="156" fillId="0" borderId="0" xfId="307" applyNumberFormat="1" applyFont="1" applyFill="1" applyBorder="1" applyProtection="1"/>
    <xf numFmtId="37" fontId="26" fillId="0" borderId="0" xfId="0" applyFont="1" applyFill="1" applyAlignment="1"/>
    <xf numFmtId="0" fontId="136" fillId="0" borderId="0" xfId="195" applyFont="1"/>
    <xf numFmtId="171" fontId="7" fillId="0" borderId="0" xfId="78" applyNumberFormat="1" applyFont="1" applyFill="1" applyBorder="1"/>
    <xf numFmtId="0" fontId="7" fillId="0" borderId="0" xfId="319" applyFill="1" applyBorder="1"/>
    <xf numFmtId="171" fontId="7" fillId="0" borderId="0" xfId="319" applyNumberFormat="1" applyFill="1" applyBorder="1"/>
    <xf numFmtId="39" fontId="142" fillId="0" borderId="7" xfId="282" applyNumberFormat="1" applyFont="1" applyFill="1" applyBorder="1"/>
    <xf numFmtId="180" fontId="141" fillId="0" borderId="0" xfId="282" applyNumberFormat="1" applyFont="1" applyFill="1" applyBorder="1"/>
    <xf numFmtId="171" fontId="148" fillId="0" borderId="0" xfId="78" applyNumberFormat="1" applyFont="1" applyFill="1" applyBorder="1"/>
    <xf numFmtId="181" fontId="140" fillId="0" borderId="0" xfId="195" applyNumberFormat="1" applyFont="1"/>
    <xf numFmtId="181" fontId="142" fillId="0" borderId="0" xfId="282" applyNumberFormat="1" applyFont="1" applyFill="1"/>
    <xf numFmtId="181" fontId="5" fillId="0" borderId="0" xfId="0" applyNumberFormat="1" applyFont="1" applyFill="1" applyAlignment="1">
      <alignment horizontal="center"/>
    </xf>
    <xf numFmtId="181" fontId="141" fillId="0" borderId="0" xfId="282" applyNumberFormat="1" applyFont="1" applyFill="1" applyAlignment="1">
      <alignment horizontal="center"/>
    </xf>
    <xf numFmtId="181" fontId="157" fillId="0" borderId="28" xfId="282" applyNumberFormat="1" applyFont="1" applyFill="1" applyBorder="1" applyAlignment="1">
      <alignment horizontal="center"/>
    </xf>
    <xf numFmtId="181" fontId="157" fillId="0" borderId="50" xfId="282" applyNumberFormat="1" applyFont="1" applyFill="1" applyBorder="1" applyAlignment="1">
      <alignment horizontal="center"/>
    </xf>
    <xf numFmtId="39" fontId="158" fillId="0" borderId="0" xfId="282" applyNumberFormat="1" applyFont="1" applyFill="1"/>
    <xf numFmtId="0" fontId="5" fillId="0" borderId="0" xfId="319" applyFont="1" applyFill="1"/>
    <xf numFmtId="0" fontId="5" fillId="0" borderId="0" xfId="319" applyFont="1" applyFill="1" applyAlignment="1"/>
    <xf numFmtId="170" fontId="142" fillId="0" borderId="0" xfId="324" applyNumberFormat="1" applyFont="1" applyFill="1" applyBorder="1"/>
    <xf numFmtId="43" fontId="142" fillId="0" borderId="0" xfId="78" applyFont="1" applyFill="1" applyBorder="1"/>
    <xf numFmtId="0" fontId="4" fillId="0" borderId="0" xfId="319" applyFont="1" applyFill="1" applyAlignment="1">
      <alignment horizontal="justify" vertical="top"/>
    </xf>
    <xf numFmtId="37" fontId="0" fillId="0" borderId="0" xfId="0" applyFill="1"/>
    <xf numFmtId="37" fontId="129" fillId="0" borderId="0" xfId="0" applyFont="1" applyFill="1" applyAlignment="1">
      <alignment horizontal="center"/>
    </xf>
    <xf numFmtId="0" fontId="124" fillId="0" borderId="0" xfId="319" applyFont="1" applyFill="1" applyAlignment="1">
      <alignment horizontal="left" vertical="top"/>
    </xf>
    <xf numFmtId="0" fontId="148" fillId="0" borderId="0" xfId="319" applyFont="1" applyFill="1" applyAlignment="1">
      <alignment vertical="top"/>
    </xf>
    <xf numFmtId="37" fontId="148" fillId="0" borderId="0" xfId="0" applyFont="1" applyFill="1" applyAlignment="1">
      <alignment horizontal="right"/>
    </xf>
    <xf numFmtId="39" fontId="148" fillId="0" borderId="0" xfId="0" applyNumberFormat="1" applyFont="1" applyFill="1"/>
    <xf numFmtId="171" fontId="4" fillId="0" borderId="0" xfId="78" applyNumberFormat="1" applyFont="1" applyFill="1" applyBorder="1" applyAlignment="1"/>
    <xf numFmtId="181" fontId="142" fillId="0" borderId="60" xfId="282" applyNumberFormat="1" applyFont="1" applyFill="1" applyBorder="1"/>
    <xf numFmtId="39" fontId="140" fillId="0" borderId="59" xfId="282" applyNumberFormat="1" applyFont="1" applyFill="1" applyBorder="1"/>
    <xf numFmtId="171" fontId="4" fillId="0" borderId="0" xfId="0" applyNumberFormat="1" applyFont="1" applyFill="1" applyAlignment="1">
      <alignment horizontal="center"/>
    </xf>
    <xf numFmtId="43" fontId="129" fillId="0" borderId="0" xfId="282" applyNumberFormat="1" applyFont="1"/>
    <xf numFmtId="43" fontId="160" fillId="0" borderId="0" xfId="282" applyNumberFormat="1" applyFont="1"/>
    <xf numFmtId="43" fontId="123" fillId="0" borderId="49" xfId="282" applyNumberFormat="1" applyBorder="1"/>
    <xf numFmtId="2" fontId="131" fillId="0" borderId="13" xfId="319" applyNumberFormat="1" applyFont="1" applyFill="1" applyBorder="1" applyAlignment="1">
      <alignment horizontal="center"/>
    </xf>
    <xf numFmtId="0" fontId="161" fillId="0" borderId="0" xfId="282" applyFont="1"/>
    <xf numFmtId="0" fontId="129" fillId="0" borderId="0" xfId="195" applyFont="1"/>
    <xf numFmtId="0" fontId="15" fillId="0" borderId="0" xfId="195" applyFont="1"/>
    <xf numFmtId="0" fontId="4" fillId="0" borderId="0" xfId="195" applyFont="1"/>
    <xf numFmtId="43" fontId="162" fillId="0" borderId="0" xfId="216" applyNumberFormat="1" applyFont="1" applyFill="1"/>
    <xf numFmtId="0" fontId="162" fillId="0" borderId="0" xfId="216" applyFont="1" applyFill="1"/>
    <xf numFmtId="43" fontId="162" fillId="0" borderId="5" xfId="216" applyNumberFormat="1" applyFont="1" applyFill="1" applyBorder="1"/>
    <xf numFmtId="0" fontId="152" fillId="0" borderId="0" xfId="282" applyFont="1"/>
    <xf numFmtId="4" fontId="129" fillId="0" borderId="49" xfId="319" applyNumberFormat="1" applyFont="1" applyFill="1" applyBorder="1"/>
    <xf numFmtId="0" fontId="4" fillId="0" borderId="0" xfId="319" applyFont="1" applyFill="1" applyBorder="1"/>
    <xf numFmtId="0" fontId="5" fillId="0" borderId="0" xfId="319" applyFont="1" applyFill="1" applyBorder="1"/>
    <xf numFmtId="0" fontId="5" fillId="0" borderId="29" xfId="319" applyFont="1" applyFill="1" applyBorder="1"/>
    <xf numFmtId="43" fontId="5" fillId="0" borderId="29" xfId="319" applyNumberFormat="1" applyFont="1" applyFill="1" applyBorder="1"/>
    <xf numFmtId="171" fontId="4" fillId="0" borderId="0" xfId="78" applyNumberFormat="1" applyFont="1" applyFill="1" applyBorder="1"/>
    <xf numFmtId="37" fontId="5" fillId="0" borderId="0" xfId="0" applyFont="1" applyFill="1" applyAlignment="1">
      <alignment horizontal="center"/>
    </xf>
    <xf numFmtId="0" fontId="163" fillId="0" borderId="0" xfId="307" applyFont="1" applyFill="1" applyAlignment="1">
      <alignment horizontal="center"/>
    </xf>
    <xf numFmtId="0" fontId="127" fillId="0" borderId="0" xfId="282" applyFont="1" applyBorder="1"/>
    <xf numFmtId="43" fontId="127" fillId="0" borderId="0" xfId="282" applyNumberFormat="1" applyFont="1" applyBorder="1"/>
    <xf numFmtId="0" fontId="127" fillId="0" borderId="0" xfId="282" applyFont="1" applyBorder="1" applyAlignment="1">
      <alignment horizontal="left"/>
    </xf>
    <xf numFmtId="178" fontId="127" fillId="0" borderId="0" xfId="282" applyNumberFormat="1" applyFont="1" applyBorder="1" applyAlignment="1">
      <alignment horizontal="center"/>
    </xf>
    <xf numFmtId="7" fontId="127" fillId="0" borderId="0" xfId="129" applyNumberFormat="1" applyFont="1" applyFill="1" applyBorder="1"/>
    <xf numFmtId="178" fontId="127" fillId="0" borderId="0" xfId="282" applyNumberFormat="1" applyFont="1" applyBorder="1"/>
    <xf numFmtId="0" fontId="127" fillId="0" borderId="0" xfId="282" applyFont="1" applyBorder="1" applyAlignment="1">
      <alignment horizontal="center"/>
    </xf>
    <xf numFmtId="3" fontId="127" fillId="0" borderId="0" xfId="282" applyNumberFormat="1" applyFont="1" applyBorder="1"/>
    <xf numFmtId="43" fontId="127" fillId="0" borderId="5" xfId="282" applyNumberFormat="1" applyFont="1" applyBorder="1"/>
    <xf numFmtId="0" fontId="138" fillId="0" borderId="0" xfId="195" applyFont="1" applyAlignment="1">
      <alignment vertical="center"/>
    </xf>
    <xf numFmtId="0" fontId="124" fillId="0" borderId="0" xfId="195" applyFont="1" applyAlignment="1">
      <alignment vertical="center"/>
    </xf>
    <xf numFmtId="0" fontId="5" fillId="0" borderId="0" xfId="222" applyFont="1" applyAlignment="1">
      <alignment vertical="center"/>
    </xf>
    <xf numFmtId="0" fontId="4" fillId="0" borderId="0" xfId="222" applyFont="1" applyBorder="1" applyAlignment="1">
      <alignment vertical="center"/>
    </xf>
    <xf numFmtId="0" fontId="10" fillId="0" borderId="0" xfId="222" applyFont="1" applyBorder="1" applyAlignment="1">
      <alignment vertical="center"/>
    </xf>
    <xf numFmtId="0" fontId="10" fillId="0" borderId="0" xfId="222" applyFont="1" applyAlignment="1">
      <alignment vertical="center"/>
    </xf>
    <xf numFmtId="0" fontId="138" fillId="0" borderId="0" xfId="195" applyFont="1" applyFill="1" applyAlignment="1">
      <alignment vertical="center"/>
    </xf>
    <xf numFmtId="0" fontId="138" fillId="0" borderId="0" xfId="195" applyFont="1" applyFill="1" applyBorder="1" applyAlignment="1">
      <alignment vertical="center"/>
    </xf>
    <xf numFmtId="0" fontId="5" fillId="0" borderId="0" xfId="222" applyFont="1" applyAlignment="1">
      <alignment horizontal="center" vertical="center"/>
    </xf>
    <xf numFmtId="0" fontId="12" fillId="0" borderId="0" xfId="222" applyFont="1" applyBorder="1" applyAlignment="1">
      <alignment horizontal="center" vertical="center"/>
    </xf>
    <xf numFmtId="0" fontId="12" fillId="0" borderId="0" xfId="222" applyFont="1" applyAlignment="1">
      <alignment horizontal="center" vertical="center"/>
    </xf>
    <xf numFmtId="0" fontId="138" fillId="0" borderId="0" xfId="195" applyFont="1" applyFill="1" applyBorder="1" applyAlignment="1">
      <alignment horizontal="center" vertical="center"/>
    </xf>
    <xf numFmtId="37" fontId="5" fillId="0" borderId="0" xfId="222" applyNumberFormat="1" applyFont="1" applyFill="1" applyAlignment="1">
      <alignment horizontal="center" vertical="center"/>
    </xf>
    <xf numFmtId="37" fontId="5" fillId="0" borderId="0" xfId="0" applyFont="1" applyFill="1" applyAlignment="1">
      <alignment horizontal="center" vertical="center"/>
    </xf>
    <xf numFmtId="37" fontId="10" fillId="0" borderId="0" xfId="0" applyFont="1" applyAlignment="1">
      <alignment vertical="center"/>
    </xf>
    <xf numFmtId="37" fontId="131" fillId="0" borderId="17" xfId="0" applyFont="1" applyBorder="1" applyAlignment="1">
      <alignment horizontal="center" vertical="center"/>
    </xf>
    <xf numFmtId="37" fontId="5" fillId="0" borderId="0" xfId="0" applyFont="1" applyAlignment="1">
      <alignment horizontal="right" vertical="center"/>
    </xf>
    <xf numFmtId="4" fontId="4" fillId="0" borderId="0" xfId="0" applyNumberFormat="1" applyFont="1" applyAlignment="1">
      <alignment vertical="center"/>
    </xf>
    <xf numFmtId="37" fontId="148" fillId="0" borderId="0" xfId="0" applyFont="1" applyAlignment="1">
      <alignment vertical="center"/>
    </xf>
    <xf numFmtId="37" fontId="162" fillId="0" borderId="0" xfId="0" applyFont="1" applyAlignment="1">
      <alignment vertical="center"/>
    </xf>
    <xf numFmtId="39" fontId="10" fillId="0" borderId="0" xfId="0" applyNumberFormat="1" applyFont="1" applyAlignment="1">
      <alignment vertical="center"/>
    </xf>
    <xf numFmtId="37" fontId="148" fillId="0" borderId="0" xfId="0" applyFont="1" applyAlignment="1">
      <alignment horizontal="right" vertical="center"/>
    </xf>
    <xf numFmtId="9" fontId="148" fillId="0" borderId="0" xfId="324" applyFont="1" applyAlignment="1">
      <alignment vertical="center"/>
    </xf>
    <xf numFmtId="37" fontId="12" fillId="0" borderId="17" xfId="0" applyFont="1" applyBorder="1" applyAlignment="1">
      <alignment horizontal="center" vertical="center"/>
    </xf>
    <xf numFmtId="37" fontId="10" fillId="0" borderId="0" xfId="0" applyFont="1" applyBorder="1" applyAlignment="1">
      <alignment vertical="center"/>
    </xf>
    <xf numFmtId="4" fontId="5" fillId="0" borderId="0" xfId="0" applyNumberFormat="1" applyFont="1" applyBorder="1" applyAlignment="1">
      <alignment horizontal="right" vertical="center"/>
    </xf>
    <xf numFmtId="4" fontId="5" fillId="0" borderId="0" xfId="0" applyNumberFormat="1" applyFont="1" applyBorder="1" applyAlignment="1">
      <alignment vertical="center"/>
    </xf>
    <xf numFmtId="37" fontId="148" fillId="0" borderId="0" xfId="0" applyFont="1" applyBorder="1" applyAlignment="1">
      <alignment vertical="center"/>
    </xf>
    <xf numFmtId="43" fontId="10" fillId="0" borderId="0" xfId="78" applyFont="1" applyAlignment="1">
      <alignment horizontal="center" vertical="center"/>
    </xf>
    <xf numFmtId="39" fontId="12" fillId="0" borderId="50" xfId="0" applyNumberFormat="1" applyFont="1" applyBorder="1" applyAlignment="1">
      <alignment vertical="center"/>
    </xf>
    <xf numFmtId="37" fontId="15" fillId="0" borderId="0" xfId="0" applyFont="1" applyAlignment="1">
      <alignment vertical="center"/>
    </xf>
    <xf numFmtId="37" fontId="147" fillId="0" borderId="0" xfId="0" applyFont="1" applyAlignment="1">
      <alignment vertical="top" wrapText="1"/>
    </xf>
    <xf numFmtId="0" fontId="4" fillId="0" borderId="0" xfId="0" applyNumberFormat="1" applyFont="1" applyFill="1" applyAlignment="1">
      <alignment vertical="top" wrapText="1"/>
    </xf>
    <xf numFmtId="37" fontId="5" fillId="0" borderId="5" xfId="0" applyFont="1" applyFill="1" applyBorder="1" applyAlignment="1">
      <alignment horizontal="center"/>
    </xf>
    <xf numFmtId="10" fontId="5" fillId="0" borderId="61" xfId="0" applyNumberFormat="1" applyFont="1" applyFill="1" applyBorder="1" applyAlignment="1">
      <alignment horizontal="center"/>
    </xf>
    <xf numFmtId="37" fontId="15" fillId="0" borderId="0" xfId="0" applyFont="1" applyFill="1"/>
    <xf numFmtId="2" fontId="13" fillId="0" borderId="0" xfId="0" applyNumberFormat="1" applyFont="1"/>
    <xf numFmtId="41" fontId="14" fillId="0" borderId="5" xfId="0" applyNumberFormat="1" applyFont="1" applyFill="1" applyBorder="1" applyProtection="1"/>
    <xf numFmtId="10" fontId="124" fillId="0" borderId="0" xfId="195" applyNumberFormat="1" applyFont="1"/>
    <xf numFmtId="0" fontId="124" fillId="0" borderId="0" xfId="307" applyFont="1" applyFill="1"/>
    <xf numFmtId="0" fontId="124" fillId="0" borderId="0" xfId="307" applyNumberFormat="1" applyFont="1" applyFill="1"/>
    <xf numFmtId="9" fontId="124" fillId="0" borderId="0" xfId="307" applyNumberFormat="1" applyFont="1" applyFill="1" applyProtection="1"/>
    <xf numFmtId="0" fontId="124" fillId="0" borderId="0" xfId="307" applyFont="1" applyFill="1" applyAlignment="1">
      <alignment horizontal="center"/>
    </xf>
    <xf numFmtId="43" fontId="124" fillId="0" borderId="0" xfId="307" applyNumberFormat="1" applyFont="1" applyFill="1" applyBorder="1" applyProtection="1"/>
    <xf numFmtId="43" fontId="124" fillId="0" borderId="0" xfId="307" applyNumberFormat="1" applyFont="1" applyFill="1" applyProtection="1"/>
    <xf numFmtId="10" fontId="124" fillId="0" borderId="0" xfId="307" applyNumberFormat="1" applyFont="1" applyFill="1" applyProtection="1"/>
    <xf numFmtId="44" fontId="4" fillId="0" borderId="0" xfId="307" applyNumberFormat="1" applyFont="1" applyFill="1"/>
    <xf numFmtId="171" fontId="4" fillId="0" borderId="0" xfId="240" applyNumberFormat="1" applyFont="1" applyFill="1" applyAlignment="1">
      <alignment horizontal="center"/>
    </xf>
    <xf numFmtId="37" fontId="5" fillId="0" borderId="0" xfId="0" applyFont="1" applyFill="1" applyAlignment="1">
      <alignment horizontal="center"/>
    </xf>
    <xf numFmtId="37" fontId="5" fillId="0" borderId="0" xfId="0" applyFont="1" applyFill="1" applyBorder="1" applyAlignment="1">
      <alignment horizontal="center"/>
    </xf>
    <xf numFmtId="0" fontId="5" fillId="0" borderId="0" xfId="240" applyFont="1" applyFill="1" applyAlignment="1">
      <alignment horizontal="center"/>
    </xf>
    <xf numFmtId="0" fontId="129" fillId="0" borderId="0" xfId="240" applyFont="1" applyAlignment="1">
      <alignment horizontal="center"/>
    </xf>
    <xf numFmtId="43" fontId="127" fillId="0" borderId="0" xfId="282" applyNumberFormat="1" applyFont="1" applyFill="1" applyAlignment="1">
      <alignment horizontal="center"/>
    </xf>
    <xf numFmtId="171" fontId="135" fillId="0" borderId="0" xfId="78" applyNumberFormat="1" applyFont="1" applyFill="1"/>
    <xf numFmtId="7" fontId="127" fillId="0" borderId="0" xfId="282" applyNumberFormat="1" applyFont="1"/>
    <xf numFmtId="7" fontId="127" fillId="0" borderId="29" xfId="78" applyNumberFormat="1" applyFont="1" applyFill="1" applyBorder="1"/>
    <xf numFmtId="7" fontId="127" fillId="0" borderId="59" xfId="78" applyNumberFormat="1" applyFont="1" applyBorder="1"/>
    <xf numFmtId="7" fontId="127" fillId="0" borderId="49" xfId="282" applyNumberFormat="1" applyFont="1" applyBorder="1"/>
    <xf numFmtId="0" fontId="4" fillId="0" borderId="29" xfId="319" applyFont="1" applyFill="1" applyBorder="1" applyAlignment="1">
      <alignment vertical="top" wrapText="1"/>
    </xf>
    <xf numFmtId="171" fontId="4" fillId="0" borderId="29" xfId="78" applyNumberFormat="1" applyFont="1" applyFill="1" applyBorder="1" applyAlignment="1"/>
    <xf numFmtId="43" fontId="141" fillId="0" borderId="0" xfId="78" applyFont="1" applyFill="1" applyBorder="1" applyAlignment="1">
      <alignment horizontal="right"/>
    </xf>
    <xf numFmtId="43" fontId="157" fillId="0" borderId="0" xfId="78" applyFont="1" applyFill="1" applyBorder="1" applyAlignment="1">
      <alignment horizontal="right"/>
    </xf>
    <xf numFmtId="43" fontId="157" fillId="0" borderId="0" xfId="78" applyFont="1" applyFill="1" applyAlignment="1">
      <alignment horizontal="right"/>
    </xf>
    <xf numFmtId="10" fontId="142" fillId="0" borderId="0" xfId="282" applyNumberFormat="1" applyFont="1" applyFill="1" applyBorder="1" applyAlignment="1">
      <alignment horizontal="right"/>
    </xf>
    <xf numFmtId="2" fontId="142" fillId="0" borderId="0" xfId="282" applyNumberFormat="1" applyFont="1" applyFill="1" applyAlignment="1">
      <alignment horizontal="right"/>
    </xf>
    <xf numFmtId="39" fontId="142" fillId="0" borderId="0" xfId="282" applyNumberFormat="1" applyFont="1" applyFill="1" applyAlignment="1">
      <alignment horizontal="right"/>
    </xf>
    <xf numFmtId="43" fontId="141" fillId="0" borderId="5" xfId="78" applyFont="1" applyFill="1" applyBorder="1" applyAlignment="1">
      <alignment horizontal="right"/>
    </xf>
    <xf numFmtId="43" fontId="157" fillId="0" borderId="5" xfId="78" applyFont="1" applyFill="1" applyBorder="1" applyAlignment="1">
      <alignment horizontal="right"/>
    </xf>
    <xf numFmtId="39" fontId="142" fillId="0" borderId="5" xfId="282" applyNumberFormat="1" applyFont="1" applyFill="1" applyBorder="1" applyAlignment="1">
      <alignment horizontal="right"/>
    </xf>
    <xf numFmtId="4" fontId="142" fillId="0" borderId="5" xfId="282" applyNumberFormat="1" applyFont="1" applyFill="1" applyBorder="1" applyAlignment="1">
      <alignment horizontal="right"/>
    </xf>
    <xf numFmtId="10" fontId="10" fillId="0" borderId="0" xfId="78" applyNumberFormat="1" applyFont="1" applyAlignment="1">
      <alignment horizontal="right" vertical="center"/>
    </xf>
    <xf numFmtId="171" fontId="0" fillId="0" borderId="5" xfId="78" applyNumberFormat="1" applyFont="1" applyBorder="1"/>
    <xf numFmtId="43" fontId="5" fillId="0" borderId="0" xfId="319" applyNumberFormat="1" applyFont="1" applyFill="1" applyBorder="1"/>
    <xf numFmtId="43" fontId="4" fillId="0" borderId="0" xfId="319" applyNumberFormat="1" applyFont="1" applyFill="1" applyBorder="1"/>
    <xf numFmtId="43" fontId="129" fillId="0" borderId="29" xfId="319" applyNumberFormat="1" applyFont="1" applyFill="1" applyBorder="1"/>
    <xf numFmtId="4" fontId="124" fillId="0" borderId="0" xfId="319" applyNumberFormat="1" applyFont="1" applyFill="1" applyBorder="1"/>
    <xf numFmtId="43" fontId="124" fillId="0" borderId="0" xfId="319" applyNumberFormat="1" applyFont="1" applyFill="1" applyBorder="1"/>
    <xf numFmtId="171" fontId="129" fillId="0" borderId="0" xfId="319" applyNumberFormat="1" applyFont="1" applyFill="1" applyBorder="1"/>
    <xf numFmtId="43" fontId="124" fillId="0" borderId="5" xfId="319" applyNumberFormat="1" applyFont="1" applyFill="1" applyBorder="1"/>
    <xf numFmtId="44" fontId="10" fillId="0" borderId="24" xfId="307" applyNumberFormat="1" applyFont="1" applyFill="1" applyBorder="1"/>
    <xf numFmtId="41" fontId="10" fillId="0" borderId="0" xfId="240" applyNumberFormat="1" applyFont="1" applyFill="1"/>
    <xf numFmtId="41" fontId="4" fillId="0" borderId="61" xfId="240" applyNumberFormat="1" applyFont="1" applyFill="1" applyBorder="1"/>
    <xf numFmtId="41" fontId="5" fillId="0" borderId="0" xfId="240" applyNumberFormat="1" applyFont="1" applyFill="1" applyAlignment="1">
      <alignment horizontal="center"/>
    </xf>
    <xf numFmtId="41" fontId="5" fillId="0" borderId="0" xfId="240" applyNumberFormat="1" applyFont="1" applyFill="1" applyBorder="1" applyAlignment="1">
      <alignment horizontal="right"/>
    </xf>
    <xf numFmtId="41" fontId="4" fillId="0" borderId="7" xfId="240" applyNumberFormat="1" applyFont="1" applyFill="1" applyBorder="1"/>
    <xf numFmtId="0" fontId="5" fillId="0" borderId="0" xfId="240" applyFont="1" applyFill="1" applyBorder="1" applyAlignment="1">
      <alignment horizontal="right"/>
    </xf>
    <xf numFmtId="42" fontId="4" fillId="0" borderId="29" xfId="240" applyNumberFormat="1" applyFont="1" applyFill="1" applyBorder="1"/>
    <xf numFmtId="37" fontId="148" fillId="0" borderId="5" xfId="0" applyFont="1" applyFill="1" applyBorder="1"/>
    <xf numFmtId="37" fontId="10" fillId="0" borderId="0" xfId="0" applyFont="1" applyAlignment="1">
      <alignment horizontal="right" vertical="center"/>
    </xf>
    <xf numFmtId="41" fontId="4" fillId="0" borderId="29" xfId="0" applyNumberFormat="1" applyFont="1" applyFill="1" applyBorder="1"/>
    <xf numFmtId="182" fontId="4" fillId="0" borderId="0" xfId="0" applyNumberFormat="1" applyFont="1" applyFill="1"/>
    <xf numFmtId="41" fontId="4" fillId="0" borderId="26" xfId="0" applyNumberFormat="1" applyFont="1" applyFill="1" applyBorder="1" applyProtection="1"/>
    <xf numFmtId="171" fontId="4" fillId="0" borderId="0" xfId="78" applyNumberFormat="1" applyFont="1" applyFill="1" applyBorder="1" applyAlignment="1">
      <alignment horizontal="center"/>
    </xf>
    <xf numFmtId="171" fontId="4" fillId="0" borderId="49" xfId="78" applyNumberFormat="1" applyFont="1" applyFill="1" applyBorder="1" applyAlignment="1">
      <alignment horizontal="center"/>
    </xf>
    <xf numFmtId="43" fontId="4" fillId="0" borderId="0" xfId="78" applyNumberFormat="1" applyFont="1" applyFill="1"/>
    <xf numFmtId="0" fontId="5" fillId="0" borderId="0" xfId="240" applyFont="1" applyFill="1" applyAlignment="1">
      <alignment horizontal="center"/>
    </xf>
    <xf numFmtId="0" fontId="124" fillId="0" borderId="0" xfId="222" applyFont="1" applyFill="1" applyAlignment="1">
      <alignment horizontal="right"/>
    </xf>
    <xf numFmtId="0" fontId="130" fillId="0" borderId="63" xfId="222" applyFont="1" applyBorder="1"/>
    <xf numFmtId="170" fontId="129" fillId="0" borderId="0" xfId="329" applyNumberFormat="1" applyFont="1"/>
    <xf numFmtId="170" fontId="128" fillId="0" borderId="0" xfId="329" applyNumberFormat="1" applyFont="1"/>
    <xf numFmtId="8" fontId="130" fillId="0" borderId="13" xfId="222" applyNumberFormat="1" applyFont="1" applyBorder="1"/>
    <xf numFmtId="170" fontId="129" fillId="0" borderId="36" xfId="329" applyNumberFormat="1" applyFont="1" applyBorder="1"/>
    <xf numFmtId="170" fontId="129" fillId="0" borderId="0" xfId="329" applyNumberFormat="1" applyFont="1" applyBorder="1"/>
    <xf numFmtId="171" fontId="138" fillId="0" borderId="36" xfId="92" applyNumberFormat="1" applyFont="1" applyBorder="1"/>
    <xf numFmtId="171" fontId="129" fillId="0" borderId="0" xfId="92" applyNumberFormat="1" applyFont="1" applyBorder="1"/>
    <xf numFmtId="171" fontId="124" fillId="0" borderId="0" xfId="92" applyNumberFormat="1" applyFont="1" applyBorder="1"/>
    <xf numFmtId="0" fontId="130" fillId="0" borderId="63" xfId="222" applyFont="1" applyFill="1" applyBorder="1"/>
    <xf numFmtId="0" fontId="139" fillId="0" borderId="13" xfId="222" applyFont="1" applyFill="1" applyBorder="1"/>
    <xf numFmtId="171" fontId="124" fillId="0" borderId="38" xfId="92" applyNumberFormat="1" applyFont="1" applyBorder="1"/>
    <xf numFmtId="171" fontId="124" fillId="0" borderId="17" xfId="92" applyNumberFormat="1" applyFont="1" applyBorder="1"/>
    <xf numFmtId="0" fontId="130" fillId="38" borderId="63" xfId="222" applyFont="1" applyFill="1" applyBorder="1"/>
    <xf numFmtId="9" fontId="129" fillId="0" borderId="0" xfId="329" applyFont="1" applyBorder="1"/>
    <xf numFmtId="0" fontId="139" fillId="0" borderId="13" xfId="222" applyFont="1" applyBorder="1"/>
    <xf numFmtId="0" fontId="130" fillId="24" borderId="13" xfId="222" applyFont="1" applyFill="1" applyBorder="1"/>
    <xf numFmtId="0" fontId="130" fillId="37" borderId="63" xfId="222" applyFont="1" applyFill="1" applyBorder="1"/>
    <xf numFmtId="8" fontId="130" fillId="0" borderId="13" xfId="222" applyNumberFormat="1" applyFont="1" applyFill="1" applyBorder="1"/>
    <xf numFmtId="43" fontId="124" fillId="0" borderId="0" xfId="92" applyFont="1"/>
    <xf numFmtId="170" fontId="124" fillId="0" borderId="17" xfId="329" applyNumberFormat="1" applyFont="1" applyBorder="1"/>
    <xf numFmtId="170" fontId="124" fillId="0" borderId="0" xfId="329" applyNumberFormat="1" applyFont="1" applyBorder="1"/>
    <xf numFmtId="171" fontId="124" fillId="0" borderId="36" xfId="92" applyNumberFormat="1" applyFont="1" applyBorder="1"/>
    <xf numFmtId="170" fontId="138" fillId="0" borderId="0" xfId="222" applyNumberFormat="1" applyFont="1" applyBorder="1"/>
    <xf numFmtId="41" fontId="4" fillId="0" borderId="64" xfId="0" applyNumberFormat="1" applyFont="1" applyFill="1" applyBorder="1" applyProtection="1"/>
    <xf numFmtId="37" fontId="15" fillId="0" borderId="66" xfId="0" applyFont="1" applyFill="1" applyBorder="1" applyAlignment="1">
      <alignment horizontal="center"/>
    </xf>
    <xf numFmtId="41" fontId="4" fillId="0" borderId="66" xfId="0" applyNumberFormat="1" applyFont="1" applyFill="1" applyBorder="1"/>
    <xf numFmtId="41" fontId="4" fillId="0" borderId="67" xfId="0" applyNumberFormat="1" applyFont="1" applyFill="1" applyBorder="1" applyProtection="1"/>
    <xf numFmtId="41" fontId="4" fillId="0" borderId="65" xfId="0" applyNumberFormat="1" applyFont="1" applyFill="1" applyBorder="1" applyProtection="1"/>
    <xf numFmtId="37" fontId="0" fillId="0" borderId="0" xfId="0" applyFill="1"/>
    <xf numFmtId="39" fontId="0" fillId="0" borderId="0" xfId="0" applyNumberFormat="1"/>
    <xf numFmtId="0" fontId="129" fillId="0" borderId="0" xfId="222" applyFont="1" applyAlignment="1">
      <alignment horizontal="center"/>
    </xf>
    <xf numFmtId="0" fontId="129" fillId="0" borderId="0" xfId="222" applyFont="1" applyBorder="1" applyAlignment="1">
      <alignment horizontal="center"/>
    </xf>
    <xf numFmtId="0" fontId="128" fillId="0" borderId="0" xfId="222" applyFont="1" applyBorder="1" applyAlignment="1">
      <alignment horizontal="center"/>
    </xf>
    <xf numFmtId="37" fontId="129" fillId="0" borderId="0" xfId="222" applyNumberFormat="1" applyFont="1" applyAlignment="1">
      <alignment horizontal="center"/>
    </xf>
    <xf numFmtId="43" fontId="124" fillId="0" borderId="0" xfId="78" applyFont="1" applyFill="1"/>
    <xf numFmtId="37" fontId="166" fillId="0" borderId="0" xfId="0" applyFont="1" applyAlignment="1">
      <alignment horizontal="center"/>
    </xf>
    <xf numFmtId="37" fontId="165" fillId="0" borderId="0" xfId="0" applyFont="1" applyAlignment="1">
      <alignment horizontal="center"/>
    </xf>
    <xf numFmtId="37" fontId="0" fillId="0" borderId="13" xfId="0" applyBorder="1"/>
    <xf numFmtId="37" fontId="165" fillId="0" borderId="0" xfId="0" applyFont="1" applyFill="1"/>
    <xf numFmtId="37" fontId="167" fillId="0" borderId="13" xfId="0" applyFont="1" applyBorder="1"/>
    <xf numFmtId="2" fontId="0" fillId="0" borderId="0" xfId="0" applyNumberFormat="1"/>
    <xf numFmtId="37" fontId="0" fillId="0" borderId="13" xfId="0" applyFill="1" applyBorder="1"/>
    <xf numFmtId="37" fontId="134" fillId="0" borderId="0" xfId="0" applyFont="1" applyFill="1" applyBorder="1" applyAlignment="1">
      <alignment horizontal="center"/>
    </xf>
    <xf numFmtId="37" fontId="138" fillId="0" borderId="13" xfId="0" applyFont="1" applyFill="1" applyBorder="1"/>
    <xf numFmtId="37" fontId="138" fillId="0" borderId="0" xfId="0" applyFont="1" applyFill="1" applyBorder="1"/>
    <xf numFmtId="44" fontId="0" fillId="0" borderId="0" xfId="129" applyFont="1"/>
    <xf numFmtId="37" fontId="131" fillId="0" borderId="0" xfId="0" applyFont="1" applyBorder="1" applyAlignment="1">
      <alignment horizontal="left"/>
    </xf>
    <xf numFmtId="37" fontId="131" fillId="0" borderId="0" xfId="0" applyFont="1" applyFill="1" applyBorder="1" applyAlignment="1">
      <alignment horizontal="left"/>
    </xf>
    <xf numFmtId="37" fontId="0" fillId="0" borderId="0" xfId="0" applyBorder="1" applyAlignment="1">
      <alignment horizontal="left"/>
    </xf>
    <xf numFmtId="0" fontId="130" fillId="0" borderId="68" xfId="222" applyFont="1" applyBorder="1"/>
    <xf numFmtId="0" fontId="130" fillId="0" borderId="69" xfId="222" applyFont="1" applyBorder="1"/>
    <xf numFmtId="0" fontId="130" fillId="0" borderId="70" xfId="222" applyFont="1" applyBorder="1"/>
    <xf numFmtId="0" fontId="128" fillId="0" borderId="71" xfId="222" applyFont="1" applyBorder="1"/>
    <xf numFmtId="4" fontId="129" fillId="0" borderId="0" xfId="329" applyNumberFormat="1" applyFont="1" applyBorder="1"/>
    <xf numFmtId="4" fontId="129" fillId="0" borderId="31" xfId="329" applyNumberFormat="1" applyFont="1" applyBorder="1"/>
    <xf numFmtId="0" fontId="130" fillId="0" borderId="71" xfId="222" applyFont="1" applyBorder="1"/>
    <xf numFmtId="0" fontId="130" fillId="0" borderId="62" xfId="222" applyFont="1" applyBorder="1"/>
    <xf numFmtId="4" fontId="129" fillId="0" borderId="5" xfId="329" applyNumberFormat="1" applyFont="1" applyBorder="1"/>
    <xf numFmtId="0" fontId="130" fillId="0" borderId="62" xfId="222" applyFont="1" applyFill="1" applyBorder="1"/>
    <xf numFmtId="0" fontId="124" fillId="0" borderId="0" xfId="222" applyFont="1" applyFill="1" applyBorder="1"/>
    <xf numFmtId="43" fontId="124" fillId="0" borderId="0" xfId="92" applyFont="1" applyFill="1"/>
    <xf numFmtId="37" fontId="0" fillId="0" borderId="0" xfId="0" applyFill="1"/>
    <xf numFmtId="3" fontId="124" fillId="0" borderId="0" xfId="319" applyNumberFormat="1" applyFont="1" applyFill="1"/>
    <xf numFmtId="43" fontId="129" fillId="0" borderId="49" xfId="78" applyFont="1" applyFill="1" applyBorder="1"/>
    <xf numFmtId="41" fontId="168" fillId="0" borderId="0" xfId="0" applyNumberFormat="1" applyFont="1" applyFill="1" applyBorder="1"/>
    <xf numFmtId="37" fontId="5" fillId="0" borderId="0" xfId="222" applyNumberFormat="1" applyFont="1" applyFill="1" applyAlignment="1">
      <alignment vertical="center"/>
    </xf>
    <xf numFmtId="37" fontId="5" fillId="0" borderId="0" xfId="222" applyNumberFormat="1" applyFont="1" applyFill="1" applyAlignment="1"/>
    <xf numFmtId="0" fontId="5" fillId="0" borderId="0" xfId="222" applyFont="1" applyAlignment="1"/>
    <xf numFmtId="37" fontId="5" fillId="0" borderId="0" xfId="0" applyFont="1" applyFill="1" applyAlignment="1">
      <alignment horizontal="center"/>
    </xf>
    <xf numFmtId="0" fontId="5" fillId="0" borderId="0" xfId="240" applyFont="1" applyFill="1" applyAlignment="1">
      <alignment horizontal="center"/>
    </xf>
    <xf numFmtId="37" fontId="4" fillId="39" borderId="0" xfId="0" applyFont="1" applyFill="1"/>
    <xf numFmtId="0" fontId="10" fillId="39" borderId="0" xfId="0" applyNumberFormat="1" applyFont="1" applyFill="1"/>
    <xf numFmtId="170" fontId="128" fillId="0" borderId="47" xfId="329" applyNumberFormat="1" applyFont="1" applyFill="1" applyBorder="1"/>
    <xf numFmtId="170" fontId="129" fillId="0" borderId="45" xfId="329" applyNumberFormat="1" applyFont="1" applyFill="1" applyBorder="1"/>
    <xf numFmtId="0" fontId="129" fillId="0" borderId="45" xfId="222" applyFont="1" applyFill="1" applyBorder="1"/>
    <xf numFmtId="0" fontId="124" fillId="0" borderId="46" xfId="222" applyFont="1" applyFill="1" applyBorder="1"/>
    <xf numFmtId="37" fontId="5" fillId="0" borderId="0" xfId="240" applyNumberFormat="1" applyFont="1" applyFill="1" applyAlignment="1"/>
    <xf numFmtId="37" fontId="0" fillId="0" borderId="0" xfId="0" applyFill="1"/>
    <xf numFmtId="0" fontId="24" fillId="41" borderId="0" xfId="423" applyNumberFormat="1" applyFill="1"/>
    <xf numFmtId="0" fontId="170" fillId="41" borderId="0" xfId="423" applyNumberFormat="1" applyFont="1" applyFill="1"/>
    <xf numFmtId="0" fontId="170" fillId="41" borderId="17" xfId="423" applyNumberFormat="1" applyFont="1" applyFill="1" applyBorder="1"/>
    <xf numFmtId="0" fontId="170" fillId="0" borderId="33" xfId="423" applyNumberFormat="1" applyFont="1" applyFill="1" applyBorder="1"/>
    <xf numFmtId="0" fontId="170" fillId="0" borderId="0" xfId="423" applyNumberFormat="1" applyFont="1" applyFill="1" applyAlignment="1">
      <alignment horizontal="center"/>
    </xf>
    <xf numFmtId="0" fontId="170" fillId="0" borderId="0" xfId="423" applyNumberFormat="1" applyFont="1" applyFill="1"/>
    <xf numFmtId="0" fontId="172" fillId="40" borderId="53" xfId="427" applyNumberFormat="1" applyFont="1" applyBorder="1" applyAlignment="1">
      <alignment horizontal="centerContinuous"/>
    </xf>
    <xf numFmtId="0" fontId="173" fillId="40" borderId="6" xfId="427" applyNumberFormat="1" applyFont="1" applyBorder="1" applyAlignment="1">
      <alignment horizontal="centerContinuous"/>
    </xf>
    <xf numFmtId="0" fontId="173" fillId="40" borderId="6" xfId="427" applyNumberFormat="1" applyFont="1" applyBorder="1" applyAlignment="1">
      <alignment horizontal="left"/>
    </xf>
    <xf numFmtId="0" fontId="24" fillId="22" borderId="0" xfId="423" applyNumberFormat="1"/>
    <xf numFmtId="0" fontId="24" fillId="22" borderId="33" xfId="423" applyNumberFormat="1" applyBorder="1"/>
    <xf numFmtId="0" fontId="174" fillId="22" borderId="62" xfId="423" applyNumberFormat="1" applyFont="1" applyBorder="1" applyAlignment="1">
      <alignment horizontal="centerContinuous"/>
    </xf>
    <xf numFmtId="0" fontId="174" fillId="22" borderId="63" xfId="423" applyNumberFormat="1" applyFont="1" applyBorder="1" applyAlignment="1">
      <alignment horizontal="centerContinuous"/>
    </xf>
    <xf numFmtId="0" fontId="24" fillId="22" borderId="63" xfId="423" applyNumberFormat="1" applyBorder="1" applyAlignment="1">
      <alignment horizontal="centerContinuous"/>
    </xf>
    <xf numFmtId="0" fontId="4" fillId="22" borderId="72" xfId="423" applyNumberFormat="1" applyFont="1" applyBorder="1"/>
    <xf numFmtId="0" fontId="4" fillId="22" borderId="0" xfId="423" applyNumberFormat="1" applyFont="1"/>
    <xf numFmtId="0" fontId="175" fillId="22" borderId="0" xfId="423" applyNumberFormat="1" applyFont="1" applyAlignment="1">
      <alignment horizontal="center"/>
    </xf>
    <xf numFmtId="0" fontId="24" fillId="22" borderId="0" xfId="423" applyNumberFormat="1" applyAlignment="1">
      <alignment horizontal="center"/>
    </xf>
    <xf numFmtId="0" fontId="173" fillId="40" borderId="73" xfId="427" applyNumberFormat="1" applyFont="1" applyBorder="1" applyAlignment="1">
      <alignment horizontal="left"/>
    </xf>
    <xf numFmtId="0" fontId="173" fillId="40" borderId="62" xfId="427" applyNumberFormat="1" applyFont="1" applyBorder="1" applyAlignment="1">
      <alignment horizontal="left"/>
    </xf>
    <xf numFmtId="0" fontId="24" fillId="42" borderId="0" xfId="423" applyNumberFormat="1" applyFill="1" applyBorder="1"/>
    <xf numFmtId="0" fontId="4" fillId="22" borderId="33" xfId="423" applyNumberFormat="1" applyFont="1" applyBorder="1"/>
    <xf numFmtId="0" fontId="176" fillId="43" borderId="0" xfId="423" applyNumberFormat="1" applyFont="1" applyFill="1" applyAlignment="1">
      <alignment horizontal="center"/>
    </xf>
    <xf numFmtId="0" fontId="177" fillId="41" borderId="0" xfId="423" applyNumberFormat="1" applyFont="1" applyFill="1"/>
    <xf numFmtId="0" fontId="178" fillId="22" borderId="40" xfId="423" applyNumberFormat="1" applyFont="1" applyBorder="1" applyAlignment="1">
      <alignment horizontal="right"/>
    </xf>
    <xf numFmtId="41" fontId="4" fillId="0" borderId="30" xfId="426" applyFont="1" applyFill="1" applyBorder="1">
      <alignment horizontal="left"/>
    </xf>
    <xf numFmtId="0" fontId="178" fillId="22" borderId="33" xfId="423" applyNumberFormat="1" applyFont="1" applyBorder="1"/>
    <xf numFmtId="0" fontId="178" fillId="22" borderId="0" xfId="423" applyNumberFormat="1" applyFont="1"/>
    <xf numFmtId="0" fontId="179" fillId="43" borderId="0" xfId="423" applyNumberFormat="1" applyFont="1" applyFill="1" applyAlignment="1">
      <alignment horizontal="center"/>
    </xf>
    <xf numFmtId="41" fontId="24" fillId="41" borderId="0" xfId="423" applyNumberFormat="1" applyFill="1"/>
    <xf numFmtId="0" fontId="10" fillId="22" borderId="0" xfId="423" applyNumberFormat="1" applyFont="1"/>
    <xf numFmtId="41" fontId="4" fillId="0" borderId="63" xfId="426" applyFont="1" applyFill="1" applyBorder="1">
      <alignment horizontal="left"/>
    </xf>
    <xf numFmtId="0" fontId="178" fillId="22" borderId="31" xfId="423" applyNumberFormat="1" applyFont="1" applyBorder="1"/>
    <xf numFmtId="0" fontId="176" fillId="43" borderId="5" xfId="423" applyNumberFormat="1" applyFont="1" applyFill="1" applyBorder="1"/>
    <xf numFmtId="0" fontId="179" fillId="43" borderId="5" xfId="423" applyNumberFormat="1" applyFont="1" applyFill="1" applyBorder="1" applyAlignment="1">
      <alignment horizontal="center"/>
    </xf>
    <xf numFmtId="0" fontId="179" fillId="43" borderId="5" xfId="423" applyNumberFormat="1" applyFont="1" applyFill="1" applyBorder="1"/>
    <xf numFmtId="0" fontId="24" fillId="22" borderId="74" xfId="423" applyNumberFormat="1" applyBorder="1" applyAlignment="1">
      <alignment horizontal="center"/>
    </xf>
    <xf numFmtId="2" fontId="24" fillId="22" borderId="74" xfId="423" applyNumberFormat="1" applyBorder="1" applyAlignment="1">
      <alignment horizontal="center"/>
    </xf>
    <xf numFmtId="183" fontId="24" fillId="22" borderId="75" xfId="423" applyNumberFormat="1" applyBorder="1"/>
    <xf numFmtId="10" fontId="180" fillId="22" borderId="75" xfId="423" applyNumberFormat="1" applyFont="1" applyBorder="1"/>
    <xf numFmtId="41" fontId="24" fillId="22" borderId="70" xfId="423" applyNumberFormat="1" applyBorder="1"/>
    <xf numFmtId="41" fontId="24" fillId="22" borderId="74" xfId="423" applyNumberFormat="1" applyBorder="1"/>
    <xf numFmtId="41" fontId="24" fillId="22" borderId="75" xfId="423" applyNumberFormat="1" applyBorder="1"/>
    <xf numFmtId="0" fontId="178" fillId="22" borderId="68" xfId="423" applyNumberFormat="1" applyFont="1" applyBorder="1" applyAlignment="1">
      <alignment horizontal="center"/>
    </xf>
    <xf numFmtId="0" fontId="178" fillId="22" borderId="0" xfId="423" applyNumberFormat="1" applyFont="1" applyAlignment="1">
      <alignment horizontal="right"/>
    </xf>
    <xf numFmtId="41" fontId="178" fillId="22" borderId="0" xfId="423" applyNumberFormat="1" applyFont="1"/>
    <xf numFmtId="0" fontId="181" fillId="22" borderId="33" xfId="423" applyNumberFormat="1" applyFont="1" applyBorder="1" applyAlignment="1">
      <alignment horizontal="center"/>
    </xf>
    <xf numFmtId="2" fontId="24" fillId="22" borderId="33" xfId="423" applyNumberFormat="1" applyBorder="1" applyAlignment="1">
      <alignment horizontal="center"/>
    </xf>
    <xf numFmtId="183" fontId="24" fillId="22" borderId="0" xfId="423" applyNumberFormat="1" applyBorder="1"/>
    <xf numFmtId="10" fontId="180" fillId="22" borderId="0" xfId="423" applyNumberFormat="1" applyFont="1" applyBorder="1"/>
    <xf numFmtId="41" fontId="24" fillId="22" borderId="32" xfId="423" applyNumberFormat="1" applyBorder="1"/>
    <xf numFmtId="41" fontId="24" fillId="22" borderId="33" xfId="423" applyNumberFormat="1" applyBorder="1"/>
    <xf numFmtId="41" fontId="24" fillId="22" borderId="0" xfId="423" applyNumberFormat="1" applyBorder="1"/>
    <xf numFmtId="10" fontId="4" fillId="0" borderId="63" xfId="425" applyFont="1" applyFill="1" applyBorder="1"/>
    <xf numFmtId="0" fontId="178" fillId="22" borderId="40" xfId="423" applyNumberFormat="1" applyFont="1" applyBorder="1" applyAlignment="1">
      <alignment horizontal="center"/>
    </xf>
    <xf numFmtId="0" fontId="24" fillId="22" borderId="33" xfId="423" applyNumberFormat="1" applyBorder="1" applyAlignment="1">
      <alignment horizontal="center"/>
    </xf>
    <xf numFmtId="41" fontId="178" fillId="22" borderId="71" xfId="423" applyNumberFormat="1" applyFont="1" applyBorder="1"/>
    <xf numFmtId="5" fontId="178" fillId="22" borderId="71" xfId="423" applyNumberFormat="1" applyFont="1" applyBorder="1"/>
    <xf numFmtId="0" fontId="24" fillId="22" borderId="31" xfId="423" applyNumberFormat="1" applyBorder="1" applyAlignment="1">
      <alignment horizontal="center"/>
    </xf>
    <xf numFmtId="0" fontId="179" fillId="22" borderId="40" xfId="423" applyNumberFormat="1" applyFont="1" applyBorder="1" applyAlignment="1">
      <alignment horizontal="right"/>
    </xf>
    <xf numFmtId="164" fontId="4" fillId="0" borderId="63" xfId="425" applyNumberFormat="1" applyFont="1" applyFill="1" applyBorder="1"/>
    <xf numFmtId="183" fontId="181" fillId="22" borderId="0" xfId="423" applyNumberFormat="1" applyFont="1" applyBorder="1"/>
    <xf numFmtId="0" fontId="178" fillId="22" borderId="44" xfId="423" applyNumberFormat="1" applyFont="1" applyBorder="1" applyAlignment="1">
      <alignment horizontal="right"/>
    </xf>
    <xf numFmtId="41" fontId="178" fillId="22" borderId="76" xfId="423" applyNumberFormat="1" applyFont="1" applyBorder="1"/>
    <xf numFmtId="183" fontId="24" fillId="22" borderId="5" xfId="423" applyNumberFormat="1" applyBorder="1"/>
    <xf numFmtId="41" fontId="4" fillId="22" borderId="0" xfId="423" applyNumberFormat="1" applyFont="1"/>
    <xf numFmtId="0" fontId="178" fillId="22" borderId="77" xfId="423" applyNumberFormat="1" applyFont="1" applyBorder="1" applyAlignment="1">
      <alignment horizontal="right"/>
    </xf>
    <xf numFmtId="10" fontId="178" fillId="22" borderId="0" xfId="423" applyNumberFormat="1" applyFont="1" applyAlignment="1">
      <alignment horizontal="right"/>
    </xf>
    <xf numFmtId="41" fontId="4" fillId="32" borderId="0" xfId="426" applyFont="1" applyAlignment="1">
      <alignment horizontal="right"/>
    </xf>
    <xf numFmtId="0" fontId="24" fillId="22" borderId="0" xfId="423" applyNumberFormat="1" applyAlignment="1">
      <alignment horizontal="right"/>
    </xf>
    <xf numFmtId="0" fontId="24" fillId="22" borderId="78" xfId="423" applyNumberFormat="1" applyBorder="1" applyAlignment="1">
      <alignment horizontal="center"/>
    </xf>
    <xf numFmtId="2" fontId="24" fillId="22" borderId="78" xfId="423" applyNumberFormat="1" applyBorder="1" applyAlignment="1">
      <alignment horizontal="center"/>
    </xf>
    <xf numFmtId="183" fontId="24" fillId="22" borderId="79" xfId="423" applyNumberFormat="1" applyBorder="1"/>
    <xf numFmtId="10" fontId="180" fillId="22" borderId="79" xfId="423" applyNumberFormat="1" applyFont="1" applyBorder="1"/>
    <xf numFmtId="41" fontId="24" fillId="22" borderId="80" xfId="423" applyNumberFormat="1" applyBorder="1"/>
    <xf numFmtId="41" fontId="24" fillId="22" borderId="78" xfId="423" applyNumberFormat="1" applyBorder="1"/>
    <xf numFmtId="41" fontId="24" fillId="22" borderId="79" xfId="423" applyNumberFormat="1" applyBorder="1"/>
    <xf numFmtId="0" fontId="176" fillId="43" borderId="78" xfId="423" applyNumberFormat="1" applyFont="1" applyFill="1" applyBorder="1" applyAlignment="1">
      <alignment horizontal="left"/>
    </xf>
    <xf numFmtId="0" fontId="24" fillId="22" borderId="79" xfId="423" applyNumberFormat="1" applyBorder="1"/>
    <xf numFmtId="0" fontId="24" fillId="22" borderId="80" xfId="423" applyNumberFormat="1" applyBorder="1"/>
    <xf numFmtId="0" fontId="178" fillId="22" borderId="0" xfId="423" applyNumberFormat="1" applyFont="1" applyBorder="1" applyAlignment="1">
      <alignment horizontal="right"/>
    </xf>
    <xf numFmtId="41" fontId="178" fillId="22" borderId="0" xfId="423" applyNumberFormat="1" applyFont="1" applyBorder="1"/>
    <xf numFmtId="0" fontId="182" fillId="22" borderId="0" xfId="423" applyNumberFormat="1" applyFont="1" applyBorder="1" applyAlignment="1">
      <alignment horizontal="left"/>
    </xf>
    <xf numFmtId="41" fontId="178" fillId="22" borderId="32" xfId="423" applyNumberFormat="1" applyFont="1" applyBorder="1"/>
    <xf numFmtId="0" fontId="171" fillId="41" borderId="0" xfId="423" applyNumberFormat="1" applyFont="1" applyFill="1"/>
    <xf numFmtId="0" fontId="179" fillId="22" borderId="0" xfId="423" applyNumberFormat="1" applyFont="1" applyBorder="1" applyAlignment="1">
      <alignment horizontal="right"/>
    </xf>
    <xf numFmtId="41" fontId="179" fillId="22" borderId="49" xfId="423" applyNumberFormat="1" applyFont="1" applyBorder="1"/>
    <xf numFmtId="0" fontId="24" fillId="22" borderId="0" xfId="423" applyNumberFormat="1" applyBorder="1"/>
    <xf numFmtId="41" fontId="179" fillId="22" borderId="82" xfId="423" applyNumberFormat="1" applyFont="1" applyBorder="1"/>
    <xf numFmtId="0" fontId="24" fillId="22" borderId="31" xfId="423" applyNumberFormat="1" applyBorder="1"/>
    <xf numFmtId="0" fontId="24" fillId="22" borderId="5" xfId="423" applyNumberFormat="1" applyBorder="1"/>
    <xf numFmtId="0" fontId="24" fillId="22" borderId="30" xfId="423" applyNumberFormat="1" applyBorder="1"/>
    <xf numFmtId="0" fontId="4" fillId="22" borderId="0" xfId="423" applyNumberFormat="1" applyFont="1" applyBorder="1"/>
    <xf numFmtId="0" fontId="176" fillId="43" borderId="0" xfId="423" applyNumberFormat="1" applyFont="1" applyFill="1" applyBorder="1" applyAlignment="1">
      <alignment horizontal="right"/>
    </xf>
    <xf numFmtId="0" fontId="176" fillId="32" borderId="0" xfId="423" applyNumberFormat="1" applyFont="1" applyFill="1" applyBorder="1" applyAlignment="1">
      <alignment horizontal="centerContinuous"/>
    </xf>
    <xf numFmtId="0" fontId="183" fillId="22" borderId="0" xfId="423" applyNumberFormat="1" applyFont="1" applyAlignment="1">
      <alignment horizontal="right"/>
    </xf>
    <xf numFmtId="41" fontId="183" fillId="22" borderId="0" xfId="423" applyNumberFormat="1" applyFont="1" applyAlignment="1">
      <alignment horizontal="center"/>
    </xf>
    <xf numFmtId="0" fontId="183" fillId="22" borderId="0" xfId="423" applyNumberFormat="1" applyFont="1" applyAlignment="1">
      <alignment horizontal="center"/>
    </xf>
    <xf numFmtId="37" fontId="24" fillId="22" borderId="0" xfId="423" applyNumberFormat="1"/>
    <xf numFmtId="39" fontId="24" fillId="22" borderId="0" xfId="423" applyNumberFormat="1"/>
    <xf numFmtId="183" fontId="24" fillId="22" borderId="0" xfId="423" applyNumberFormat="1"/>
    <xf numFmtId="10" fontId="178" fillId="22" borderId="0" xfId="423" applyNumberFormat="1" applyFont="1" applyAlignment="1">
      <alignment horizontal="center"/>
    </xf>
    <xf numFmtId="41" fontId="178" fillId="22" borderId="0" xfId="423" applyNumberFormat="1" applyFont="1" applyBorder="1" applyProtection="1">
      <protection locked="0"/>
    </xf>
    <xf numFmtId="41" fontId="178" fillId="22" borderId="5" xfId="423" applyNumberFormat="1" applyFont="1" applyBorder="1" applyProtection="1">
      <protection locked="0"/>
    </xf>
    <xf numFmtId="9" fontId="178" fillId="22" borderId="0" xfId="423" applyNumberFormat="1" applyFont="1" applyAlignment="1">
      <alignment horizontal="center"/>
    </xf>
    <xf numFmtId="41" fontId="178" fillId="22" borderId="83" xfId="423" applyNumberFormat="1" applyFont="1" applyBorder="1"/>
    <xf numFmtId="0" fontId="4" fillId="22" borderId="0" xfId="423" applyNumberFormat="1" applyFont="1" applyAlignment="1">
      <alignment horizontal="right"/>
    </xf>
    <xf numFmtId="10" fontId="178" fillId="22" borderId="83" xfId="423" applyNumberFormat="1" applyFont="1" applyBorder="1" applyAlignment="1">
      <alignment horizontal="center"/>
    </xf>
    <xf numFmtId="0" fontId="179" fillId="22" borderId="0" xfId="423" applyNumberFormat="1" applyFont="1" applyAlignment="1">
      <alignment horizontal="center"/>
    </xf>
    <xf numFmtId="0" fontId="184" fillId="22" borderId="0" xfId="423" applyNumberFormat="1" applyFont="1"/>
    <xf numFmtId="0" fontId="179" fillId="22" borderId="0" xfId="423" applyNumberFormat="1" applyFont="1"/>
    <xf numFmtId="0" fontId="184" fillId="22" borderId="0" xfId="423" applyNumberFormat="1" applyFont="1" applyAlignment="1">
      <alignment horizontal="right"/>
    </xf>
    <xf numFmtId="10" fontId="178" fillId="22" borderId="0" xfId="423" applyNumberFormat="1" applyFont="1"/>
    <xf numFmtId="10" fontId="24" fillId="41" borderId="0" xfId="423" applyNumberFormat="1" applyFill="1"/>
    <xf numFmtId="0" fontId="178" fillId="22" borderId="0" xfId="423" quotePrefix="1" applyNumberFormat="1" applyFont="1" applyAlignment="1">
      <alignment horizontal="left"/>
    </xf>
    <xf numFmtId="184" fontId="24" fillId="22" borderId="0" xfId="423" applyNumberFormat="1"/>
    <xf numFmtId="0" fontId="185" fillId="22" borderId="0" xfId="423" applyNumberFormat="1" applyFont="1"/>
    <xf numFmtId="39" fontId="178" fillId="22" borderId="0" xfId="423" applyNumberFormat="1" applyFont="1"/>
    <xf numFmtId="0" fontId="24" fillId="22" borderId="40" xfId="423" applyNumberFormat="1" applyBorder="1"/>
    <xf numFmtId="0" fontId="186" fillId="22" borderId="0" xfId="423" applyNumberFormat="1" applyFont="1"/>
    <xf numFmtId="0" fontId="24" fillId="22" borderId="78" xfId="423" applyNumberFormat="1" applyBorder="1" applyAlignment="1">
      <alignment horizontal="centerContinuous"/>
    </xf>
    <xf numFmtId="0" fontId="24" fillId="22" borderId="80" xfId="423" applyNumberFormat="1" applyBorder="1" applyAlignment="1">
      <alignment horizontal="centerContinuous"/>
    </xf>
    <xf numFmtId="10" fontId="10" fillId="32" borderId="0" xfId="425"/>
    <xf numFmtId="0" fontId="179" fillId="22" borderId="5" xfId="423" applyNumberFormat="1" applyFont="1" applyBorder="1" applyAlignment="1">
      <alignment horizontal="right"/>
    </xf>
    <xf numFmtId="0" fontId="179" fillId="22" borderId="5" xfId="423" applyNumberFormat="1" applyFont="1" applyBorder="1" applyAlignment="1">
      <alignment horizontal="center"/>
    </xf>
    <xf numFmtId="0" fontId="24" fillId="22" borderId="33" xfId="423" applyNumberFormat="1" applyBorder="1" applyAlignment="1">
      <alignment horizontal="centerContinuous"/>
    </xf>
    <xf numFmtId="0" fontId="24" fillId="22" borderId="32" xfId="423" applyNumberFormat="1" applyBorder="1" applyAlignment="1">
      <alignment horizontal="centerContinuous"/>
    </xf>
    <xf numFmtId="0" fontId="24" fillId="22" borderId="32" xfId="423" applyNumberFormat="1" applyBorder="1"/>
    <xf numFmtId="0" fontId="75" fillId="22" borderId="0" xfId="423" applyNumberFormat="1" applyFont="1"/>
    <xf numFmtId="164" fontId="178" fillId="22" borderId="0" xfId="423" applyNumberFormat="1" applyFont="1"/>
    <xf numFmtId="171" fontId="178" fillId="22" borderId="0" xfId="423" applyNumberFormat="1" applyFont="1" applyBorder="1" applyProtection="1">
      <protection locked="0"/>
    </xf>
    <xf numFmtId="0" fontId="24" fillId="22" borderId="32" xfId="423" applyNumberFormat="1" applyBorder="1" applyAlignment="1">
      <alignment horizontal="center"/>
    </xf>
    <xf numFmtId="0" fontId="24" fillId="22" borderId="0" xfId="423" quotePrefix="1" applyNumberFormat="1" applyBorder="1" applyAlignment="1">
      <alignment horizontal="right"/>
    </xf>
    <xf numFmtId="10" fontId="24" fillId="22" borderId="32" xfId="423" applyNumberFormat="1" applyBorder="1"/>
    <xf numFmtId="10" fontId="24" fillId="22" borderId="0" xfId="423" applyNumberFormat="1" applyAlignment="1">
      <alignment horizontal="center"/>
    </xf>
    <xf numFmtId="0" fontId="24" fillId="22" borderId="0" xfId="423" applyNumberFormat="1" applyFont="1" applyBorder="1"/>
    <xf numFmtId="10" fontId="24" fillId="22" borderId="32" xfId="423" applyNumberFormat="1" applyBorder="1" applyAlignment="1">
      <alignment horizontal="right"/>
    </xf>
    <xf numFmtId="41" fontId="24" fillId="22" borderId="0" xfId="423" applyNumberFormat="1"/>
    <xf numFmtId="0" fontId="24" fillId="22" borderId="30" xfId="423" applyNumberFormat="1" applyBorder="1" applyAlignment="1">
      <alignment horizontal="center"/>
    </xf>
    <xf numFmtId="164" fontId="178" fillId="22" borderId="83" xfId="423" applyNumberFormat="1" applyFont="1" applyBorder="1"/>
    <xf numFmtId="0" fontId="24" fillId="22" borderId="0" xfId="423" applyNumberFormat="1" applyBorder="1" applyAlignment="1">
      <alignment horizontal="center"/>
    </xf>
    <xf numFmtId="164" fontId="178" fillId="22" borderId="0" xfId="423" applyNumberFormat="1" applyFont="1" applyBorder="1"/>
    <xf numFmtId="39" fontId="24" fillId="22" borderId="78" xfId="423" applyNumberFormat="1" applyFont="1" applyBorder="1" applyAlignment="1">
      <alignment horizontal="center"/>
    </xf>
    <xf numFmtId="0" fontId="24" fillId="22" borderId="79" xfId="423" quotePrefix="1" applyNumberFormat="1" applyFont="1" applyBorder="1" applyAlignment="1">
      <alignment horizontal="left"/>
    </xf>
    <xf numFmtId="0" fontId="178" fillId="22" borderId="0" xfId="423" applyNumberFormat="1" applyFont="1" applyBorder="1"/>
    <xf numFmtId="10" fontId="178" fillId="22" borderId="0" xfId="423" applyNumberFormat="1" applyFont="1" applyBorder="1"/>
    <xf numFmtId="0" fontId="24" fillId="22" borderId="33" xfId="423" applyNumberFormat="1" applyFont="1" applyBorder="1" applyAlignment="1">
      <alignment horizontal="center"/>
    </xf>
    <xf numFmtId="0" fontId="24" fillId="22" borderId="0" xfId="423" quotePrefix="1" applyNumberFormat="1" applyFont="1" applyBorder="1" applyAlignment="1">
      <alignment horizontal="left"/>
    </xf>
    <xf numFmtId="0" fontId="187" fillId="41" borderId="0" xfId="423" applyNumberFormat="1" applyFont="1" applyFill="1"/>
    <xf numFmtId="2" fontId="187" fillId="41" borderId="0" xfId="423" applyNumberFormat="1" applyFont="1" applyFill="1"/>
    <xf numFmtId="10" fontId="24" fillId="22" borderId="31" xfId="423" applyNumberFormat="1" applyFont="1" applyBorder="1" applyAlignment="1">
      <alignment horizontal="center"/>
    </xf>
    <xf numFmtId="0" fontId="24" fillId="22" borderId="5" xfId="423" applyNumberFormat="1" applyFont="1" applyBorder="1"/>
    <xf numFmtId="0" fontId="188" fillId="22" borderId="30" xfId="423" applyNumberFormat="1" applyFont="1" applyBorder="1"/>
    <xf numFmtId="0" fontId="188" fillId="41" borderId="0" xfId="423" applyNumberFormat="1" applyFont="1" applyFill="1"/>
    <xf numFmtId="185" fontId="24" fillId="22" borderId="0" xfId="423" applyNumberFormat="1"/>
    <xf numFmtId="0" fontId="171" fillId="22" borderId="0" xfId="423" applyNumberFormat="1" applyFont="1" applyBorder="1" applyAlignment="1">
      <alignment horizontal="centerContinuous"/>
    </xf>
    <xf numFmtId="0" fontId="24" fillId="22" borderId="0" xfId="423" applyNumberFormat="1" applyAlignment="1">
      <alignment horizontal="centerContinuous"/>
    </xf>
    <xf numFmtId="0" fontId="24" fillId="41" borderId="0" xfId="423" applyNumberFormat="1" applyFill="1" applyAlignment="1">
      <alignment horizontal="right"/>
    </xf>
    <xf numFmtId="0" fontId="24" fillId="22" borderId="78" xfId="423" applyNumberFormat="1" applyBorder="1"/>
    <xf numFmtId="0" fontId="189" fillId="22" borderId="79" xfId="423" applyNumberFormat="1" applyFont="1" applyBorder="1" applyAlignment="1">
      <alignment horizontal="center"/>
    </xf>
    <xf numFmtId="0" fontId="189" fillId="22" borderId="80" xfId="423" applyNumberFormat="1" applyFont="1" applyBorder="1" applyAlignment="1">
      <alignment horizontal="center"/>
    </xf>
    <xf numFmtId="0" fontId="24" fillId="22" borderId="78" xfId="423" applyNumberFormat="1" applyBorder="1" applyAlignment="1">
      <alignment horizontal="left"/>
    </xf>
    <xf numFmtId="186" fontId="190" fillId="22" borderId="79" xfId="423" applyNumberFormat="1" applyFont="1" applyBorder="1" applyAlignment="1">
      <alignment horizontal="center"/>
    </xf>
    <xf numFmtId="0" fontId="24" fillId="22" borderId="79" xfId="423" applyNumberFormat="1" applyBorder="1" applyAlignment="1">
      <alignment horizontal="left"/>
    </xf>
    <xf numFmtId="186" fontId="190" fillId="22" borderId="80" xfId="423" applyNumberFormat="1" applyFont="1" applyBorder="1" applyAlignment="1">
      <alignment horizontal="center"/>
    </xf>
    <xf numFmtId="10" fontId="24" fillId="22" borderId="0" xfId="423" applyNumberFormat="1" applyBorder="1"/>
    <xf numFmtId="0" fontId="24" fillId="22" borderId="33" xfId="423" applyNumberFormat="1" applyBorder="1" applyAlignment="1">
      <alignment horizontal="left"/>
    </xf>
    <xf numFmtId="186" fontId="190" fillId="22" borderId="0" xfId="423" applyNumberFormat="1" applyFont="1" applyBorder="1" applyAlignment="1">
      <alignment horizontal="center"/>
    </xf>
    <xf numFmtId="0" fontId="24" fillId="22" borderId="0" xfId="423" applyNumberFormat="1" applyBorder="1" applyAlignment="1">
      <alignment horizontal="left"/>
    </xf>
    <xf numFmtId="186" fontId="190" fillId="22" borderId="32" xfId="423" applyNumberFormat="1" applyFont="1" applyBorder="1" applyAlignment="1">
      <alignment horizontal="center"/>
    </xf>
    <xf numFmtId="0" fontId="191" fillId="22" borderId="0" xfId="423" applyNumberFormat="1" applyFont="1" applyBorder="1" applyAlignment="1">
      <alignment horizontal="centerContinuous"/>
    </xf>
    <xf numFmtId="186" fontId="24" fillId="22" borderId="32" xfId="423" applyNumberFormat="1" applyBorder="1" applyAlignment="1">
      <alignment horizontal="center"/>
    </xf>
    <xf numFmtId="0" fontId="188" fillId="41" borderId="0" xfId="423" applyNumberFormat="1" applyFont="1" applyFill="1" applyAlignment="1">
      <alignment horizontal="fill"/>
    </xf>
    <xf numFmtId="10" fontId="24" fillId="22" borderId="5" xfId="423" applyNumberFormat="1" applyBorder="1"/>
    <xf numFmtId="10" fontId="14" fillId="32" borderId="0" xfId="425" applyFont="1" applyBorder="1"/>
    <xf numFmtId="164" fontId="14" fillId="32" borderId="32" xfId="425" applyNumberFormat="1" applyFont="1" applyBorder="1"/>
    <xf numFmtId="0" fontId="24" fillId="22" borderId="5" xfId="423" applyNumberFormat="1" applyBorder="1" applyAlignment="1">
      <alignment horizontal="right"/>
    </xf>
    <xf numFmtId="186" fontId="190" fillId="22" borderId="5" xfId="423" applyNumberFormat="1" applyFont="1" applyBorder="1" applyAlignment="1">
      <alignment horizontal="left"/>
    </xf>
    <xf numFmtId="186" fontId="24" fillId="22" borderId="30" xfId="423" applyNumberFormat="1" applyBorder="1" applyAlignment="1">
      <alignment horizontal="center"/>
    </xf>
    <xf numFmtId="10" fontId="14" fillId="32" borderId="5" xfId="425" applyFont="1" applyBorder="1"/>
    <xf numFmtId="10" fontId="14" fillId="32" borderId="30" xfId="425" applyFont="1" applyBorder="1"/>
    <xf numFmtId="186" fontId="24" fillId="22" borderId="0" xfId="423" applyNumberFormat="1"/>
    <xf numFmtId="0" fontId="192" fillId="22" borderId="79" xfId="423" applyNumberFormat="1" applyFont="1" applyBorder="1"/>
    <xf numFmtId="0" fontId="192" fillId="22" borderId="33" xfId="423" applyNumberFormat="1" applyFont="1" applyBorder="1"/>
    <xf numFmtId="0" fontId="192" fillId="22" borderId="0" xfId="423" applyNumberFormat="1" applyFont="1" applyBorder="1"/>
    <xf numFmtId="0" fontId="192" fillId="22" borderId="32" xfId="423" applyNumberFormat="1" applyFont="1" applyBorder="1"/>
    <xf numFmtId="0" fontId="24" fillId="32" borderId="0" xfId="423" applyNumberFormat="1" applyFill="1"/>
    <xf numFmtId="0" fontId="193" fillId="22" borderId="0" xfId="423" applyNumberFormat="1" applyFont="1" applyBorder="1"/>
    <xf numFmtId="0" fontId="10" fillId="22" borderId="0" xfId="423" applyNumberFormat="1" applyFont="1" applyBorder="1"/>
    <xf numFmtId="10" fontId="14" fillId="32" borderId="32" xfId="425" applyFont="1" applyBorder="1"/>
    <xf numFmtId="39" fontId="24" fillId="22" borderId="5" xfId="423" applyNumberFormat="1" applyBorder="1"/>
    <xf numFmtId="184" fontId="24" fillId="22" borderId="5" xfId="423" applyNumberFormat="1" applyBorder="1"/>
    <xf numFmtId="183" fontId="24" fillId="22" borderId="30" xfId="423" applyNumberFormat="1" applyBorder="1"/>
    <xf numFmtId="37" fontId="17" fillId="0" borderId="0" xfId="0" applyFont="1" applyAlignment="1">
      <alignment horizontal="center"/>
    </xf>
    <xf numFmtId="49" fontId="5" fillId="0" borderId="0" xfId="0" applyNumberFormat="1" applyFont="1" applyFill="1" applyAlignment="1">
      <alignment horizontal="center"/>
    </xf>
    <xf numFmtId="0" fontId="4" fillId="41" borderId="81" xfId="423" applyNumberFormat="1" applyFont="1" applyFill="1" applyBorder="1" applyAlignment="1">
      <alignment horizontal="center"/>
    </xf>
    <xf numFmtId="0" fontId="171" fillId="41" borderId="0" xfId="423" applyNumberFormat="1" applyFont="1" applyFill="1" applyAlignment="1">
      <alignment horizontal="center"/>
    </xf>
    <xf numFmtId="0" fontId="24" fillId="22" borderId="54" xfId="423" applyNumberFormat="1" applyBorder="1" applyAlignment="1">
      <alignment horizontal="center"/>
    </xf>
    <xf numFmtId="0" fontId="24" fillId="22" borderId="6" xfId="423" applyNumberFormat="1" applyBorder="1" applyAlignment="1">
      <alignment horizontal="center"/>
    </xf>
    <xf numFmtId="0" fontId="24" fillId="22" borderId="53" xfId="423" applyNumberFormat="1" applyBorder="1" applyAlignment="1">
      <alignment horizontal="center"/>
    </xf>
    <xf numFmtId="0" fontId="4" fillId="41" borderId="0" xfId="423" applyNumberFormat="1" applyFont="1" applyFill="1" applyAlignment="1">
      <alignment horizontal="center"/>
    </xf>
    <xf numFmtId="0" fontId="4" fillId="41" borderId="0" xfId="423" applyNumberFormat="1" applyFont="1" applyFill="1" applyBorder="1" applyAlignment="1">
      <alignment horizontal="center"/>
    </xf>
    <xf numFmtId="0" fontId="4" fillId="41" borderId="79" xfId="423" applyNumberFormat="1" applyFont="1" applyFill="1" applyBorder="1" applyAlignment="1">
      <alignment horizontal="center"/>
    </xf>
    <xf numFmtId="37" fontId="17" fillId="0" borderId="0" xfId="0" applyFont="1" applyFill="1" applyAlignment="1">
      <alignment horizontal="center"/>
    </xf>
    <xf numFmtId="49" fontId="17" fillId="0" borderId="0" xfId="0" applyNumberFormat="1" applyFont="1" applyFill="1" applyAlignment="1">
      <alignment horizontal="center"/>
    </xf>
    <xf numFmtId="37" fontId="5" fillId="0" borderId="0" xfId="0" applyFont="1" applyFill="1" applyAlignment="1">
      <alignment horizontal="center"/>
    </xf>
    <xf numFmtId="49" fontId="4" fillId="0" borderId="0" xfId="0" applyNumberFormat="1" applyFont="1" applyFill="1" applyAlignment="1">
      <alignment horizontal="justify" vertical="top" wrapText="1"/>
    </xf>
    <xf numFmtId="37" fontId="4" fillId="0" borderId="0" xfId="0" applyFont="1" applyFill="1" applyAlignment="1">
      <alignment horizontal="justify" vertical="top" wrapText="1"/>
    </xf>
    <xf numFmtId="0" fontId="4" fillId="0" borderId="0" xfId="319" applyFont="1" applyFill="1" applyAlignment="1">
      <alignment horizontal="left" vertical="top"/>
    </xf>
    <xf numFmtId="0" fontId="4" fillId="0" borderId="0" xfId="319" applyFont="1" applyFill="1" applyAlignment="1">
      <alignment horizontal="justify" vertical="top"/>
    </xf>
    <xf numFmtId="37" fontId="0" fillId="0" borderId="0" xfId="0" applyFill="1"/>
    <xf numFmtId="0" fontId="4" fillId="0" borderId="0" xfId="319" applyFont="1" applyFill="1" applyAlignment="1">
      <alignment horizontal="justify" vertical="top" wrapText="1"/>
    </xf>
    <xf numFmtId="0" fontId="7" fillId="0" borderId="0" xfId="319" applyFont="1" applyFill="1" applyAlignment="1">
      <alignment horizontal="justify" vertical="top" wrapText="1"/>
    </xf>
    <xf numFmtId="37" fontId="17" fillId="0" borderId="0" xfId="319" applyNumberFormat="1" applyFont="1" applyFill="1" applyAlignment="1">
      <alignment horizontal="center" vertical="top"/>
    </xf>
    <xf numFmtId="0" fontId="17" fillId="0" borderId="0" xfId="319" applyFont="1" applyFill="1" applyAlignment="1">
      <alignment horizontal="center" vertical="top"/>
    </xf>
    <xf numFmtId="37" fontId="5" fillId="0" borderId="0" xfId="319" applyNumberFormat="1" applyFont="1" applyFill="1" applyAlignment="1">
      <alignment horizontal="center" vertical="top"/>
    </xf>
    <xf numFmtId="0" fontId="5" fillId="0" borderId="0" xfId="319" applyFont="1" applyFill="1" applyAlignment="1">
      <alignment horizontal="center" vertical="top"/>
    </xf>
    <xf numFmtId="37" fontId="129" fillId="0" borderId="0" xfId="0" applyFont="1" applyFill="1" applyAlignment="1">
      <alignment horizontal="center"/>
    </xf>
    <xf numFmtId="0" fontId="124" fillId="0" borderId="0" xfId="319" applyFont="1" applyFill="1" applyAlignment="1">
      <alignment horizontal="left" vertical="top"/>
    </xf>
    <xf numFmtId="37" fontId="132" fillId="0" borderId="0" xfId="319" applyNumberFormat="1" applyFont="1" applyFill="1" applyAlignment="1">
      <alignment horizontal="center" vertical="top"/>
    </xf>
    <xf numFmtId="0" fontId="132" fillId="0" borderId="0" xfId="319" applyFont="1" applyFill="1" applyAlignment="1">
      <alignment horizontal="center" vertical="top"/>
    </xf>
    <xf numFmtId="37" fontId="129" fillId="0" borderId="0" xfId="319" applyNumberFormat="1" applyFont="1" applyFill="1" applyAlignment="1">
      <alignment horizontal="center" vertical="top"/>
    </xf>
    <xf numFmtId="0" fontId="129" fillId="0" borderId="0" xfId="319" applyFont="1" applyFill="1" applyAlignment="1">
      <alignment horizontal="center" vertical="top"/>
    </xf>
    <xf numFmtId="0" fontId="124" fillId="0" borderId="0" xfId="319" applyFont="1" applyFill="1" applyAlignment="1">
      <alignment horizontal="justify" vertical="top" wrapText="1"/>
    </xf>
    <xf numFmtId="37" fontId="135" fillId="0" borderId="0" xfId="0" applyFont="1" applyFill="1" applyAlignment="1">
      <alignment horizontal="justify" vertical="top" wrapText="1"/>
    </xf>
    <xf numFmtId="0" fontId="124" fillId="0" borderId="0" xfId="319" applyFont="1" applyFill="1" applyAlignment="1">
      <alignment horizontal="left" vertical="top" wrapText="1"/>
    </xf>
    <xf numFmtId="37" fontId="132" fillId="0" borderId="0" xfId="319" applyNumberFormat="1" applyFont="1" applyAlignment="1">
      <alignment horizontal="center" vertical="top"/>
    </xf>
    <xf numFmtId="0" fontId="132" fillId="0" borderId="0" xfId="319" applyFont="1" applyAlignment="1">
      <alignment horizontal="center" vertical="top"/>
    </xf>
    <xf numFmtId="37" fontId="129" fillId="0" borderId="0" xfId="319" applyNumberFormat="1" applyFont="1" applyAlignment="1">
      <alignment horizontal="center" vertical="top"/>
    </xf>
    <xf numFmtId="0" fontId="129" fillId="0" borderId="0" xfId="319" applyFont="1" applyAlignment="1">
      <alignment horizontal="center" vertical="top"/>
    </xf>
    <xf numFmtId="37" fontId="32" fillId="0" borderId="0" xfId="0" applyFont="1" applyAlignment="1">
      <alignment horizontal="center"/>
    </xf>
    <xf numFmtId="37" fontId="17" fillId="0" borderId="0" xfId="307" applyNumberFormat="1" applyFont="1" applyAlignment="1">
      <alignment horizontal="center"/>
    </xf>
    <xf numFmtId="49" fontId="5" fillId="0" borderId="0" xfId="307" applyNumberFormat="1" applyFont="1" applyFill="1" applyAlignment="1">
      <alignment horizontal="center"/>
    </xf>
    <xf numFmtId="37" fontId="5" fillId="0" borderId="0" xfId="307" applyNumberFormat="1" applyFont="1" applyFill="1" applyAlignment="1">
      <alignment horizontal="center"/>
    </xf>
    <xf numFmtId="0" fontId="5" fillId="0" borderId="0" xfId="0" applyNumberFormat="1" applyFont="1" applyFill="1" applyAlignment="1">
      <alignment horizontal="center"/>
    </xf>
    <xf numFmtId="37" fontId="5" fillId="0" borderId="0" xfId="0" quotePrefix="1" applyFont="1" applyFill="1" applyAlignment="1">
      <alignment horizontal="center" wrapText="1"/>
    </xf>
    <xf numFmtId="0" fontId="17" fillId="0" borderId="0" xfId="240" applyFont="1" applyAlignment="1">
      <alignment horizontal="center"/>
    </xf>
    <xf numFmtId="37" fontId="5" fillId="0" borderId="0" xfId="240" applyNumberFormat="1" applyFont="1" applyFill="1" applyAlignment="1">
      <alignment horizontal="center"/>
    </xf>
    <xf numFmtId="37" fontId="5" fillId="0" borderId="0" xfId="0" quotePrefix="1" applyFont="1" applyFill="1" applyAlignment="1">
      <alignment horizontal="center"/>
    </xf>
    <xf numFmtId="37" fontId="5" fillId="0" borderId="0" xfId="0" applyFont="1" applyFill="1" applyBorder="1" applyAlignment="1">
      <alignment horizontal="center"/>
    </xf>
    <xf numFmtId="0" fontId="148" fillId="0" borderId="0" xfId="0" applyNumberFormat="1" applyFont="1" applyFill="1" applyAlignment="1">
      <alignment horizontal="left" vertical="top" wrapText="1"/>
    </xf>
    <xf numFmtId="37" fontId="147" fillId="0" borderId="0" xfId="0" applyFont="1" applyAlignment="1">
      <alignment horizontal="left" vertical="top" wrapText="1"/>
    </xf>
    <xf numFmtId="49" fontId="4" fillId="0" borderId="0" xfId="0" applyNumberFormat="1" applyFont="1" applyFill="1" applyAlignment="1">
      <alignment horizontal="left" vertical="top" wrapText="1"/>
    </xf>
    <xf numFmtId="0" fontId="5" fillId="0" borderId="0" xfId="240" applyFont="1" applyFill="1" applyAlignment="1">
      <alignment horizontal="center"/>
    </xf>
    <xf numFmtId="0" fontId="17" fillId="0" borderId="0" xfId="240" applyFont="1" applyFill="1" applyAlignment="1">
      <alignment horizontal="center"/>
    </xf>
    <xf numFmtId="37" fontId="88" fillId="0" borderId="0" xfId="0" applyFont="1" applyFill="1" applyAlignment="1">
      <alignment horizontal="center"/>
    </xf>
    <xf numFmtId="14" fontId="5" fillId="0" borderId="0" xfId="0" applyNumberFormat="1" applyFont="1" applyFill="1" applyAlignment="1">
      <alignment horizontal="center"/>
    </xf>
    <xf numFmtId="14" fontId="5" fillId="0" borderId="66" xfId="0" applyNumberFormat="1" applyFont="1" applyFill="1" applyBorder="1" applyAlignment="1">
      <alignment horizontal="center"/>
    </xf>
    <xf numFmtId="14" fontId="5" fillId="0" borderId="0" xfId="0" applyNumberFormat="1" applyFont="1" applyFill="1" applyBorder="1" applyAlignment="1">
      <alignment horizontal="center"/>
    </xf>
    <xf numFmtId="37" fontId="2" fillId="0" borderId="0" xfId="0" applyFont="1" applyAlignment="1">
      <alignment horizontal="center" wrapText="1"/>
    </xf>
    <xf numFmtId="37" fontId="17" fillId="0" borderId="0" xfId="240" applyNumberFormat="1" applyFont="1" applyFill="1" applyAlignment="1">
      <alignment horizontal="center"/>
    </xf>
    <xf numFmtId="37" fontId="5" fillId="0" borderId="0" xfId="240" applyNumberFormat="1" applyFont="1" applyFill="1" applyAlignment="1" applyProtection="1">
      <alignment horizontal="center"/>
    </xf>
    <xf numFmtId="0" fontId="4" fillId="0" borderId="0" xfId="240" applyFont="1" applyFill="1" applyAlignment="1">
      <alignment horizontal="right"/>
    </xf>
    <xf numFmtId="37" fontId="5" fillId="0" borderId="0" xfId="240" applyNumberFormat="1" applyFont="1" applyAlignment="1">
      <alignment horizontal="center"/>
    </xf>
    <xf numFmtId="0" fontId="5" fillId="0" borderId="0" xfId="240" applyFont="1" applyAlignment="1">
      <alignment horizontal="center"/>
    </xf>
    <xf numFmtId="37" fontId="124" fillId="0" borderId="0" xfId="0" applyFont="1" applyAlignment="1">
      <alignment horizontal="justify" vertical="center" wrapText="1"/>
    </xf>
    <xf numFmtId="37" fontId="3" fillId="0" borderId="0" xfId="0" applyFont="1" applyAlignment="1">
      <alignment horizontal="justify" vertical="center" wrapText="1"/>
    </xf>
    <xf numFmtId="37" fontId="133" fillId="0" borderId="0" xfId="0" applyFont="1" applyAlignment="1">
      <alignment horizontal="center"/>
    </xf>
    <xf numFmtId="49" fontId="127" fillId="0" borderId="0" xfId="282" applyNumberFormat="1" applyFont="1" applyFill="1" applyAlignment="1">
      <alignment horizontal="justify" vertical="top" wrapText="1"/>
    </xf>
    <xf numFmtId="43" fontId="123" fillId="0" borderId="0" xfId="282" applyNumberFormat="1" applyFont="1" applyFill="1" applyAlignment="1">
      <alignment horizontal="left"/>
    </xf>
    <xf numFmtId="37" fontId="129" fillId="0" borderId="0" xfId="240" applyNumberFormat="1" applyFont="1" applyAlignment="1">
      <alignment horizontal="center"/>
    </xf>
    <xf numFmtId="0" fontId="129" fillId="0" borderId="0" xfId="240" applyFont="1" applyAlignment="1">
      <alignment horizontal="center"/>
    </xf>
    <xf numFmtId="37" fontId="124" fillId="0" borderId="0" xfId="0" applyFont="1" applyAlignment="1">
      <alignment horizontal="left" vertical="top" wrapText="1"/>
    </xf>
    <xf numFmtId="49" fontId="127" fillId="0" borderId="0" xfId="282" applyNumberFormat="1" applyFont="1" applyFill="1" applyAlignment="1">
      <alignment horizontal="center" vertical="top" wrapText="1"/>
    </xf>
    <xf numFmtId="37" fontId="129" fillId="0" borderId="0" xfId="240" applyNumberFormat="1" applyFont="1" applyFill="1" applyAlignment="1">
      <alignment horizontal="center"/>
    </xf>
    <xf numFmtId="0" fontId="129" fillId="0" borderId="0" xfId="222" applyFont="1" applyAlignment="1">
      <alignment horizontal="center"/>
    </xf>
    <xf numFmtId="0" fontId="129" fillId="0" borderId="0" xfId="222" applyFont="1" applyBorder="1" applyAlignment="1">
      <alignment horizontal="center"/>
    </xf>
    <xf numFmtId="0" fontId="129" fillId="0" borderId="47" xfId="222" applyFont="1" applyBorder="1" applyAlignment="1">
      <alignment horizontal="center"/>
    </xf>
    <xf numFmtId="0" fontId="129" fillId="0" borderId="45" xfId="222" applyFont="1" applyBorder="1" applyAlignment="1">
      <alignment horizontal="center"/>
    </xf>
    <xf numFmtId="0" fontId="129" fillId="0" borderId="46" xfId="222" applyFont="1" applyBorder="1" applyAlignment="1">
      <alignment horizontal="center"/>
    </xf>
    <xf numFmtId="37" fontId="129" fillId="0" borderId="0" xfId="222" applyNumberFormat="1" applyFont="1" applyBorder="1" applyAlignment="1">
      <alignment horizontal="center"/>
    </xf>
    <xf numFmtId="0" fontId="128" fillId="0" borderId="0" xfId="222" applyFont="1" applyBorder="1" applyAlignment="1">
      <alignment horizontal="center"/>
    </xf>
    <xf numFmtId="0" fontId="129" fillId="0" borderId="0" xfId="222" applyFont="1" applyFill="1" applyAlignment="1">
      <alignment horizontal="center"/>
    </xf>
    <xf numFmtId="37" fontId="129" fillId="0" borderId="0" xfId="222" applyNumberFormat="1" applyFont="1" applyAlignment="1">
      <alignment horizontal="center"/>
    </xf>
    <xf numFmtId="0" fontId="128" fillId="0" borderId="0" xfId="222" applyFont="1" applyFill="1" applyBorder="1" applyAlignment="1">
      <alignment horizontal="center"/>
    </xf>
    <xf numFmtId="0" fontId="129" fillId="0" borderId="5" xfId="222" applyFont="1" applyBorder="1" applyAlignment="1">
      <alignment horizontal="center"/>
    </xf>
    <xf numFmtId="170" fontId="128" fillId="0" borderId="22" xfId="329" applyNumberFormat="1" applyFont="1" applyFill="1" applyBorder="1" applyAlignment="1">
      <alignment horizontal="center" wrapText="1"/>
    </xf>
    <xf numFmtId="170" fontId="128" fillId="0" borderId="0" xfId="329" applyNumberFormat="1" applyFont="1" applyFill="1" applyBorder="1" applyAlignment="1">
      <alignment horizontal="center" wrapText="1"/>
    </xf>
    <xf numFmtId="170" fontId="128" fillId="0" borderId="36" xfId="329" applyNumberFormat="1" applyFont="1" applyFill="1" applyBorder="1" applyAlignment="1">
      <alignment horizontal="center" wrapText="1"/>
    </xf>
    <xf numFmtId="170" fontId="128" fillId="0" borderId="37" xfId="329" applyNumberFormat="1" applyFont="1" applyFill="1" applyBorder="1" applyAlignment="1">
      <alignment horizontal="center" wrapText="1"/>
    </xf>
    <xf numFmtId="170" fontId="128" fillId="0" borderId="17" xfId="329" applyNumberFormat="1" applyFont="1" applyFill="1" applyBorder="1" applyAlignment="1">
      <alignment horizontal="center" wrapText="1"/>
    </xf>
    <xf numFmtId="170" fontId="128" fillId="0" borderId="38" xfId="329" applyNumberFormat="1" applyFont="1" applyFill="1" applyBorder="1" applyAlignment="1">
      <alignment horizontal="center" wrapText="1"/>
    </xf>
    <xf numFmtId="37" fontId="0" fillId="0" borderId="0" xfId="0" applyBorder="1" applyAlignment="1">
      <alignment horizontal="center" wrapText="1"/>
    </xf>
    <xf numFmtId="37" fontId="0" fillId="0" borderId="5" xfId="0" applyBorder="1" applyAlignment="1">
      <alignment horizontal="center" wrapText="1"/>
    </xf>
    <xf numFmtId="37" fontId="0" fillId="0" borderId="0" xfId="0" applyBorder="1" applyAlignment="1">
      <alignment wrapText="1"/>
    </xf>
    <xf numFmtId="37" fontId="0" fillId="0" borderId="5" xfId="0" applyBorder="1" applyAlignment="1">
      <alignment wrapText="1"/>
    </xf>
    <xf numFmtId="0" fontId="78" fillId="0" borderId="0" xfId="226" applyFont="1" applyFill="1" applyAlignment="1">
      <alignment horizontal="center"/>
    </xf>
    <xf numFmtId="0" fontId="78" fillId="0" borderId="0" xfId="226" applyFont="1" applyAlignment="1">
      <alignment horizontal="center"/>
    </xf>
    <xf numFmtId="0" fontId="79" fillId="0" borderId="0" xfId="226" applyFont="1" applyFill="1" applyAlignment="1">
      <alignment horizontal="center"/>
    </xf>
    <xf numFmtId="37" fontId="5" fillId="0" borderId="0" xfId="222" applyNumberFormat="1" applyFont="1" applyAlignment="1">
      <alignment horizontal="center"/>
    </xf>
    <xf numFmtId="0" fontId="5" fillId="0" borderId="0" xfId="222" applyFont="1" applyAlignment="1">
      <alignment horizontal="center"/>
    </xf>
    <xf numFmtId="37" fontId="5" fillId="0" borderId="0" xfId="222" applyNumberFormat="1" applyFont="1" applyFill="1" applyAlignment="1">
      <alignment horizontal="center"/>
    </xf>
    <xf numFmtId="0" fontId="124" fillId="0" borderId="0" xfId="195" applyFont="1" applyFill="1" applyAlignment="1">
      <alignment horizontal="left" vertical="top" wrapText="1"/>
    </xf>
    <xf numFmtId="0" fontId="124" fillId="0" borderId="0" xfId="195" applyFont="1" applyFill="1" applyAlignment="1">
      <alignment horizontal="center"/>
    </xf>
    <xf numFmtId="0" fontId="124" fillId="0" borderId="0" xfId="195" applyFont="1" applyFill="1" applyBorder="1" applyAlignment="1">
      <alignment horizontal="center" wrapText="1"/>
    </xf>
    <xf numFmtId="43" fontId="124" fillId="0" borderId="0" xfId="195" applyNumberFormat="1" applyFont="1" applyFill="1" applyAlignment="1">
      <alignment horizontal="center"/>
    </xf>
    <xf numFmtId="0" fontId="124" fillId="0" borderId="0" xfId="195" applyFont="1" applyAlignment="1">
      <alignment horizontal="left" vertical="center" wrapText="1"/>
    </xf>
    <xf numFmtId="43" fontId="124" fillId="0" borderId="1" xfId="195" applyNumberFormat="1" applyFont="1" applyBorder="1" applyAlignment="1">
      <alignment horizontal="center"/>
    </xf>
    <xf numFmtId="43" fontId="124" fillId="0" borderId="5" xfId="195" applyNumberFormat="1" applyFont="1" applyBorder="1" applyAlignment="1">
      <alignment horizontal="center"/>
    </xf>
    <xf numFmtId="43" fontId="124" fillId="0" borderId="5" xfId="195" applyNumberFormat="1" applyFont="1" applyFill="1" applyBorder="1" applyAlignment="1">
      <alignment horizontal="center"/>
    </xf>
    <xf numFmtId="43" fontId="148" fillId="0" borderId="0" xfId="195" applyNumberFormat="1" applyFont="1" applyAlignment="1">
      <alignment horizontal="center"/>
    </xf>
    <xf numFmtId="0" fontId="148" fillId="0" borderId="0" xfId="195" applyFont="1" applyAlignment="1">
      <alignment horizontal="center"/>
    </xf>
    <xf numFmtId="43" fontId="124" fillId="0" borderId="0" xfId="195" applyNumberFormat="1" applyFont="1" applyFill="1" applyBorder="1" applyAlignment="1">
      <alignment horizontal="center"/>
    </xf>
    <xf numFmtId="43" fontId="124" fillId="0" borderId="0" xfId="195" applyNumberFormat="1" applyFont="1" applyBorder="1" applyAlignment="1">
      <alignment horizontal="center"/>
    </xf>
    <xf numFmtId="43" fontId="124" fillId="0" borderId="49" xfId="195" applyNumberFormat="1" applyFont="1" applyBorder="1" applyAlignment="1">
      <alignment horizontal="center"/>
    </xf>
    <xf numFmtId="0" fontId="124" fillId="0" borderId="2" xfId="195" applyFont="1" applyFill="1" applyBorder="1" applyAlignment="1">
      <alignment horizontal="center"/>
    </xf>
    <xf numFmtId="37" fontId="5" fillId="0" borderId="0" xfId="222" applyNumberFormat="1" applyFont="1" applyAlignment="1">
      <alignment horizontal="center" vertical="center"/>
    </xf>
    <xf numFmtId="0" fontId="5" fillId="0" borderId="0" xfId="222" applyFont="1" applyAlignment="1">
      <alignment horizontal="center" vertical="center"/>
    </xf>
    <xf numFmtId="37" fontId="5" fillId="0" borderId="0" xfId="222" applyNumberFormat="1" applyFont="1" applyFill="1" applyAlignment="1">
      <alignment horizontal="center" vertical="center"/>
    </xf>
    <xf numFmtId="4" fontId="5" fillId="0" borderId="0" xfId="0" applyNumberFormat="1" applyFont="1" applyAlignment="1">
      <alignment horizontal="right" vertical="center"/>
    </xf>
    <xf numFmtId="43" fontId="10" fillId="0" borderId="0" xfId="78" applyFont="1" applyAlignment="1">
      <alignment horizontal="center" vertical="center"/>
    </xf>
    <xf numFmtId="43" fontId="10" fillId="0" borderId="5" xfId="78" applyFont="1" applyBorder="1" applyAlignment="1">
      <alignment horizontal="center" vertical="center"/>
    </xf>
    <xf numFmtId="37" fontId="137" fillId="0" borderId="0" xfId="0" applyFont="1" applyAlignment="1">
      <alignment horizontal="center" vertical="center"/>
    </xf>
    <xf numFmtId="43" fontId="10" fillId="0" borderId="49" xfId="78" applyFont="1" applyBorder="1" applyAlignment="1">
      <alignment horizontal="center" vertical="center"/>
    </xf>
    <xf numFmtId="37" fontId="118" fillId="0" borderId="0" xfId="222" applyNumberFormat="1" applyFont="1" applyAlignment="1">
      <alignment horizontal="center"/>
    </xf>
    <xf numFmtId="0" fontId="118" fillId="0" borderId="0" xfId="222" applyFont="1" applyAlignment="1">
      <alignment horizontal="center"/>
    </xf>
    <xf numFmtId="37" fontId="118" fillId="0" borderId="0" xfId="222" applyNumberFormat="1" applyFont="1" applyFill="1" applyAlignment="1">
      <alignment horizontal="center"/>
    </xf>
    <xf numFmtId="0" fontId="141" fillId="0" borderId="27" xfId="282" applyFont="1" applyFill="1" applyBorder="1" applyAlignment="1">
      <alignment horizontal="center"/>
    </xf>
    <xf numFmtId="0" fontId="141" fillId="0" borderId="28" xfId="282" applyFont="1" applyFill="1" applyBorder="1" applyAlignment="1">
      <alignment horizontal="center"/>
    </xf>
    <xf numFmtId="0" fontId="129" fillId="0" borderId="0" xfId="195" applyFont="1" applyBorder="1" applyAlignment="1">
      <alignment horizontal="center"/>
    </xf>
  </cellXfs>
  <cellStyles count="428">
    <cellStyle name="20% - Accent1 2" xfId="1"/>
    <cellStyle name="20% - Accent1 3" xfId="2"/>
    <cellStyle name="20% - Accent2 2" xfId="3"/>
    <cellStyle name="20% - Accent3 2" xfId="4"/>
    <cellStyle name="20% - Accent4 2" xfId="5"/>
    <cellStyle name="20% - Accent4 3" xfId="6"/>
    <cellStyle name="20% - Accent5 2" xfId="7"/>
    <cellStyle name="20% - Accent6 2" xfId="8"/>
    <cellStyle name="40% - Accent1 2" xfId="9"/>
    <cellStyle name="40% - Accent1 3" xfId="10"/>
    <cellStyle name="40% - Accent2 2" xfId="11"/>
    <cellStyle name="40% - Accent3 2" xfId="12"/>
    <cellStyle name="40% - Accent4 2" xfId="13"/>
    <cellStyle name="40% - Accent4 3" xfId="14"/>
    <cellStyle name="40% - Accent5 2" xfId="15"/>
    <cellStyle name="40% - Accent6 2" xfId="16"/>
    <cellStyle name="40% - Accent6 3" xfId="17"/>
    <cellStyle name="60% - Accent1 2" xfId="18"/>
    <cellStyle name="60% - Accent1 3" xfId="19"/>
    <cellStyle name="60% - Accent2 2" xfId="20"/>
    <cellStyle name="60% - Accent3 2" xfId="21"/>
    <cellStyle name="60% - Accent3 3" xfId="22"/>
    <cellStyle name="60% - Accent4 2" xfId="23"/>
    <cellStyle name="60% - Accent4 3" xfId="24"/>
    <cellStyle name="60% - Accent5 2" xfId="25"/>
    <cellStyle name="60% - Accent6 2" xfId="26"/>
    <cellStyle name="Accent1 2" xfId="27"/>
    <cellStyle name="Accent1 3" xfId="28"/>
    <cellStyle name="Accent2 2" xfId="29"/>
    <cellStyle name="Accent3 2" xfId="30"/>
    <cellStyle name="Accent4 2" xfId="31"/>
    <cellStyle name="Accent5" xfId="427" builtinId="45"/>
    <cellStyle name="Accent5 2" xfId="32"/>
    <cellStyle name="Accent6 2" xfId="33"/>
    <cellStyle name="Accounting" xfId="34"/>
    <cellStyle name="Accounting 2" xfId="35"/>
    <cellStyle name="Accounting 3" xfId="36"/>
    <cellStyle name="Accounting_2011-11" xfId="37"/>
    <cellStyle name="Bad 2" xfId="38"/>
    <cellStyle name="Budget" xfId="39"/>
    <cellStyle name="Budget 2" xfId="40"/>
    <cellStyle name="Budget 3" xfId="41"/>
    <cellStyle name="Budget_2011-11" xfId="42"/>
    <cellStyle name="C00A" xfId="43"/>
    <cellStyle name="C00B" xfId="44"/>
    <cellStyle name="C00L" xfId="45"/>
    <cellStyle name="C01A" xfId="46"/>
    <cellStyle name="C01B" xfId="47"/>
    <cellStyle name="C01H" xfId="48"/>
    <cellStyle name="C01L" xfId="49"/>
    <cellStyle name="C02A" xfId="50"/>
    <cellStyle name="C02B" xfId="51"/>
    <cellStyle name="C02H" xfId="52"/>
    <cellStyle name="C02L" xfId="53"/>
    <cellStyle name="C03A" xfId="54"/>
    <cellStyle name="C03B" xfId="55"/>
    <cellStyle name="C03H" xfId="56"/>
    <cellStyle name="C03L" xfId="57"/>
    <cellStyle name="C04A" xfId="58"/>
    <cellStyle name="C04B" xfId="59"/>
    <cellStyle name="C04H" xfId="60"/>
    <cellStyle name="C04L" xfId="61"/>
    <cellStyle name="C05A" xfId="62"/>
    <cellStyle name="C05B" xfId="63"/>
    <cellStyle name="C05H" xfId="64"/>
    <cellStyle name="C05L" xfId="65"/>
    <cellStyle name="C06A" xfId="66"/>
    <cellStyle name="C06B" xfId="67"/>
    <cellStyle name="C06H" xfId="68"/>
    <cellStyle name="C06L" xfId="69"/>
    <cellStyle name="C07A" xfId="70"/>
    <cellStyle name="C07B" xfId="71"/>
    <cellStyle name="C07H" xfId="72"/>
    <cellStyle name="C07L" xfId="73"/>
    <cellStyle name="Calculation 2" xfId="74"/>
    <cellStyle name="Calculation 3" xfId="75"/>
    <cellStyle name="Check Cell 2" xfId="76"/>
    <cellStyle name="combo" xfId="77"/>
    <cellStyle name="Comma" xfId="78" builtinId="3"/>
    <cellStyle name="Comma [0] 2" xfId="79"/>
    <cellStyle name="Comma 10" xfId="80"/>
    <cellStyle name="Comma 11" xfId="81"/>
    <cellStyle name="Comma 12" xfId="82"/>
    <cellStyle name="Comma 13" xfId="83"/>
    <cellStyle name="Comma 14" xfId="84"/>
    <cellStyle name="Comma 15" xfId="85"/>
    <cellStyle name="Comma 16" xfId="86"/>
    <cellStyle name="Comma 17" xfId="87"/>
    <cellStyle name="Comma 18" xfId="88"/>
    <cellStyle name="Comma 19" xfId="89"/>
    <cellStyle name="Comma 2" xfId="90"/>
    <cellStyle name="Comma 2 2" xfId="91"/>
    <cellStyle name="Comma 2 2 2" xfId="92"/>
    <cellStyle name="Comma 2 2 2 2" xfId="93"/>
    <cellStyle name="Comma 2 2 3" xfId="94"/>
    <cellStyle name="Comma 2 2 4" xfId="426"/>
    <cellStyle name="Comma 2 3" xfId="95"/>
    <cellStyle name="Comma 2 3 2" xfId="96"/>
    <cellStyle name="Comma 2 4" xfId="97"/>
    <cellStyle name="Comma 2 4 2" xfId="98"/>
    <cellStyle name="Comma 20" xfId="99"/>
    <cellStyle name="Comma 21" xfId="100"/>
    <cellStyle name="Comma 22" xfId="101"/>
    <cellStyle name="Comma 3" xfId="102"/>
    <cellStyle name="Comma 3 2" xfId="103"/>
    <cellStyle name="Comma 3 2 2" xfId="104"/>
    <cellStyle name="Comma 3 3" xfId="105"/>
    <cellStyle name="Comma 3 4" xfId="106"/>
    <cellStyle name="Comma 3 5" xfId="424"/>
    <cellStyle name="Comma 4" xfId="107"/>
    <cellStyle name="Comma 4 2" xfId="108"/>
    <cellStyle name="Comma 4 3" xfId="109"/>
    <cellStyle name="Comma 4 4" xfId="110"/>
    <cellStyle name="Comma 4 5" xfId="111"/>
    <cellStyle name="Comma 4 6" xfId="112"/>
    <cellStyle name="Comma 5" xfId="113"/>
    <cellStyle name="Comma 5 2" xfId="114"/>
    <cellStyle name="Comma 6" xfId="115"/>
    <cellStyle name="Comma 6 2" xfId="116"/>
    <cellStyle name="Comma 6 3" xfId="117"/>
    <cellStyle name="Comma 7" xfId="118"/>
    <cellStyle name="Comma 7 2" xfId="119"/>
    <cellStyle name="Comma 7 3" xfId="120"/>
    <cellStyle name="Comma 8" xfId="121"/>
    <cellStyle name="Comma 8 2" xfId="122"/>
    <cellStyle name="Comma 9" xfId="123"/>
    <cellStyle name="Comma(2)" xfId="124"/>
    <cellStyle name="Comma0" xfId="125"/>
    <cellStyle name="Comma0 - Style2" xfId="126"/>
    <cellStyle name="Comma1 - Style1" xfId="127"/>
    <cellStyle name="Comments" xfId="128"/>
    <cellStyle name="Currency" xfId="129" builtinId="4"/>
    <cellStyle name="Currency 10" xfId="130"/>
    <cellStyle name="Currency 2" xfId="131"/>
    <cellStyle name="Currency 2 2" xfId="132"/>
    <cellStyle name="Currency 2 2 2" xfId="133"/>
    <cellStyle name="Currency 2 3" xfId="134"/>
    <cellStyle name="Currency 2 3 2" xfId="135"/>
    <cellStyle name="Currency 2 3 3" xfId="136"/>
    <cellStyle name="Currency 2 4" xfId="137"/>
    <cellStyle name="Currency 2 4 2" xfId="138"/>
    <cellStyle name="Currency 2 5" xfId="139"/>
    <cellStyle name="Currency 3" xfId="140"/>
    <cellStyle name="Currency 3 2" xfId="141"/>
    <cellStyle name="Currency 3 3" xfId="142"/>
    <cellStyle name="Currency 4" xfId="143"/>
    <cellStyle name="Currency 4 2" xfId="144"/>
    <cellStyle name="Currency 5" xfId="145"/>
    <cellStyle name="Currency 5 2" xfId="146"/>
    <cellStyle name="Currency 5 3" xfId="147"/>
    <cellStyle name="Currency 6" xfId="148"/>
    <cellStyle name="Currency 6 2" xfId="149"/>
    <cellStyle name="Currency 7" xfId="150"/>
    <cellStyle name="Currency 7 2" xfId="151"/>
    <cellStyle name="Currency 8" xfId="152"/>
    <cellStyle name="Currency 8 2" xfId="153"/>
    <cellStyle name="Currency 9" xfId="154"/>
    <cellStyle name="Currency 9 2" xfId="155"/>
    <cellStyle name="Currency0" xfId="156"/>
    <cellStyle name="Data Enter" xfId="157"/>
    <cellStyle name="Date" xfId="158"/>
    <cellStyle name="date 2" xfId="159"/>
    <cellStyle name="Explanatory Text 2" xfId="160"/>
    <cellStyle name="FactSheet" xfId="161"/>
    <cellStyle name="fish" xfId="162"/>
    <cellStyle name="Fixed" xfId="163"/>
    <cellStyle name="Good 2" xfId="164"/>
    <cellStyle name="Grey" xfId="165"/>
    <cellStyle name="Header1" xfId="166"/>
    <cellStyle name="Header2" xfId="167"/>
    <cellStyle name="Heading 1 2" xfId="168"/>
    <cellStyle name="Heading 1 3" xfId="169"/>
    <cellStyle name="Heading 2 2" xfId="170"/>
    <cellStyle name="Heading 2 3" xfId="171"/>
    <cellStyle name="Heading 3 2" xfId="172"/>
    <cellStyle name="Heading 3 3" xfId="173"/>
    <cellStyle name="Heading 4 2" xfId="174"/>
    <cellStyle name="Hyperlink 2" xfId="175"/>
    <cellStyle name="Hyperlink 3" xfId="176"/>
    <cellStyle name="Hyperlink 4" xfId="177"/>
    <cellStyle name="Input [yellow]" xfId="178"/>
    <cellStyle name="Input 2" xfId="179"/>
    <cellStyle name="input(0)" xfId="180"/>
    <cellStyle name="Input(2)" xfId="181"/>
    <cellStyle name="Linked Cell 2" xfId="182"/>
    <cellStyle name="MW_STANDARD" xfId="183"/>
    <cellStyle name="Neutral 2" xfId="184"/>
    <cellStyle name="New_normal" xfId="185"/>
    <cellStyle name="Normal" xfId="0" builtinId="0"/>
    <cellStyle name="Normal - Style1" xfId="186"/>
    <cellStyle name="Normal - Style2" xfId="187"/>
    <cellStyle name="Normal - Style3" xfId="188"/>
    <cellStyle name="Normal - Style4" xfId="189"/>
    <cellStyle name="Normal - Style5" xfId="190"/>
    <cellStyle name="Normal - Style6" xfId="191"/>
    <cellStyle name="Normal - Style7" xfId="192"/>
    <cellStyle name="Normal - Style8" xfId="193"/>
    <cellStyle name="Normal 10" xfId="194"/>
    <cellStyle name="Normal 10 2" xfId="195"/>
    <cellStyle name="Normal 10 2 2" xfId="196"/>
    <cellStyle name="Normal 10 2 3" xfId="197"/>
    <cellStyle name="Normal 10 3" xfId="198"/>
    <cellStyle name="Normal 10_2112 DF Schedule" xfId="199"/>
    <cellStyle name="Normal 11" xfId="200"/>
    <cellStyle name="Normal 11 2" xfId="201"/>
    <cellStyle name="Normal 11 3" xfId="202"/>
    <cellStyle name="Normal 12" xfId="203"/>
    <cellStyle name="Normal 12 2" xfId="204"/>
    <cellStyle name="Normal 13" xfId="205"/>
    <cellStyle name="Normal 13 2" xfId="206"/>
    <cellStyle name="Normal 14" xfId="207"/>
    <cellStyle name="Normal 14 2" xfId="208"/>
    <cellStyle name="Normal 15" xfId="209"/>
    <cellStyle name="Normal 15 2" xfId="210"/>
    <cellStyle name="Normal 16" xfId="211"/>
    <cellStyle name="Normal 16 2" xfId="212"/>
    <cellStyle name="Normal 17" xfId="213"/>
    <cellStyle name="Normal 18" xfId="214"/>
    <cellStyle name="Normal 19" xfId="215"/>
    <cellStyle name="Normal 2" xfId="216"/>
    <cellStyle name="Normal 2 2" xfId="217"/>
    <cellStyle name="Normal 2 2 2" xfId="218"/>
    <cellStyle name="Normal 2 2 3" xfId="219"/>
    <cellStyle name="Normal 2 2 4" xfId="220"/>
    <cellStyle name="Normal 2 2_Actual_Fuel" xfId="221"/>
    <cellStyle name="Normal 2 3" xfId="222"/>
    <cellStyle name="Normal 2 3 2" xfId="223"/>
    <cellStyle name="Normal 2 3 3" xfId="224"/>
    <cellStyle name="Normal 2 3 4" xfId="225"/>
    <cellStyle name="Normal 2 4" xfId="226"/>
    <cellStyle name="Normal 2 4 2" xfId="227"/>
    <cellStyle name="Normal 2 5" xfId="228"/>
    <cellStyle name="Normal 2 6" xfId="423"/>
    <cellStyle name="Normal 2_2012-10" xfId="229"/>
    <cellStyle name="Normal 20" xfId="230"/>
    <cellStyle name="Normal 21" xfId="231"/>
    <cellStyle name="Normal 22" xfId="232"/>
    <cellStyle name="Normal 23" xfId="233"/>
    <cellStyle name="Normal 24" xfId="234"/>
    <cellStyle name="Normal 25" xfId="235"/>
    <cellStyle name="Normal 26" xfId="236"/>
    <cellStyle name="Normal 27" xfId="237"/>
    <cellStyle name="Normal 28" xfId="238"/>
    <cellStyle name="Normal 29" xfId="239"/>
    <cellStyle name="Normal 3" xfId="240"/>
    <cellStyle name="Normal 3 2" xfId="241"/>
    <cellStyle name="Normal 3 3" xfId="242"/>
    <cellStyle name="Normal 3 4" xfId="243"/>
    <cellStyle name="Normal 3_2012 PR" xfId="244"/>
    <cellStyle name="Normal 30" xfId="245"/>
    <cellStyle name="Normal 31" xfId="246"/>
    <cellStyle name="Normal 32" xfId="247"/>
    <cellStyle name="Normal 33" xfId="248"/>
    <cellStyle name="Normal 34" xfId="249"/>
    <cellStyle name="Normal 35" xfId="250"/>
    <cellStyle name="Normal 36" xfId="251"/>
    <cellStyle name="Normal 37" xfId="252"/>
    <cellStyle name="Normal 38" xfId="253"/>
    <cellStyle name="Normal 39" xfId="254"/>
    <cellStyle name="Normal 4" xfId="255"/>
    <cellStyle name="Normal 4 2" xfId="256"/>
    <cellStyle name="Normal 40" xfId="257"/>
    <cellStyle name="Normal 41" xfId="258"/>
    <cellStyle name="Normal 42" xfId="259"/>
    <cellStyle name="Normal 43" xfId="260"/>
    <cellStyle name="Normal 44" xfId="261"/>
    <cellStyle name="Normal 45" xfId="262"/>
    <cellStyle name="Normal 46" xfId="263"/>
    <cellStyle name="Normal 47" xfId="264"/>
    <cellStyle name="Normal 48" xfId="265"/>
    <cellStyle name="Normal 49" xfId="266"/>
    <cellStyle name="Normal 5" xfId="267"/>
    <cellStyle name="Normal 5 2" xfId="268"/>
    <cellStyle name="Normal 5 2 2" xfId="269"/>
    <cellStyle name="Normal 5 3" xfId="270"/>
    <cellStyle name="Normal 5_2112 DF Schedule" xfId="271"/>
    <cellStyle name="Normal 50" xfId="272"/>
    <cellStyle name="Normal 51" xfId="273"/>
    <cellStyle name="Normal 52" xfId="274"/>
    <cellStyle name="Normal 53" xfId="275"/>
    <cellStyle name="Normal 54" xfId="276"/>
    <cellStyle name="Normal 55" xfId="277"/>
    <cellStyle name="Normal 56" xfId="278"/>
    <cellStyle name="Normal 57" xfId="279"/>
    <cellStyle name="Normal 58" xfId="280"/>
    <cellStyle name="Normal 59" xfId="281"/>
    <cellStyle name="Normal 6" xfId="282"/>
    <cellStyle name="Normal 6 2" xfId="283"/>
    <cellStyle name="Normal 6 3" xfId="284"/>
    <cellStyle name="Normal 60" xfId="285"/>
    <cellStyle name="Normal 61" xfId="286"/>
    <cellStyle name="Normal 62" xfId="287"/>
    <cellStyle name="Normal 63" xfId="288"/>
    <cellStyle name="Normal 64" xfId="289"/>
    <cellStyle name="Normal 65" xfId="290"/>
    <cellStyle name="Normal 66" xfId="291"/>
    <cellStyle name="Normal 67" xfId="292"/>
    <cellStyle name="Normal 68" xfId="293"/>
    <cellStyle name="Normal 69" xfId="294"/>
    <cellStyle name="Normal 7" xfId="295"/>
    <cellStyle name="Normal 7 2" xfId="296"/>
    <cellStyle name="Normal 70" xfId="297"/>
    <cellStyle name="Normal 71" xfId="298"/>
    <cellStyle name="Normal 72" xfId="299"/>
    <cellStyle name="Normal 73" xfId="300"/>
    <cellStyle name="Normal 74" xfId="301"/>
    <cellStyle name="Normal 75" xfId="302"/>
    <cellStyle name="Normal 76" xfId="303"/>
    <cellStyle name="Normal 77" xfId="304"/>
    <cellStyle name="Normal 78" xfId="305"/>
    <cellStyle name="Normal 79" xfId="306"/>
    <cellStyle name="Normal 8" xfId="307"/>
    <cellStyle name="Normal 8 2" xfId="308"/>
    <cellStyle name="Normal 80" xfId="309"/>
    <cellStyle name="Normal 81" xfId="310"/>
    <cellStyle name="Normal 82" xfId="311"/>
    <cellStyle name="Normal 83" xfId="312"/>
    <cellStyle name="Normal 84" xfId="313"/>
    <cellStyle name="Normal 85" xfId="314"/>
    <cellStyle name="Normal 86" xfId="315"/>
    <cellStyle name="Normal 9" xfId="316"/>
    <cellStyle name="Normal 9 2" xfId="317"/>
    <cellStyle name="Normal 9 3" xfId="318"/>
    <cellStyle name="Normal_Book1" xfId="319"/>
    <cellStyle name="Note 2" xfId="320"/>
    <cellStyle name="Note 3" xfId="321"/>
    <cellStyle name="Notes" xfId="322"/>
    <cellStyle name="Output 2" xfId="323"/>
    <cellStyle name="Percent" xfId="324" builtinId="5"/>
    <cellStyle name="Percent [2]" xfId="325"/>
    <cellStyle name="Percent 10" xfId="326"/>
    <cellStyle name="Percent 11" xfId="327"/>
    <cellStyle name="Percent 12" xfId="328"/>
    <cellStyle name="Percent 13" xfId="329"/>
    <cellStyle name="Percent 2" xfId="330"/>
    <cellStyle name="Percent 2 2" xfId="331"/>
    <cellStyle name="Percent 2 2 2" xfId="332"/>
    <cellStyle name="Percent 2 2 2 2" xfId="333"/>
    <cellStyle name="Percent 2 2 3" xfId="334"/>
    <cellStyle name="Percent 2 2 4" xfId="335"/>
    <cellStyle name="Percent 2 3" xfId="336"/>
    <cellStyle name="Percent 2 3 2" xfId="337"/>
    <cellStyle name="Percent 2 4" xfId="338"/>
    <cellStyle name="Percent 2 4 2" xfId="339"/>
    <cellStyle name="Percent 2 5" xfId="340"/>
    <cellStyle name="Percent 2 6" xfId="341"/>
    <cellStyle name="Percent 3" xfId="342"/>
    <cellStyle name="Percent 3 2" xfId="343"/>
    <cellStyle name="Percent 3 2 2" xfId="344"/>
    <cellStyle name="Percent 3 3" xfId="345"/>
    <cellStyle name="Percent 3 3 2" xfId="346"/>
    <cellStyle name="Percent 3 4" xfId="347"/>
    <cellStyle name="Percent 3 5" xfId="348"/>
    <cellStyle name="Percent 3 6" xfId="425"/>
    <cellStyle name="Percent 4" xfId="349"/>
    <cellStyle name="Percent 4 2" xfId="350"/>
    <cellStyle name="Percent 4 3" xfId="351"/>
    <cellStyle name="Percent 5" xfId="352"/>
    <cellStyle name="Percent 6" xfId="353"/>
    <cellStyle name="Percent 7" xfId="354"/>
    <cellStyle name="Percent 7 2" xfId="355"/>
    <cellStyle name="Percent 8" xfId="356"/>
    <cellStyle name="Percent 9" xfId="357"/>
    <cellStyle name="Percent(1)" xfId="358"/>
    <cellStyle name="Percent(2)" xfId="359"/>
    <cellStyle name="PRM" xfId="360"/>
    <cellStyle name="PRM 2" xfId="361"/>
    <cellStyle name="PRM 3" xfId="362"/>
    <cellStyle name="PRM_2011-11" xfId="363"/>
    <cellStyle name="PS_Comma" xfId="364"/>
    <cellStyle name="PSChar" xfId="365"/>
    <cellStyle name="PSDate" xfId="366"/>
    <cellStyle name="PSDec" xfId="367"/>
    <cellStyle name="PSHeading" xfId="368"/>
    <cellStyle name="PSHeading 2" xfId="369"/>
    <cellStyle name="PSInt" xfId="370"/>
    <cellStyle name="PSSpacer" xfId="371"/>
    <cellStyle name="R00A" xfId="372"/>
    <cellStyle name="R00B" xfId="373"/>
    <cellStyle name="R00L" xfId="374"/>
    <cellStyle name="R01A" xfId="375"/>
    <cellStyle name="R01B" xfId="376"/>
    <cellStyle name="R01H" xfId="377"/>
    <cellStyle name="R01L" xfId="378"/>
    <cellStyle name="R02A" xfId="379"/>
    <cellStyle name="R02B" xfId="380"/>
    <cellStyle name="R02H" xfId="381"/>
    <cellStyle name="R02L" xfId="382"/>
    <cellStyle name="R03A" xfId="383"/>
    <cellStyle name="R03B" xfId="384"/>
    <cellStyle name="R03H" xfId="385"/>
    <cellStyle name="R03L" xfId="386"/>
    <cellStyle name="R04A" xfId="387"/>
    <cellStyle name="R04B" xfId="388"/>
    <cellStyle name="R04H" xfId="389"/>
    <cellStyle name="R04L" xfId="390"/>
    <cellStyle name="R05A" xfId="391"/>
    <cellStyle name="R05B" xfId="392"/>
    <cellStyle name="R05H" xfId="393"/>
    <cellStyle name="R05L" xfId="394"/>
    <cellStyle name="R06A" xfId="395"/>
    <cellStyle name="R06B" xfId="396"/>
    <cellStyle name="R06H" xfId="397"/>
    <cellStyle name="R06L" xfId="398"/>
    <cellStyle name="R07A" xfId="399"/>
    <cellStyle name="R07B" xfId="400"/>
    <cellStyle name="R07H" xfId="401"/>
    <cellStyle name="R07L" xfId="402"/>
    <cellStyle name="STYL0 - Style1" xfId="403"/>
    <cellStyle name="STYL1 - Style2" xfId="404"/>
    <cellStyle name="STYL2 - Style3" xfId="405"/>
    <cellStyle name="STYL3 - Style4" xfId="406"/>
    <cellStyle name="STYL4 - Style5" xfId="407"/>
    <cellStyle name="STYL5 - Style6" xfId="408"/>
    <cellStyle name="STYL6 - Style7" xfId="409"/>
    <cellStyle name="STYL7 - Style8" xfId="410"/>
    <cellStyle name="Style 1" xfId="411"/>
    <cellStyle name="Style 1 2" xfId="412"/>
    <cellStyle name="STYLE1" xfId="413"/>
    <cellStyle name="STYLE1 2" xfId="414"/>
    <cellStyle name="sub heading" xfId="415"/>
    <cellStyle name="test" xfId="416"/>
    <cellStyle name="Title 2" xfId="417"/>
    <cellStyle name="Total 2" xfId="418"/>
    <cellStyle name="Total 3" xfId="419"/>
    <cellStyle name="Warning Text 2" xfId="420"/>
    <cellStyle name="WM_STANDARD" xfId="421"/>
    <cellStyle name="WMI_Default" xfId="422"/>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7.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externalLink" Target="externalLinks/externalLink10.xml"/><Relationship Id="rId47" Type="http://schemas.openxmlformats.org/officeDocument/2006/relationships/externalLink" Target="externalLinks/externalLink15.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externalLink" Target="externalLinks/externalLink8.xml"/><Relationship Id="rId45" Type="http://schemas.openxmlformats.org/officeDocument/2006/relationships/externalLink" Target="externalLinks/externalLink13.xml"/><Relationship Id="rId53"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externalLink" Target="externalLinks/externalLink11.xml"/><Relationship Id="rId48" Type="http://schemas.openxmlformats.org/officeDocument/2006/relationships/externalLink" Target="externalLinks/externalLink16.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46" Type="http://schemas.openxmlformats.org/officeDocument/2006/relationships/externalLink" Target="externalLinks/externalLink14.xml"/><Relationship Id="rId20" Type="http://schemas.openxmlformats.org/officeDocument/2006/relationships/worksheet" Target="worksheets/sheet20.xml"/><Relationship Id="rId41" Type="http://schemas.openxmlformats.org/officeDocument/2006/relationships/externalLink" Target="externalLinks/externalLink9.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49" Type="http://schemas.openxmlformats.org/officeDocument/2006/relationships/externalLink" Target="externalLinks/externalLink17.xml"/><Relationship Id="rId57" Type="http://schemas.openxmlformats.org/officeDocument/2006/relationships/customXml" Target="../customXml/item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2.xml"/><Relationship Id="rId5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14</xdr:row>
          <xdr:rowOff>171450</xdr:rowOff>
        </xdr:from>
        <xdr:to>
          <xdr:col>2</xdr:col>
          <xdr:colOff>352425</xdr:colOff>
          <xdr:row>16</xdr:row>
          <xdr:rowOff>19050</xdr:rowOff>
        </xdr:to>
        <xdr:sp macro="" textlink="">
          <xdr:nvSpPr>
            <xdr:cNvPr id="117761" name="CheckBox1" hidden="1">
              <a:extLst>
                <a:ext uri="{63B3BB69-23CF-44E3-9099-C40C66FF867C}">
                  <a14:compatExt spid="_x0000_s117761"/>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L_WASTE\SYS\ACCOUNT\CV2000\022000\2000_FEBRUARY_%20GL%20REC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TIL\TRANS\Chris%20M\Solid%20Waste\San%20Juan%20Sanitation%20Co\Year%202010\Staff\San%20Juan%20Sanitation\WUTC\SJS%20Income%20Stateme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o111\share\frsx\D0536y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_TO_Z/WASTE%20COMPANY%20GROUP/WAC0252%20-%20Waste%20Control,%20Inc-1633/Rate%20Cases/2013%20Rate%20Case/Dave%20Wiley/Post%20Suspension/Files%20for%20conf%20call%20032114/sent%20to%20utc/staff%20WCI%20Pro%20forma%2010-11-2013%20cos%20from%20meliss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TIL\TRANS\Chris%20M\Solid%20Waste\San%20Juan%20Sanitation%20Co\Year%202010\Staff\W_COMP\Rosario\2007%20rate%20case\Worksheets\070944%20Loan%20Recalculatio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budget.wm.com/plan07/F2_24_Month_Condensed_Ops_PnL_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T_TO_Z/WASTE%20COMPANY%20GROUP/WAC0252%20-%20Waste%20Control,%20Inc-1633/Rate%20Cases/2018/2018%20Rate%20Case/Copy%20of%20WCI-Operationswp-060418%20(040117-033118%20version)%20fixed%20Kalam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T_TO_Z/WASTE%20COMPANY%20GROUP/WAC0252%20-%20Waste%20Control,%20Inc-1633/Rate%20Cases/2018/WCI-Operationswp-060418%20(Randy%20edit%20versio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rpoole\AppData\Local\Microsoft\Windows\Temporary%20Internet%20Files\Content.Outlook\692G4J2S\Disposal%20Schedu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disnap\accounting\MODEST~1\20320.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ns-2674%20Ke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TIL\TRANS\Waste%20Management%20-%20Filings\Ellensburg\Year%202009\TG-091472%20(GRC)\Staff\TG-091472%20WM%20of%20Ellensburg%20(Workpaper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TIL\TRANS\Chris%20M\Solid%20Waste\Waste%20Management\Sno-King\Year%202009\TG-091933\Staff\TG-091933%20WM%20of%20SnoKing%20GRC%20(Workpaper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2004%20Planning%20Requirements\5-20%20Submission\6%20Report%20Requirements\Reports%20Master%20List%20and%20Mockups%20V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ssignments\Solid%20Waste\Waste%20Connections\Year%202008\American%20Disposal%20Company,%20Inc\Yr%202009\TG-090098%20(General%20Case)\Staff\TG-090097%20&amp;%20TG-090098%20Proforma%20(Staff%20-%20Route%20Hr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_TO_Z\WASTE%20COMPANY%20GROUP\WAC0252%20-%20Waste%20Control,%20Inc-1633\Rate%20Cases\2013%20Rate%20Case\Workpapers\Waste%20Control,%20Inc.-%20Cost%20Study%2006-30-1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cmickels\Desktop\Example%20of%20WM%20of%20Sno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ttyCash-10110"/>
      <sheetName val="10200"/>
      <sheetName val="10210"/>
      <sheetName val="10250_RECON"/>
      <sheetName val="10250_MVPSS"/>
      <sheetName val="10250_Recy Chkg"/>
      <sheetName val="10250_Reimb Accts"/>
      <sheetName val="10250_Rollfwd"/>
      <sheetName val="10410_Rollfwd"/>
      <sheetName val="10410_Recon"/>
      <sheetName val="10410_Trade"/>
      <sheetName val="10410_Lodi"/>
      <sheetName val="10410_Sac Co"/>
      <sheetName val="10410_Brokered"/>
      <sheetName val="10420_Rollfwd"/>
      <sheetName val="10420 RECON"/>
      <sheetName val="Rollfwd_10550"/>
      <sheetName val="Recon_10550"/>
      <sheetName val="Recon_10555"/>
      <sheetName val="Recon_10610"/>
      <sheetName val="A170XX-October"/>
      <sheetName val="Recon_10760"/>
      <sheetName val="Rollfwd_10820"/>
      <sheetName val="PPXXC_10830"/>
      <sheetName val="Schedule_10830"/>
      <sheetName val="Recon_10830"/>
      <sheetName val="Rollfwd_10850"/>
      <sheetName val="Recon_10850"/>
      <sheetName val="ReconSumm_10890"/>
      <sheetName val="ASSETS 11XXX"/>
      <sheetName val="ACC DEP 12XXX"/>
      <sheetName val="GOODWILL_15120"/>
      <sheetName val="Rollfwd_15450"/>
      <sheetName val="15450_92 bond"/>
      <sheetName val="15450_94 Bond "/>
      <sheetName val="Recon_15450"/>
      <sheetName val="Rollfwd_15320_15500"/>
      <sheetName val="16100_Rollfwd"/>
      <sheetName val="A180543"/>
      <sheetName val="A20110"/>
      <sheetName val="Rollfwd_20120"/>
      <sheetName val="Recon_20120"/>
      <sheetName val="Recon_20130"/>
      <sheetName val="Recon_20133"/>
      <sheetName val="Recon_20135"/>
      <sheetName val="Recon_20137"/>
      <sheetName val="A20140"/>
      <sheetName val="SALES TAX RETURN_20140"/>
      <sheetName val="Rollfwd_20170"/>
      <sheetName val="Recon_20170"/>
      <sheetName val="Recon_20175"/>
      <sheetName val="Recon_20177"/>
      <sheetName val="Detail_20320"/>
      <sheetName val="Rollfwd_20325"/>
      <sheetName val="Recon_20325"/>
      <sheetName val="A20330"/>
      <sheetName val="RECON 20335"/>
      <sheetName val="RECON_20340"/>
      <sheetName val="DETAILED 20360"/>
      <sheetName val="recon 20365"/>
      <sheetName val="recon 20375"/>
      <sheetName val="A21100 &amp; A21250"/>
      <sheetName val="21250_92 Bond"/>
      <sheetName val="21250_94 Bond"/>
      <sheetName val="21250_R. Vaccarezza"/>
      <sheetName val="21250_BOND DIS AMORT"/>
      <sheetName val="A21390"/>
      <sheetName val="Recon 22104"/>
      <sheetName val="Recon 22105"/>
      <sheetName val="Recon 22109"/>
      <sheetName val="Recon 22205 "/>
      <sheetName val="Recon 22206"/>
      <sheetName val="Recon_30XXXX"/>
      <sheetName val="Recon 150543 Revised"/>
      <sheetName val="170001 DL 121999"/>
      <sheetName val="Rollfwd_170001"/>
      <sheetName val="A170001"/>
      <sheetName val="Rollfwd_170050"/>
      <sheetName val="A170050"/>
      <sheetName val="Rollfwd_171170"/>
      <sheetName val="A171170"/>
      <sheetName val="Rollfwd_171500"/>
      <sheetName val="A171500"/>
      <sheetName val="A171504"/>
      <sheetName val="A171531"/>
      <sheetName val="A172216"/>
      <sheetName val="A172220"/>
      <sheetName val="A172355"/>
      <sheetName val="Dec_99 DL_RAW"/>
      <sheetName val="Dec_99 DL_"/>
      <sheetName val="DEC_98 DL RAW"/>
      <sheetName val="DEC_98 DL "/>
      <sheetName val="Sheet4"/>
      <sheetName val="Sheet4 (2)"/>
      <sheetName val="XXXXXX"/>
      <sheetName val="BU NAMES"/>
      <sheetName val="PS BS ACC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row r="1">
          <cell r="A1" t="str">
            <v>Fixed Assets Reconciliations - Lodi - 0543</v>
          </cell>
        </row>
        <row r="2">
          <cell r="A2" t="str">
            <v>February</v>
          </cell>
        </row>
        <row r="3">
          <cell r="B3" t="str">
            <v>Trucks</v>
          </cell>
          <cell r="C3" t="str">
            <v>Landfill PE</v>
          </cell>
          <cell r="D3" t="str">
            <v>Support Trucks</v>
          </cell>
          <cell r="E3" t="str">
            <v xml:space="preserve">Containers </v>
          </cell>
          <cell r="F3" t="str">
            <v>M&amp;E</v>
          </cell>
          <cell r="G3" t="str">
            <v>OfficeEquip</v>
          </cell>
          <cell r="H3" t="str">
            <v>Building</v>
          </cell>
          <cell r="I3" t="str">
            <v>Leashold Improv</v>
          </cell>
          <cell r="J3" t="str">
            <v>Autos</v>
          </cell>
          <cell r="K3" t="str">
            <v>Land</v>
          </cell>
          <cell r="L3" t="str">
            <v>Total Assets</v>
          </cell>
        </row>
        <row r="4">
          <cell r="A4" t="str">
            <v>Description/A/C</v>
          </cell>
          <cell r="B4" t="str">
            <v>11110 &amp;120</v>
          </cell>
          <cell r="C4">
            <v>11210</v>
          </cell>
          <cell r="D4">
            <v>11310</v>
          </cell>
          <cell r="E4" t="str">
            <v>11410 &amp; 20</v>
          </cell>
          <cell r="F4" t="str">
            <v>11510 &amp; 20</v>
          </cell>
          <cell r="G4" t="str">
            <v>11610 &amp; 20</v>
          </cell>
          <cell r="H4" t="str">
            <v>11710 &amp; 20</v>
          </cell>
          <cell r="I4">
            <v>11810</v>
          </cell>
          <cell r="J4">
            <v>11910</v>
          </cell>
          <cell r="K4">
            <v>13110</v>
          </cell>
        </row>
        <row r="6">
          <cell r="A6" t="str">
            <v>GL Beginning Bal</v>
          </cell>
          <cell r="B6">
            <v>6370279.0000000009</v>
          </cell>
          <cell r="C6">
            <v>1152675.96</v>
          </cell>
          <cell r="D6">
            <v>230167.72999999998</v>
          </cell>
          <cell r="E6">
            <v>9808085.1799999997</v>
          </cell>
          <cell r="F6">
            <v>3002548.89</v>
          </cell>
          <cell r="G6">
            <v>1058753.53</v>
          </cell>
          <cell r="H6">
            <v>5945538.0099999998</v>
          </cell>
          <cell r="I6">
            <v>2233939.7999999998</v>
          </cell>
          <cell r="J6">
            <v>47342.04</v>
          </cell>
          <cell r="K6">
            <v>987725.13</v>
          </cell>
          <cell r="L6">
            <v>30837055.270000003</v>
          </cell>
        </row>
        <row r="8">
          <cell r="A8" t="str">
            <v>Additions:</v>
          </cell>
          <cell r="B8">
            <v>0</v>
          </cell>
          <cell r="E8">
            <v>0</v>
          </cell>
          <cell r="F8">
            <v>0</v>
          </cell>
          <cell r="G8">
            <v>0</v>
          </cell>
        </row>
        <row r="11">
          <cell r="A11" t="str">
            <v>Accruals:</v>
          </cell>
        </row>
        <row r="13">
          <cell r="A13" t="str">
            <v>Deletions:</v>
          </cell>
        </row>
        <row r="15">
          <cell r="A15" t="str">
            <v>Adjusted GL Bal:</v>
          </cell>
          <cell r="B15">
            <v>6370279.0000000009</v>
          </cell>
          <cell r="C15">
            <v>1152675.96</v>
          </cell>
          <cell r="D15">
            <v>230167.72999999998</v>
          </cell>
          <cell r="E15">
            <v>9808085.1799999997</v>
          </cell>
          <cell r="F15">
            <v>3002548.89</v>
          </cell>
          <cell r="G15">
            <v>1058753.53</v>
          </cell>
          <cell r="H15">
            <v>5945538.0099999998</v>
          </cell>
          <cell r="I15">
            <v>2233939.7999999998</v>
          </cell>
          <cell r="J15">
            <v>47342.04</v>
          </cell>
          <cell r="K15">
            <v>987725.13</v>
          </cell>
          <cell r="L15">
            <v>30837055.270000003</v>
          </cell>
        </row>
        <row r="17">
          <cell r="A17" t="str">
            <v>GBA Balances</v>
          </cell>
          <cell r="B17">
            <v>6486957.9000000004</v>
          </cell>
          <cell r="C17">
            <v>1191195.51</v>
          </cell>
          <cell r="D17">
            <v>230167.73</v>
          </cell>
          <cell r="E17">
            <v>9808085.1799999997</v>
          </cell>
          <cell r="F17">
            <v>2783580.08</v>
          </cell>
          <cell r="G17">
            <v>1058752.1299999999</v>
          </cell>
          <cell r="H17">
            <v>5945538.0099999998</v>
          </cell>
          <cell r="I17">
            <v>2233939.7999999998</v>
          </cell>
          <cell r="J17">
            <v>47342.04</v>
          </cell>
          <cell r="K17">
            <v>988191.66</v>
          </cell>
          <cell r="L17">
            <v>30773750.039999999</v>
          </cell>
        </row>
        <row r="19">
          <cell r="A19" t="str">
            <v>Variance</v>
          </cell>
          <cell r="B19">
            <v>-116678.89999999944</v>
          </cell>
          <cell r="C19">
            <v>-38519.550000000047</v>
          </cell>
          <cell r="D19">
            <v>0</v>
          </cell>
          <cell r="E19">
            <v>0</v>
          </cell>
          <cell r="F19">
            <v>218968.81000000006</v>
          </cell>
          <cell r="G19">
            <v>1.4000000001396984</v>
          </cell>
          <cell r="H19">
            <v>0</v>
          </cell>
          <cell r="I19">
            <v>0</v>
          </cell>
          <cell r="J19">
            <v>0</v>
          </cell>
          <cell r="K19">
            <v>-466.53000000002794</v>
          </cell>
          <cell r="L19">
            <v>63305.230000004172</v>
          </cell>
        </row>
      </sheetData>
      <sheetData sheetId="30" refreshError="1">
        <row r="4">
          <cell r="A4" t="str">
            <v>Accumulated Depreciation:</v>
          </cell>
          <cell r="D4">
            <v>65920</v>
          </cell>
          <cell r="F4">
            <v>60925</v>
          </cell>
          <cell r="G4">
            <v>70905</v>
          </cell>
          <cell r="H4">
            <v>90910</v>
          </cell>
        </row>
        <row r="5">
          <cell r="A5" t="str">
            <v>February</v>
          </cell>
          <cell r="B5">
            <v>52930</v>
          </cell>
          <cell r="C5">
            <v>52935</v>
          </cell>
          <cell r="D5">
            <v>60920</v>
          </cell>
          <cell r="E5">
            <v>54935</v>
          </cell>
          <cell r="F5">
            <v>54925</v>
          </cell>
          <cell r="G5">
            <v>60905</v>
          </cell>
          <cell r="H5">
            <v>65910</v>
          </cell>
          <cell r="I5">
            <v>90915</v>
          </cell>
          <cell r="J5">
            <v>90900</v>
          </cell>
        </row>
        <row r="6">
          <cell r="B6" t="str">
            <v>Trucks</v>
          </cell>
          <cell r="C6" t="str">
            <v>Landfill PE</v>
          </cell>
          <cell r="D6" t="str">
            <v>Support Trucks</v>
          </cell>
          <cell r="E6" t="str">
            <v xml:space="preserve">Containers </v>
          </cell>
          <cell r="F6" t="str">
            <v>M&amp;E</v>
          </cell>
          <cell r="G6" t="str">
            <v>OfficeEquip</v>
          </cell>
          <cell r="H6" t="str">
            <v>Building</v>
          </cell>
          <cell r="I6" t="str">
            <v>Leashold Improv</v>
          </cell>
          <cell r="J6" t="str">
            <v>Autos</v>
          </cell>
          <cell r="K6" t="str">
            <v>Land</v>
          </cell>
          <cell r="L6" t="str">
            <v>Total Accumulated</v>
          </cell>
        </row>
        <row r="7">
          <cell r="A7" t="str">
            <v>Description/A/C</v>
          </cell>
          <cell r="B7" t="str">
            <v>121XX</v>
          </cell>
          <cell r="C7" t="str">
            <v>122XX</v>
          </cell>
          <cell r="D7" t="str">
            <v>123XX</v>
          </cell>
          <cell r="E7" t="str">
            <v>124XX</v>
          </cell>
          <cell r="F7" t="str">
            <v>125XX</v>
          </cell>
          <cell r="G7" t="str">
            <v>126XX</v>
          </cell>
          <cell r="H7" t="str">
            <v>127XX</v>
          </cell>
          <cell r="I7" t="str">
            <v>128XX</v>
          </cell>
          <cell r="J7" t="str">
            <v>129XX</v>
          </cell>
          <cell r="K7">
            <v>13250</v>
          </cell>
          <cell r="L7" t="str">
            <v>Depreciation</v>
          </cell>
        </row>
        <row r="9">
          <cell r="A9" t="str">
            <v>GL Beginning Bal</v>
          </cell>
          <cell r="B9">
            <v>-4345139.9400000004</v>
          </cell>
          <cell r="C9">
            <v>-631095.49999999988</v>
          </cell>
          <cell r="D9">
            <v>-197525.75999999998</v>
          </cell>
          <cell r="E9">
            <v>-6570378.0800000001</v>
          </cell>
          <cell r="F9">
            <v>-2358947.5299999998</v>
          </cell>
          <cell r="G9">
            <v>-645903.84000000008</v>
          </cell>
          <cell r="H9">
            <v>-2171023.04</v>
          </cell>
          <cell r="I9">
            <v>-726384.56</v>
          </cell>
          <cell r="J9">
            <v>-36395.379999999997</v>
          </cell>
          <cell r="K9">
            <v>-466.76</v>
          </cell>
          <cell r="L9">
            <v>-17683260.390000001</v>
          </cell>
        </row>
        <row r="11">
          <cell r="A11" t="str">
            <v>Additions:</v>
          </cell>
          <cell r="B11">
            <v>-65915.709999999992</v>
          </cell>
          <cell r="C11">
            <v>-22490.11</v>
          </cell>
          <cell r="D11">
            <v>-2297.98</v>
          </cell>
          <cell r="E11">
            <v>-89579.91</v>
          </cell>
          <cell r="F11">
            <v>-55942.879999999997</v>
          </cell>
          <cell r="G11">
            <v>-29722.478000000003</v>
          </cell>
          <cell r="H11">
            <v>-41958.92</v>
          </cell>
          <cell r="I11">
            <v>-20345.439999999999</v>
          </cell>
          <cell r="J11">
            <v>-729.78</v>
          </cell>
          <cell r="L11">
            <v>-328983.20799999998</v>
          </cell>
        </row>
        <row r="13">
          <cell r="B13">
            <v>5502.79</v>
          </cell>
          <cell r="C13">
            <v>-5502.79</v>
          </cell>
        </row>
        <row r="14">
          <cell r="A14" t="str">
            <v>Accruals:</v>
          </cell>
        </row>
        <row r="16">
          <cell r="A16" t="str">
            <v>Deletions:</v>
          </cell>
        </row>
        <row r="18">
          <cell r="A18" t="str">
            <v>Adjusted GL Bal:</v>
          </cell>
          <cell r="B18">
            <v>-4405552.8600000003</v>
          </cell>
          <cell r="C18">
            <v>-659088.39999999991</v>
          </cell>
          <cell r="D18">
            <v>-199823.74</v>
          </cell>
          <cell r="E18">
            <v>-6659957.9900000002</v>
          </cell>
          <cell r="F18">
            <v>-2414890.4099999997</v>
          </cell>
          <cell r="G18">
            <v>-675626.31800000009</v>
          </cell>
          <cell r="H18">
            <v>-2212981.96</v>
          </cell>
          <cell r="I18">
            <v>-746730</v>
          </cell>
          <cell r="J18">
            <v>-37125.159999999996</v>
          </cell>
          <cell r="K18">
            <v>0</v>
          </cell>
          <cell r="L18">
            <v>-18011776.838</v>
          </cell>
        </row>
        <row r="20">
          <cell r="A20" t="str">
            <v>GBA Balances</v>
          </cell>
          <cell r="B20">
            <v>-4438805.79</v>
          </cell>
          <cell r="C20">
            <v>-659088.4</v>
          </cell>
          <cell r="D20">
            <v>-199823.74</v>
          </cell>
          <cell r="E20">
            <v>-6659957.9900000002</v>
          </cell>
          <cell r="F20">
            <v>-2243545.98</v>
          </cell>
          <cell r="G20">
            <v>-675626.34</v>
          </cell>
          <cell r="H20">
            <v>-2212981.96</v>
          </cell>
          <cell r="I20">
            <v>-746730</v>
          </cell>
          <cell r="J20">
            <v>-37125.160000000003</v>
          </cell>
          <cell r="K20">
            <v>-466.76</v>
          </cell>
          <cell r="L20">
            <v>-17874152.120000005</v>
          </cell>
        </row>
        <row r="22">
          <cell r="A22" t="str">
            <v>Variance</v>
          </cell>
          <cell r="B22">
            <v>33252.929999999702</v>
          </cell>
          <cell r="C22">
            <v>0</v>
          </cell>
          <cell r="D22">
            <v>0</v>
          </cell>
          <cell r="E22">
            <v>0</v>
          </cell>
          <cell r="F22">
            <v>-171344.4299999997</v>
          </cell>
          <cell r="G22">
            <v>2.199999988079071E-2</v>
          </cell>
          <cell r="H22">
            <v>0</v>
          </cell>
          <cell r="I22">
            <v>0</v>
          </cell>
          <cell r="J22">
            <v>0</v>
          </cell>
          <cell r="K22">
            <v>466.76</v>
          </cell>
          <cell r="L22">
            <v>-137624.71799999475</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row r="1">
          <cell r="A1" t="str">
            <v>CWRS</v>
          </cell>
        </row>
        <row r="2">
          <cell r="A2" t="str">
            <v>COPMPST AND OTHER SALES</v>
          </cell>
        </row>
        <row r="3">
          <cell r="A3" t="str">
            <v>SALES &amp; USE TAX</v>
          </cell>
        </row>
        <row r="5">
          <cell r="C5" t="str">
            <v>TAXABLE</v>
          </cell>
          <cell r="D5" t="str">
            <v>NONTAXABLE</v>
          </cell>
          <cell r="E5" t="str">
            <v>TOTAL</v>
          </cell>
        </row>
        <row r="7">
          <cell r="A7" t="str">
            <v>OCT 1999:</v>
          </cell>
        </row>
        <row r="8">
          <cell r="A8" t="str">
            <v>T/S SALES</v>
          </cell>
          <cell r="C8">
            <v>0</v>
          </cell>
          <cell r="D8">
            <v>0</v>
          </cell>
          <cell r="E8">
            <v>0</v>
          </cell>
        </row>
        <row r="9">
          <cell r="A9" t="str">
            <v>CASH SALES</v>
          </cell>
          <cell r="E9">
            <v>0</v>
          </cell>
        </row>
        <row r="10">
          <cell r="A10" t="str">
            <v>CHARGE SALES</v>
          </cell>
          <cell r="E10">
            <v>0</v>
          </cell>
        </row>
        <row r="11">
          <cell r="A11" t="str">
            <v>RECYCLING SALES</v>
          </cell>
          <cell r="E11">
            <v>0</v>
          </cell>
        </row>
        <row r="12">
          <cell r="A12" t="str">
            <v>OTHER SALES:</v>
          </cell>
        </row>
        <row r="13">
          <cell r="A13" t="str">
            <v xml:space="preserve"> WASTE CARTS</v>
          </cell>
          <cell r="C13">
            <v>645</v>
          </cell>
          <cell r="E13">
            <v>645</v>
          </cell>
        </row>
        <row r="14">
          <cell r="A14" t="str">
            <v xml:space="preserve"> MISC T/S</v>
          </cell>
          <cell r="C14">
            <v>0</v>
          </cell>
          <cell r="E14">
            <v>0</v>
          </cell>
        </row>
        <row r="16">
          <cell r="B16" t="str">
            <v>TOTAL</v>
          </cell>
          <cell r="C16">
            <v>645</v>
          </cell>
          <cell r="D16">
            <v>0</v>
          </cell>
          <cell r="E16">
            <v>645</v>
          </cell>
        </row>
        <row r="18">
          <cell r="A18" t="str">
            <v>NOV 1999:</v>
          </cell>
        </row>
        <row r="19">
          <cell r="A19" t="str">
            <v>T/S SALES</v>
          </cell>
          <cell r="E19">
            <v>0</v>
          </cell>
        </row>
        <row r="20">
          <cell r="A20" t="str">
            <v>CASH SALES</v>
          </cell>
          <cell r="E20">
            <v>0</v>
          </cell>
        </row>
        <row r="21">
          <cell r="A21" t="str">
            <v>CHARGE SALES</v>
          </cell>
          <cell r="E21">
            <v>0</v>
          </cell>
        </row>
        <row r="22">
          <cell r="A22" t="str">
            <v>RECYCLING SALES</v>
          </cell>
          <cell r="E22">
            <v>0</v>
          </cell>
        </row>
        <row r="23">
          <cell r="A23" t="str">
            <v>OTHER SALES:</v>
          </cell>
        </row>
        <row r="24">
          <cell r="A24" t="str">
            <v xml:space="preserve"> WASTE CARTS</v>
          </cell>
          <cell r="C24">
            <v>0</v>
          </cell>
          <cell r="E24">
            <v>0</v>
          </cell>
        </row>
        <row r="25">
          <cell r="A25" t="str">
            <v xml:space="preserve"> MISC T/S</v>
          </cell>
          <cell r="C25">
            <v>0</v>
          </cell>
          <cell r="E25">
            <v>0</v>
          </cell>
        </row>
        <row r="27">
          <cell r="B27" t="str">
            <v>TOTAL</v>
          </cell>
          <cell r="C27">
            <v>0</v>
          </cell>
          <cell r="D27">
            <v>0</v>
          </cell>
          <cell r="E27">
            <v>0</v>
          </cell>
        </row>
        <row r="29">
          <cell r="A29" t="str">
            <v>DEC 1999:</v>
          </cell>
        </row>
        <row r="30">
          <cell r="A30" t="str">
            <v>T/S SALES</v>
          </cell>
          <cell r="E30">
            <v>0</v>
          </cell>
        </row>
        <row r="31">
          <cell r="A31" t="str">
            <v>CASH SALES</v>
          </cell>
          <cell r="E31">
            <v>0</v>
          </cell>
        </row>
        <row r="32">
          <cell r="A32" t="str">
            <v>CHARGE SALES</v>
          </cell>
          <cell r="E32">
            <v>0</v>
          </cell>
        </row>
        <row r="33">
          <cell r="A33" t="str">
            <v>RECYCLING SALES</v>
          </cell>
          <cell r="E33">
            <v>0</v>
          </cell>
        </row>
        <row r="34">
          <cell r="A34" t="str">
            <v>OTHER SALES:</v>
          </cell>
        </row>
        <row r="35">
          <cell r="A35" t="str">
            <v xml:space="preserve"> WASTE CARTS</v>
          </cell>
          <cell r="C35">
            <v>0</v>
          </cell>
          <cell r="D35">
            <v>0</v>
          </cell>
          <cell r="E35">
            <v>0</v>
          </cell>
        </row>
        <row r="36">
          <cell r="A36" t="str">
            <v xml:space="preserve"> MISC T/S</v>
          </cell>
          <cell r="C36">
            <v>0</v>
          </cell>
          <cell r="D36">
            <v>0</v>
          </cell>
          <cell r="E36">
            <v>0</v>
          </cell>
        </row>
        <row r="38">
          <cell r="B38" t="str">
            <v>TOTAL</v>
          </cell>
          <cell r="C38">
            <v>0</v>
          </cell>
          <cell r="D38">
            <v>0</v>
          </cell>
          <cell r="E38">
            <v>0</v>
          </cell>
        </row>
        <row r="40">
          <cell r="A40" t="str">
            <v>QUARTER TOTAL - 12/31/99:</v>
          </cell>
        </row>
        <row r="41">
          <cell r="A41" t="str">
            <v>T/S SALES</v>
          </cell>
          <cell r="C41">
            <v>0</v>
          </cell>
          <cell r="D41">
            <v>0</v>
          </cell>
          <cell r="E41">
            <v>0</v>
          </cell>
        </row>
        <row r="42">
          <cell r="A42" t="str">
            <v>CASH SALES</v>
          </cell>
          <cell r="C42">
            <v>0</v>
          </cell>
          <cell r="D42">
            <v>0</v>
          </cell>
          <cell r="E42">
            <v>0</v>
          </cell>
        </row>
        <row r="43">
          <cell r="A43" t="str">
            <v>CHARGE SALES</v>
          </cell>
          <cell r="C43">
            <v>0</v>
          </cell>
          <cell r="D43">
            <v>0</v>
          </cell>
          <cell r="E43">
            <v>0</v>
          </cell>
        </row>
        <row r="44">
          <cell r="A44" t="str">
            <v>RECYCLING SALES</v>
          </cell>
          <cell r="C44">
            <v>0</v>
          </cell>
          <cell r="D44">
            <v>0</v>
          </cell>
          <cell r="E44">
            <v>0</v>
          </cell>
        </row>
        <row r="45">
          <cell r="A45" t="str">
            <v>OTHER SALES:</v>
          </cell>
          <cell r="C45">
            <v>0</v>
          </cell>
          <cell r="D45">
            <v>0</v>
          </cell>
        </row>
        <row r="46">
          <cell r="A46" t="str">
            <v xml:space="preserve"> WASTE CARTS</v>
          </cell>
          <cell r="C46">
            <v>645</v>
          </cell>
          <cell r="D46">
            <v>0</v>
          </cell>
          <cell r="E46">
            <v>645</v>
          </cell>
        </row>
        <row r="47">
          <cell r="A47" t="str">
            <v xml:space="preserve"> MISC T/S</v>
          </cell>
          <cell r="C47">
            <v>0</v>
          </cell>
          <cell r="D47">
            <v>0</v>
          </cell>
          <cell r="E47">
            <v>0</v>
          </cell>
        </row>
        <row r="49">
          <cell r="B49" t="str">
            <v>TOTAL</v>
          </cell>
          <cell r="C49">
            <v>645</v>
          </cell>
          <cell r="D49">
            <v>0</v>
          </cell>
          <cell r="E49">
            <v>645</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
      <sheetName val="Schedule 2"/>
      <sheetName val="Schedule 3A"/>
      <sheetName val="Schedule 3B"/>
      <sheetName val="Schedule 3C"/>
      <sheetName val="Schedule 4"/>
      <sheetName val="Schedule 5"/>
      <sheetName val="Schedule 6"/>
      <sheetName val="Schedule 7"/>
      <sheetName val="Schedule 8"/>
      <sheetName val="Schedule 9A"/>
      <sheetName val="Schedule 9B"/>
      <sheetName val="Schedule 10"/>
      <sheetName val="Reg Fee Calcul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RS"/>
      <sheetName val="Budget"/>
      <sheetName val="Forecast"/>
      <sheetName val="Internal Rev Growth"/>
      <sheetName val="Rev Roll"/>
      <sheetName val="Intern of Wste"/>
      <sheetName val="Tonnage"/>
      <sheetName val="AR Analysis"/>
      <sheetName val="Cap X"/>
      <sheetName val="Goodwill"/>
      <sheetName val="Other Intangibles"/>
      <sheetName val="Debt Roll"/>
      <sheetName val="Env Liability"/>
      <sheetName val="Census"/>
      <sheetName val="Census Budget"/>
      <sheetName val="Jan"/>
      <sheetName val="Feb"/>
      <sheetName val="Mar"/>
      <sheetName val="Apr"/>
      <sheetName val="May"/>
      <sheetName val="Jun"/>
      <sheetName val="Jul"/>
      <sheetName val="Aug"/>
      <sheetName val="Sep"/>
      <sheetName val="Oct"/>
      <sheetName val="Nov"/>
      <sheetName val="Dec"/>
    </sheetNames>
    <sheetDataSet>
      <sheetData sheetId="0">
        <row r="5">
          <cell r="B5">
            <v>536</v>
          </cell>
        </row>
        <row r="7">
          <cell r="B7" t="str">
            <v>WM Grass Valley/Nevada City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f Rate Sheet"/>
      <sheetName val="ROE"/>
      <sheetName val="CostStudy"/>
      <sheetName val="Pro Forma"/>
      <sheetName val="LURITXPF AVG"/>
      <sheetName val="Price Out"/>
      <sheetName val="Summary Price Out"/>
      <sheetName val="Fly Sheet"/>
      <sheetName val="Comp Report"/>
      <sheetName val="Operations"/>
      <sheetName val="Assumptions"/>
      <sheetName val="Sch 1 - Restate Exp"/>
      <sheetName val="Sch 1, pg 2 - Restated"/>
      <sheetName val="Sch 2 - Forecast Exp"/>
      <sheetName val="Sch 2, pg 2 - Forecast"/>
      <sheetName val="Sch 3 - Reclass Exp"/>
      <sheetName val="Sch 3, pg 2 - Reclass"/>
      <sheetName val="Sch 4 - 12months"/>
      <sheetName val="WorkPapers"/>
      <sheetName val="WP-1 Exp Summary"/>
      <sheetName val="WP-1, pg 2 -  Expense Mat"/>
      <sheetName val="COS"/>
      <sheetName val="Annual Test Year Revenue"/>
      <sheetName val="WP-2 - Summary Depn"/>
      <sheetName val="WP-2. pg 2 -  Depn"/>
      <sheetName val="WP-3 - Labor Analysis"/>
      <sheetName val="WP-3, pg 2 -  Labor Increase"/>
      <sheetName val="WP-3, pg 3 -  Benefits Analysis"/>
      <sheetName val="WP-4 - Vehicle License"/>
      <sheetName val="WP-5 - Dues &amp; Sub"/>
      <sheetName val="WP-6 - CapitalStructure"/>
      <sheetName val="WP-7 - Affiliated "/>
      <sheetName val="WP-8 - Cust Counts (x per wk)"/>
      <sheetName val="WP-9 - Fuel"/>
      <sheetName val="IS-PBC"/>
      <sheetName val="Stud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C10" t="str">
            <v>July</v>
          </cell>
          <cell r="D10" t="str">
            <v>August</v>
          </cell>
          <cell r="E10" t="str">
            <v>September</v>
          </cell>
          <cell r="F10" t="str">
            <v>October</v>
          </cell>
          <cell r="G10" t="str">
            <v>November</v>
          </cell>
          <cell r="H10" t="str">
            <v>December</v>
          </cell>
          <cell r="I10" t="str">
            <v>January</v>
          </cell>
          <cell r="J10" t="str">
            <v>February</v>
          </cell>
          <cell r="K10" t="str">
            <v>March</v>
          </cell>
          <cell r="L10" t="str">
            <v>April</v>
          </cell>
          <cell r="M10" t="str">
            <v>May</v>
          </cell>
          <cell r="N10" t="str">
            <v>June</v>
          </cell>
          <cell r="O10" t="str">
            <v>BOOKS</v>
          </cell>
        </row>
        <row r="11">
          <cell r="B11" t="str">
            <v>REVENUES</v>
          </cell>
        </row>
        <row r="12">
          <cell r="B12" t="str">
            <v>Residential</v>
          </cell>
          <cell r="C12">
            <v>174180.93</v>
          </cell>
          <cell r="D12">
            <v>173280.81</v>
          </cell>
          <cell r="E12">
            <v>173720.66</v>
          </cell>
          <cell r="F12">
            <v>174251.51999999999</v>
          </cell>
          <cell r="G12">
            <v>172742.2</v>
          </cell>
          <cell r="H12">
            <v>178132.76</v>
          </cell>
          <cell r="I12">
            <v>171317.32</v>
          </cell>
          <cell r="J12">
            <v>170743.6</v>
          </cell>
          <cell r="K12">
            <v>175193.55</v>
          </cell>
          <cell r="L12">
            <v>169715.71000000002</v>
          </cell>
          <cell r="M12">
            <v>171741.57</v>
          </cell>
          <cell r="N12">
            <v>172744.06</v>
          </cell>
          <cell r="O12">
            <v>2077764.6900000004</v>
          </cell>
        </row>
        <row r="13">
          <cell r="B13" t="str">
            <v>Commercial</v>
          </cell>
          <cell r="C13">
            <v>47309.79</v>
          </cell>
          <cell r="D13">
            <v>49650.83</v>
          </cell>
          <cell r="E13">
            <v>49046.720000000001</v>
          </cell>
          <cell r="F13">
            <v>51952.58</v>
          </cell>
          <cell r="G13">
            <v>50878.630000000005</v>
          </cell>
          <cell r="H13">
            <v>51199.67</v>
          </cell>
          <cell r="I13">
            <v>50673.659999999996</v>
          </cell>
          <cell r="J13">
            <v>50446.21</v>
          </cell>
          <cell r="K13">
            <v>50125.05</v>
          </cell>
          <cell r="L13">
            <v>50311.41</v>
          </cell>
          <cell r="M13">
            <v>49825.22</v>
          </cell>
          <cell r="N13">
            <v>48109.53</v>
          </cell>
          <cell r="O13">
            <v>599529.29999999993</v>
          </cell>
        </row>
        <row r="14">
          <cell r="B14" t="str">
            <v>Drop Box</v>
          </cell>
          <cell r="C14">
            <v>94770.37</v>
          </cell>
          <cell r="D14">
            <v>83414.399999999994</v>
          </cell>
          <cell r="E14">
            <v>70757</v>
          </cell>
          <cell r="F14">
            <v>93470.47</v>
          </cell>
          <cell r="G14">
            <v>77609.36</v>
          </cell>
          <cell r="H14">
            <v>78412.759999999995</v>
          </cell>
          <cell r="I14">
            <v>84127.209999999992</v>
          </cell>
          <cell r="J14">
            <v>73158.41</v>
          </cell>
          <cell r="K14">
            <v>67670.3</v>
          </cell>
          <cell r="L14">
            <v>146420.00999999998</v>
          </cell>
          <cell r="M14">
            <v>110569.68000000001</v>
          </cell>
          <cell r="N14">
            <v>117378.07</v>
          </cell>
          <cell r="O14">
            <v>1097758.04</v>
          </cell>
        </row>
        <row r="15">
          <cell r="B15" t="str">
            <v>Fuel Surcharge</v>
          </cell>
          <cell r="C15">
            <v>7080.29</v>
          </cell>
          <cell r="D15">
            <v>5415.91</v>
          </cell>
          <cell r="E15">
            <v>3962.36</v>
          </cell>
          <cell r="F15">
            <v>3711.91</v>
          </cell>
          <cell r="G15">
            <v>5004.82</v>
          </cell>
          <cell r="H15">
            <v>6228</v>
          </cell>
          <cell r="I15">
            <v>6504.57</v>
          </cell>
          <cell r="J15">
            <v>5362.94</v>
          </cell>
          <cell r="K15">
            <v>2299.0500000000002</v>
          </cell>
          <cell r="L15">
            <v>0</v>
          </cell>
          <cell r="M15">
            <v>0</v>
          </cell>
          <cell r="N15">
            <v>0</v>
          </cell>
          <cell r="O15">
            <v>45569.850000000006</v>
          </cell>
        </row>
        <row r="16">
          <cell r="B16" t="str">
            <v>Contract Hauling</v>
          </cell>
          <cell r="C16">
            <v>0</v>
          </cell>
          <cell r="D16">
            <v>0</v>
          </cell>
          <cell r="E16">
            <v>0</v>
          </cell>
          <cell r="F16">
            <v>0</v>
          </cell>
          <cell r="G16">
            <v>0</v>
          </cell>
          <cell r="H16">
            <v>0</v>
          </cell>
          <cell r="I16">
            <v>0</v>
          </cell>
          <cell r="J16">
            <v>0</v>
          </cell>
          <cell r="K16">
            <v>0</v>
          </cell>
          <cell r="L16">
            <v>0</v>
          </cell>
          <cell r="M16">
            <v>0</v>
          </cell>
          <cell r="N16">
            <v>0</v>
          </cell>
          <cell r="O16">
            <v>0</v>
          </cell>
        </row>
        <row r="17">
          <cell r="B17" t="str">
            <v>Pass Thru</v>
          </cell>
          <cell r="C17">
            <v>0</v>
          </cell>
          <cell r="D17">
            <v>0</v>
          </cell>
          <cell r="E17">
            <v>0</v>
          </cell>
          <cell r="F17">
            <v>0</v>
          </cell>
          <cell r="G17">
            <v>0</v>
          </cell>
          <cell r="H17">
            <v>0</v>
          </cell>
          <cell r="I17">
            <v>0</v>
          </cell>
          <cell r="J17">
            <v>0</v>
          </cell>
          <cell r="K17">
            <v>0</v>
          </cell>
          <cell r="L17">
            <v>0</v>
          </cell>
          <cell r="M17">
            <v>0</v>
          </cell>
          <cell r="N17">
            <v>0</v>
          </cell>
          <cell r="O17">
            <v>0</v>
          </cell>
        </row>
        <row r="18">
          <cell r="B18" t="str">
            <v>Kalama</v>
          </cell>
          <cell r="C18">
            <v>11685.96</v>
          </cell>
          <cell r="D18">
            <v>27113.64</v>
          </cell>
          <cell r="E18">
            <v>10043.36</v>
          </cell>
          <cell r="F18">
            <v>26012.52</v>
          </cell>
          <cell r="G18">
            <v>10203.26</v>
          </cell>
          <cell r="H18">
            <v>26231.71</v>
          </cell>
          <cell r="I18">
            <v>11775.31</v>
          </cell>
          <cell r="J18">
            <v>25567.59</v>
          </cell>
          <cell r="K18">
            <v>11624</v>
          </cell>
          <cell r="L18">
            <v>24865.22</v>
          </cell>
          <cell r="M18">
            <v>10928.64</v>
          </cell>
          <cell r="N18">
            <v>26085.200000000001</v>
          </cell>
          <cell r="O18">
            <v>222136.40999999997</v>
          </cell>
        </row>
        <row r="19">
          <cell r="B19" t="str">
            <v>Refunds</v>
          </cell>
          <cell r="C19">
            <v>0</v>
          </cell>
          <cell r="D19">
            <v>-293.45</v>
          </cell>
          <cell r="E19">
            <v>-1045.5</v>
          </cell>
          <cell r="F19">
            <v>-1708.6799999999998</v>
          </cell>
          <cell r="G19">
            <v>-1493.08</v>
          </cell>
          <cell r="H19">
            <v>-666.96</v>
          </cell>
          <cell r="I19">
            <v>-645.04</v>
          </cell>
          <cell r="J19">
            <v>0</v>
          </cell>
          <cell r="K19">
            <v>-1047.19</v>
          </cell>
          <cell r="L19">
            <v>-1848.9</v>
          </cell>
          <cell r="M19">
            <v>-900.50000000000011</v>
          </cell>
          <cell r="N19">
            <v>-93.44</v>
          </cell>
          <cell r="O19">
            <v>-9742.74</v>
          </cell>
        </row>
        <row r="20">
          <cell r="C20">
            <v>335027.33999999997</v>
          </cell>
          <cell r="D20">
            <v>338582.14</v>
          </cell>
          <cell r="E20">
            <v>306484.59999999998</v>
          </cell>
          <cell r="F20">
            <v>347690.31999999995</v>
          </cell>
          <cell r="G20">
            <v>314945.19</v>
          </cell>
          <cell r="H20">
            <v>339537.94</v>
          </cell>
          <cell r="I20">
            <v>323753.03000000003</v>
          </cell>
          <cell r="J20">
            <v>325278.75</v>
          </cell>
          <cell r="K20">
            <v>305864.75999999995</v>
          </cell>
          <cell r="L20">
            <v>389463.44999999995</v>
          </cell>
          <cell r="M20">
            <v>342164.61000000004</v>
          </cell>
          <cell r="N20">
            <v>364223.42000000004</v>
          </cell>
          <cell r="O20">
            <v>4033015.5500000003</v>
          </cell>
        </row>
        <row r="22">
          <cell r="B22" t="str">
            <v>OPERATING EXPENSES</v>
          </cell>
        </row>
        <row r="23">
          <cell r="B23" t="str">
            <v>Wages Drivers</v>
          </cell>
          <cell r="C23">
            <v>25914.53</v>
          </cell>
          <cell r="D23">
            <v>25612.28</v>
          </cell>
          <cell r="E23">
            <v>26860.720000000001</v>
          </cell>
          <cell r="F23">
            <v>22905.47</v>
          </cell>
          <cell r="G23">
            <v>24624.27</v>
          </cell>
          <cell r="H23">
            <v>34114.94</v>
          </cell>
          <cell r="I23">
            <v>27945.73</v>
          </cell>
          <cell r="J23">
            <v>27919.93</v>
          </cell>
          <cell r="K23">
            <v>31246.15</v>
          </cell>
          <cell r="L23">
            <v>28708.51</v>
          </cell>
          <cell r="M23">
            <v>30610.31</v>
          </cell>
          <cell r="N23">
            <v>32955.53</v>
          </cell>
          <cell r="O23">
            <v>339418.37</v>
          </cell>
        </row>
        <row r="24">
          <cell r="B24" t="str">
            <v>Wages Drop Box Drivers</v>
          </cell>
          <cell r="C24">
            <v>0</v>
          </cell>
          <cell r="D24">
            <v>0</v>
          </cell>
          <cell r="E24">
            <v>0</v>
          </cell>
          <cell r="F24">
            <v>0</v>
          </cell>
          <cell r="G24">
            <v>0</v>
          </cell>
          <cell r="H24">
            <v>0</v>
          </cell>
          <cell r="I24">
            <v>0</v>
          </cell>
          <cell r="J24">
            <v>0</v>
          </cell>
          <cell r="K24">
            <v>0</v>
          </cell>
          <cell r="L24">
            <v>0</v>
          </cell>
          <cell r="M24">
            <v>0</v>
          </cell>
          <cell r="N24">
            <v>0</v>
          </cell>
          <cell r="O24">
            <v>0</v>
          </cell>
        </row>
        <row r="25">
          <cell r="B25" t="str">
            <v>Wages Mechanics</v>
          </cell>
          <cell r="C25">
            <v>12823.84</v>
          </cell>
          <cell r="D25">
            <v>16758.509999999998</v>
          </cell>
          <cell r="E25">
            <v>16738.03</v>
          </cell>
          <cell r="F25">
            <v>15679.32</v>
          </cell>
          <cell r="G25">
            <v>19706.93</v>
          </cell>
          <cell r="H25">
            <v>19005.95</v>
          </cell>
          <cell r="I25">
            <v>19410.27</v>
          </cell>
          <cell r="J25">
            <v>17054.080000000002</v>
          </cell>
          <cell r="K25">
            <v>20579.61</v>
          </cell>
          <cell r="L25">
            <v>21031.96</v>
          </cell>
          <cell r="M25">
            <v>23542.17</v>
          </cell>
          <cell r="N25">
            <v>21356.76</v>
          </cell>
          <cell r="O25">
            <v>223687.43</v>
          </cell>
        </row>
        <row r="26">
          <cell r="B26" t="str">
            <v>Wages Supervisor</v>
          </cell>
          <cell r="C26">
            <v>0</v>
          </cell>
          <cell r="D26">
            <v>0</v>
          </cell>
          <cell r="E26">
            <v>0</v>
          </cell>
          <cell r="F26">
            <v>0</v>
          </cell>
          <cell r="G26">
            <v>0</v>
          </cell>
          <cell r="H26">
            <v>0</v>
          </cell>
          <cell r="I26">
            <v>0</v>
          </cell>
          <cell r="J26">
            <v>0</v>
          </cell>
          <cell r="K26">
            <v>0</v>
          </cell>
          <cell r="L26">
            <v>0</v>
          </cell>
          <cell r="M26">
            <v>0</v>
          </cell>
          <cell r="N26">
            <v>0</v>
          </cell>
          <cell r="O26">
            <v>0</v>
          </cell>
        </row>
        <row r="27">
          <cell r="B27" t="str">
            <v>Wages Extra Labor</v>
          </cell>
          <cell r="C27">
            <v>6623.09</v>
          </cell>
          <cell r="D27">
            <v>6114.4</v>
          </cell>
          <cell r="E27">
            <v>4761.58</v>
          </cell>
          <cell r="F27">
            <v>1667.53</v>
          </cell>
          <cell r="G27">
            <v>2320.4</v>
          </cell>
          <cell r="H27">
            <v>2540.62</v>
          </cell>
          <cell r="I27">
            <v>218.14</v>
          </cell>
          <cell r="J27">
            <v>248.16</v>
          </cell>
          <cell r="K27">
            <v>326.97000000000003</v>
          </cell>
          <cell r="L27">
            <v>-326.97000000000003</v>
          </cell>
          <cell r="M27">
            <v>0</v>
          </cell>
          <cell r="N27">
            <v>3574.45</v>
          </cell>
          <cell r="O27">
            <v>28068.37</v>
          </cell>
        </row>
        <row r="28">
          <cell r="B28" t="str">
            <v>Fringe Benefits</v>
          </cell>
          <cell r="C28">
            <v>0</v>
          </cell>
          <cell r="D28">
            <v>0</v>
          </cell>
          <cell r="E28">
            <v>0</v>
          </cell>
          <cell r="F28">
            <v>0</v>
          </cell>
          <cell r="G28">
            <v>0</v>
          </cell>
          <cell r="H28">
            <v>0</v>
          </cell>
          <cell r="I28">
            <v>0</v>
          </cell>
          <cell r="J28">
            <v>0</v>
          </cell>
          <cell r="K28">
            <v>0</v>
          </cell>
          <cell r="L28">
            <v>0</v>
          </cell>
          <cell r="M28">
            <v>0</v>
          </cell>
          <cell r="N28">
            <v>0</v>
          </cell>
          <cell r="O28">
            <v>0</v>
          </cell>
        </row>
        <row r="29">
          <cell r="B29" t="str">
            <v>Contract Labor</v>
          </cell>
          <cell r="C29">
            <v>312.95999999999998</v>
          </cell>
          <cell r="D29">
            <v>309</v>
          </cell>
          <cell r="E29">
            <v>0</v>
          </cell>
          <cell r="F29">
            <v>550.20000000000005</v>
          </cell>
          <cell r="G29">
            <v>0</v>
          </cell>
          <cell r="H29">
            <v>0</v>
          </cell>
          <cell r="I29">
            <v>0</v>
          </cell>
          <cell r="J29">
            <v>0</v>
          </cell>
          <cell r="K29">
            <v>0</v>
          </cell>
          <cell r="L29">
            <v>0</v>
          </cell>
          <cell r="M29">
            <v>0</v>
          </cell>
          <cell r="N29">
            <v>0</v>
          </cell>
          <cell r="O29">
            <v>1172.1600000000001</v>
          </cell>
        </row>
        <row r="30">
          <cell r="B30" t="str">
            <v>Maintenance</v>
          </cell>
          <cell r="C30">
            <v>7239.82</v>
          </cell>
          <cell r="D30">
            <v>10680.2</v>
          </cell>
          <cell r="E30">
            <v>7082.9800000000005</v>
          </cell>
          <cell r="F30">
            <v>17263.809999999998</v>
          </cell>
          <cell r="G30">
            <v>6765.65</v>
          </cell>
          <cell r="H30">
            <v>12578.570000000002</v>
          </cell>
          <cell r="I30">
            <v>8705</v>
          </cell>
          <cell r="J30">
            <v>8629.4699999999993</v>
          </cell>
          <cell r="K30">
            <v>12846.37</v>
          </cell>
          <cell r="L30">
            <v>9522.98</v>
          </cell>
          <cell r="M30">
            <v>6152.06</v>
          </cell>
          <cell r="N30">
            <v>12420.72</v>
          </cell>
          <cell r="O30">
            <v>119887.62999999999</v>
          </cell>
        </row>
        <row r="31">
          <cell r="B31" t="str">
            <v>Maintenance/ Cont./Dr Bx</v>
          </cell>
          <cell r="C31">
            <v>0</v>
          </cell>
          <cell r="D31">
            <v>0</v>
          </cell>
          <cell r="E31">
            <v>0</v>
          </cell>
          <cell r="F31">
            <v>410.72</v>
          </cell>
          <cell r="G31">
            <v>1250</v>
          </cell>
          <cell r="H31">
            <v>491.77</v>
          </cell>
          <cell r="I31">
            <v>341.34</v>
          </cell>
          <cell r="J31">
            <v>118.86</v>
          </cell>
          <cell r="K31">
            <v>0</v>
          </cell>
          <cell r="L31">
            <v>1620</v>
          </cell>
          <cell r="M31">
            <v>4860</v>
          </cell>
          <cell r="N31">
            <v>0</v>
          </cell>
          <cell r="O31">
            <v>9092.69</v>
          </cell>
        </row>
        <row r="32">
          <cell r="B32" t="str">
            <v>Truck Rental</v>
          </cell>
          <cell r="C32">
            <v>3000</v>
          </cell>
          <cell r="D32">
            <v>3000</v>
          </cell>
          <cell r="E32">
            <v>3000</v>
          </cell>
          <cell r="F32">
            <v>3000</v>
          </cell>
          <cell r="G32">
            <v>3000</v>
          </cell>
          <cell r="H32">
            <v>3000</v>
          </cell>
          <cell r="I32">
            <v>3000</v>
          </cell>
          <cell r="J32">
            <v>3000</v>
          </cell>
          <cell r="K32">
            <v>3000</v>
          </cell>
          <cell r="L32">
            <v>3000</v>
          </cell>
          <cell r="M32">
            <v>3000</v>
          </cell>
          <cell r="N32">
            <v>3000</v>
          </cell>
          <cell r="O32">
            <v>36000</v>
          </cell>
        </row>
        <row r="33">
          <cell r="B33" t="str">
            <v>Equipment Rent</v>
          </cell>
          <cell r="C33">
            <v>0</v>
          </cell>
          <cell r="D33">
            <v>0</v>
          </cell>
          <cell r="E33">
            <v>0</v>
          </cell>
          <cell r="F33">
            <v>0</v>
          </cell>
          <cell r="G33">
            <v>0</v>
          </cell>
          <cell r="H33">
            <v>0</v>
          </cell>
          <cell r="I33">
            <v>0</v>
          </cell>
          <cell r="J33">
            <v>0</v>
          </cell>
          <cell r="K33">
            <v>0</v>
          </cell>
          <cell r="L33">
            <v>0</v>
          </cell>
          <cell r="M33">
            <v>0</v>
          </cell>
          <cell r="N33">
            <v>0</v>
          </cell>
          <cell r="O33">
            <v>0</v>
          </cell>
        </row>
        <row r="34">
          <cell r="B34" t="str">
            <v>Tires</v>
          </cell>
          <cell r="C34">
            <v>6067.27</v>
          </cell>
          <cell r="D34">
            <v>7800.67</v>
          </cell>
          <cell r="E34">
            <v>6023.77</v>
          </cell>
          <cell r="F34">
            <v>7511.52</v>
          </cell>
          <cell r="G34">
            <v>6007.28</v>
          </cell>
          <cell r="H34">
            <v>10259.75</v>
          </cell>
          <cell r="I34">
            <v>6118.4</v>
          </cell>
          <cell r="J34">
            <v>7359.39</v>
          </cell>
          <cell r="K34">
            <v>10000.81</v>
          </cell>
          <cell r="L34">
            <v>8372.99</v>
          </cell>
          <cell r="M34">
            <v>8042.56</v>
          </cell>
          <cell r="N34">
            <v>7165.97</v>
          </cell>
          <cell r="O34">
            <v>90730.38</v>
          </cell>
        </row>
        <row r="35">
          <cell r="B35" t="str">
            <v>Fuel</v>
          </cell>
          <cell r="C35">
            <v>26792.65</v>
          </cell>
          <cell r="D35">
            <v>28921.18</v>
          </cell>
          <cell r="E35">
            <v>24422.75</v>
          </cell>
          <cell r="F35">
            <v>28974.639999999999</v>
          </cell>
          <cell r="G35">
            <v>29501.34</v>
          </cell>
          <cell r="H35">
            <v>23414.98</v>
          </cell>
          <cell r="I35">
            <v>26385.67</v>
          </cell>
          <cell r="J35">
            <v>25155.59</v>
          </cell>
          <cell r="K35">
            <v>23578.45</v>
          </cell>
          <cell r="L35">
            <v>22344.26</v>
          </cell>
          <cell r="M35">
            <v>27773.759999999998</v>
          </cell>
          <cell r="N35">
            <v>24252.16</v>
          </cell>
          <cell r="O35">
            <v>311517.43</v>
          </cell>
        </row>
        <row r="36">
          <cell r="B36" t="str">
            <v>Contract Hauling</v>
          </cell>
          <cell r="C36">
            <v>0</v>
          </cell>
          <cell r="D36">
            <v>0</v>
          </cell>
          <cell r="E36">
            <v>0</v>
          </cell>
          <cell r="F36">
            <v>0</v>
          </cell>
          <cell r="G36">
            <v>0</v>
          </cell>
          <cell r="H36">
            <v>50197.35</v>
          </cell>
          <cell r="I36">
            <v>0</v>
          </cell>
          <cell r="J36">
            <v>0</v>
          </cell>
          <cell r="K36">
            <v>0</v>
          </cell>
          <cell r="L36">
            <v>59542.7</v>
          </cell>
          <cell r="M36">
            <v>0</v>
          </cell>
          <cell r="N36">
            <v>44344.66</v>
          </cell>
          <cell r="O36">
            <v>154084.71</v>
          </cell>
        </row>
        <row r="37">
          <cell r="B37" t="str">
            <v>Disposal Fees - Cowlitz County</v>
          </cell>
          <cell r="C37">
            <v>44780.83</v>
          </cell>
          <cell r="D37">
            <v>44188.160000000003</v>
          </cell>
          <cell r="E37">
            <v>39947.22</v>
          </cell>
          <cell r="F37">
            <v>46320.47</v>
          </cell>
          <cell r="G37">
            <v>45874.43</v>
          </cell>
          <cell r="H37">
            <v>41319.96</v>
          </cell>
          <cell r="I37">
            <v>42529.11</v>
          </cell>
          <cell r="J37">
            <v>36778.39</v>
          </cell>
          <cell r="K37">
            <v>39433.089999999997</v>
          </cell>
          <cell r="L37">
            <v>44657.21</v>
          </cell>
          <cell r="M37">
            <v>47362.61</v>
          </cell>
          <cell r="N37">
            <v>43503.02</v>
          </cell>
          <cell r="O37">
            <v>516694.50000000006</v>
          </cell>
        </row>
        <row r="38">
          <cell r="B38" t="str">
            <v>Disposal Fees - G-49 Packers</v>
          </cell>
          <cell r="C38">
            <v>5714.76</v>
          </cell>
          <cell r="D38">
            <v>6421.61</v>
          </cell>
          <cell r="E38">
            <v>4966.8900000000003</v>
          </cell>
          <cell r="F38">
            <v>4960.78</v>
          </cell>
          <cell r="G38">
            <v>5678.92</v>
          </cell>
          <cell r="H38">
            <v>4505.8500000000004</v>
          </cell>
          <cell r="I38">
            <v>4919.96</v>
          </cell>
          <cell r="J38">
            <v>1591.94</v>
          </cell>
          <cell r="K38">
            <v>4801.6400000000003</v>
          </cell>
          <cell r="L38">
            <v>4888.91</v>
          </cell>
          <cell r="M38">
            <v>5858.33</v>
          </cell>
          <cell r="N38">
            <v>5663.28</v>
          </cell>
          <cell r="O38">
            <v>59972.869999999995</v>
          </cell>
        </row>
        <row r="39">
          <cell r="B39" t="str">
            <v xml:space="preserve">Disposal Fees - G-49 </v>
          </cell>
          <cell r="C39">
            <v>2077.61</v>
          </cell>
          <cell r="D39">
            <v>1437.55</v>
          </cell>
          <cell r="E39">
            <v>1615.08</v>
          </cell>
          <cell r="F39">
            <v>2195.63</v>
          </cell>
          <cell r="G39">
            <v>2273.08</v>
          </cell>
          <cell r="H39">
            <v>665.8</v>
          </cell>
          <cell r="I39">
            <v>1985.48</v>
          </cell>
          <cell r="J39">
            <v>4490.55</v>
          </cell>
          <cell r="K39">
            <v>1440.9</v>
          </cell>
          <cell r="L39">
            <v>1575.56</v>
          </cell>
          <cell r="M39">
            <v>2304.38</v>
          </cell>
          <cell r="N39">
            <v>2752.72</v>
          </cell>
          <cell r="O39">
            <v>24814.340000000004</v>
          </cell>
        </row>
        <row r="40">
          <cell r="B40" t="str">
            <v>Disposal Fees Pass Thru</v>
          </cell>
          <cell r="C40">
            <v>42374.07</v>
          </cell>
          <cell r="D40">
            <v>34971.360000000001</v>
          </cell>
          <cell r="E40">
            <v>27081.54</v>
          </cell>
          <cell r="F40">
            <v>38805.300000000003</v>
          </cell>
          <cell r="G40">
            <v>31798.17</v>
          </cell>
          <cell r="H40">
            <v>34705.86</v>
          </cell>
          <cell r="I40">
            <v>35911.43</v>
          </cell>
          <cell r="J40">
            <v>31325.59</v>
          </cell>
          <cell r="K40">
            <v>32623.84</v>
          </cell>
          <cell r="L40">
            <v>35705.51</v>
          </cell>
          <cell r="M40">
            <v>35867.86</v>
          </cell>
          <cell r="N40">
            <v>35870.61</v>
          </cell>
          <cell r="O40">
            <v>417041.14</v>
          </cell>
        </row>
        <row r="41">
          <cell r="B41" t="str">
            <v>Stormwater management</v>
          </cell>
          <cell r="C41">
            <v>1000</v>
          </cell>
          <cell r="D41">
            <v>1000</v>
          </cell>
          <cell r="E41">
            <v>1000</v>
          </cell>
          <cell r="F41">
            <v>1000</v>
          </cell>
          <cell r="G41">
            <v>1000</v>
          </cell>
          <cell r="H41">
            <v>1000</v>
          </cell>
          <cell r="I41">
            <v>1000</v>
          </cell>
          <cell r="J41">
            <v>1000</v>
          </cell>
          <cell r="K41">
            <v>1000</v>
          </cell>
          <cell r="L41">
            <v>1000</v>
          </cell>
          <cell r="M41">
            <v>1000</v>
          </cell>
          <cell r="N41">
            <v>1000</v>
          </cell>
          <cell r="O41">
            <v>12000</v>
          </cell>
        </row>
        <row r="42">
          <cell r="B42" t="str">
            <v>Liability Insurance</v>
          </cell>
          <cell r="C42">
            <v>2451.96</v>
          </cell>
          <cell r="D42">
            <v>2451.96</v>
          </cell>
          <cell r="E42">
            <v>2451.96</v>
          </cell>
          <cell r="F42">
            <v>2337.96</v>
          </cell>
          <cell r="G42">
            <v>2451.96</v>
          </cell>
          <cell r="H42">
            <v>2451.96</v>
          </cell>
          <cell r="I42">
            <v>2261.9499999999998</v>
          </cell>
          <cell r="J42">
            <v>2261.9499999999998</v>
          </cell>
          <cell r="K42">
            <v>2261.9499999999998</v>
          </cell>
          <cell r="L42">
            <v>2261.9499999999998</v>
          </cell>
          <cell r="M42">
            <v>2261.9499999999998</v>
          </cell>
          <cell r="N42">
            <v>2261.96</v>
          </cell>
          <cell r="O42">
            <v>28169.47</v>
          </cell>
        </row>
        <row r="43">
          <cell r="B43" t="str">
            <v>Officer Salaries</v>
          </cell>
          <cell r="C43">
            <v>0</v>
          </cell>
          <cell r="D43">
            <v>0</v>
          </cell>
          <cell r="E43">
            <v>0</v>
          </cell>
          <cell r="F43">
            <v>0</v>
          </cell>
          <cell r="G43">
            <v>0</v>
          </cell>
          <cell r="H43">
            <v>0</v>
          </cell>
          <cell r="I43">
            <v>0</v>
          </cell>
          <cell r="J43">
            <v>0</v>
          </cell>
          <cell r="K43">
            <v>0</v>
          </cell>
          <cell r="L43">
            <v>0</v>
          </cell>
          <cell r="M43">
            <v>0</v>
          </cell>
          <cell r="N43">
            <v>0</v>
          </cell>
          <cell r="O43">
            <v>0</v>
          </cell>
        </row>
        <row r="44">
          <cell r="B44" t="str">
            <v>Office Salaries</v>
          </cell>
          <cell r="C44">
            <v>14703.57</v>
          </cell>
          <cell r="D44">
            <v>16008.8</v>
          </cell>
          <cell r="E44">
            <v>18022.36</v>
          </cell>
          <cell r="F44">
            <v>16033.94</v>
          </cell>
          <cell r="G44">
            <v>16714.990000000002</v>
          </cell>
          <cell r="H44">
            <v>18842.7</v>
          </cell>
          <cell r="I44">
            <v>16418.29</v>
          </cell>
          <cell r="J44">
            <v>15327.01</v>
          </cell>
          <cell r="K44">
            <v>17203.59</v>
          </cell>
          <cell r="L44">
            <v>15963.53</v>
          </cell>
          <cell r="M44">
            <v>17123.25</v>
          </cell>
          <cell r="N44">
            <v>18468.03</v>
          </cell>
          <cell r="O44">
            <v>200830.06</v>
          </cell>
        </row>
        <row r="45">
          <cell r="B45" t="str">
            <v>Management Fees</v>
          </cell>
          <cell r="C45">
            <v>15000</v>
          </cell>
          <cell r="D45">
            <v>15000</v>
          </cell>
          <cell r="E45">
            <v>15000</v>
          </cell>
          <cell r="F45">
            <v>15000</v>
          </cell>
          <cell r="G45">
            <v>15000</v>
          </cell>
          <cell r="H45">
            <v>15000</v>
          </cell>
          <cell r="I45">
            <v>15000</v>
          </cell>
          <cell r="J45">
            <v>15000</v>
          </cell>
          <cell r="K45">
            <v>15000</v>
          </cell>
          <cell r="L45">
            <v>15000</v>
          </cell>
          <cell r="M45">
            <v>15000</v>
          </cell>
          <cell r="N45">
            <v>15000</v>
          </cell>
          <cell r="O45">
            <v>180000</v>
          </cell>
        </row>
        <row r="46">
          <cell r="B46" t="str">
            <v>Bad Debt Expense</v>
          </cell>
          <cell r="C46">
            <v>1492.98</v>
          </cell>
          <cell r="D46">
            <v>3927.6699999999992</v>
          </cell>
          <cell r="E46">
            <v>2901.04</v>
          </cell>
          <cell r="F46">
            <v>1615.34</v>
          </cell>
          <cell r="G46">
            <v>3780.5699999999997</v>
          </cell>
          <cell r="H46">
            <v>15379.85</v>
          </cell>
          <cell r="I46">
            <v>8831.99</v>
          </cell>
          <cell r="J46">
            <v>4601.5</v>
          </cell>
          <cell r="K46">
            <v>3034.8</v>
          </cell>
          <cell r="L46">
            <v>-939.91</v>
          </cell>
          <cell r="M46">
            <v>1362.4299999999998</v>
          </cell>
          <cell r="N46">
            <v>4179.01</v>
          </cell>
          <cell r="O46">
            <v>50167.27</v>
          </cell>
        </row>
        <row r="47">
          <cell r="B47" t="str">
            <v>Office Supply</v>
          </cell>
          <cell r="C47">
            <v>4318.51</v>
          </cell>
          <cell r="D47">
            <v>4748.49</v>
          </cell>
          <cell r="E47">
            <v>5046.9399999999996</v>
          </cell>
          <cell r="F47">
            <v>4715.07</v>
          </cell>
          <cell r="G47">
            <v>5303.17</v>
          </cell>
          <cell r="H47">
            <v>6065.01</v>
          </cell>
          <cell r="I47">
            <v>3913.67</v>
          </cell>
          <cell r="J47">
            <v>3599.26</v>
          </cell>
          <cell r="K47">
            <v>3683.92</v>
          </cell>
          <cell r="L47">
            <v>4149.17</v>
          </cell>
          <cell r="M47">
            <v>3015.0299999999997</v>
          </cell>
          <cell r="N47">
            <v>4175.4799999999996</v>
          </cell>
          <cell r="O47">
            <v>52733.72</v>
          </cell>
        </row>
        <row r="48">
          <cell r="B48" t="str">
            <v>Postage</v>
          </cell>
          <cell r="C48">
            <v>350</v>
          </cell>
          <cell r="D48">
            <v>0</v>
          </cell>
          <cell r="E48">
            <v>0</v>
          </cell>
          <cell r="F48">
            <v>350</v>
          </cell>
          <cell r="G48">
            <v>0</v>
          </cell>
          <cell r="H48">
            <v>200</v>
          </cell>
          <cell r="I48">
            <v>0</v>
          </cell>
          <cell r="J48">
            <v>90.47</v>
          </cell>
          <cell r="K48">
            <v>0</v>
          </cell>
          <cell r="L48">
            <v>300</v>
          </cell>
          <cell r="M48">
            <v>94.19</v>
          </cell>
          <cell r="N48">
            <v>300</v>
          </cell>
          <cell r="O48">
            <v>1684.66</v>
          </cell>
        </row>
        <row r="49">
          <cell r="B49" t="str">
            <v>Bank Charges</v>
          </cell>
          <cell r="C49">
            <v>447.54</v>
          </cell>
          <cell r="D49">
            <v>262.07</v>
          </cell>
          <cell r="E49">
            <v>362.1</v>
          </cell>
          <cell r="F49">
            <v>376.24</v>
          </cell>
          <cell r="G49">
            <v>460.67</v>
          </cell>
          <cell r="H49">
            <v>317.61</v>
          </cell>
          <cell r="I49">
            <v>395.2</v>
          </cell>
          <cell r="J49">
            <v>347.85</v>
          </cell>
          <cell r="K49">
            <v>523.35</v>
          </cell>
          <cell r="L49">
            <v>385.77</v>
          </cell>
          <cell r="M49">
            <v>436.54</v>
          </cell>
          <cell r="N49">
            <v>314.5</v>
          </cell>
          <cell r="O49">
            <v>4629.4399999999996</v>
          </cell>
        </row>
        <row r="50">
          <cell r="B50" t="str">
            <v>Maintenance</v>
          </cell>
          <cell r="C50">
            <v>141.12</v>
          </cell>
          <cell r="D50">
            <v>825.32999999999993</v>
          </cell>
          <cell r="E50">
            <v>634.54</v>
          </cell>
          <cell r="F50">
            <v>1633.31</v>
          </cell>
          <cell r="G50">
            <v>499.07</v>
          </cell>
          <cell r="H50">
            <v>221.97</v>
          </cell>
          <cell r="I50">
            <v>857.36</v>
          </cell>
          <cell r="J50">
            <v>0</v>
          </cell>
          <cell r="K50">
            <v>15.95</v>
          </cell>
          <cell r="L50">
            <v>361.08</v>
          </cell>
          <cell r="M50">
            <v>1058.49</v>
          </cell>
          <cell r="N50">
            <v>2850.03</v>
          </cell>
          <cell r="O50">
            <v>9098.25</v>
          </cell>
        </row>
        <row r="51">
          <cell r="B51" t="str">
            <v>Rate Case Expense</v>
          </cell>
          <cell r="C51">
            <v>0</v>
          </cell>
          <cell r="D51">
            <v>0</v>
          </cell>
          <cell r="E51">
            <v>0</v>
          </cell>
          <cell r="F51">
            <v>0</v>
          </cell>
          <cell r="G51">
            <v>0</v>
          </cell>
          <cell r="H51">
            <v>0</v>
          </cell>
          <cell r="I51">
            <v>0</v>
          </cell>
          <cell r="J51">
            <v>0</v>
          </cell>
          <cell r="K51">
            <v>0</v>
          </cell>
          <cell r="L51">
            <v>0</v>
          </cell>
          <cell r="M51">
            <v>0</v>
          </cell>
          <cell r="N51">
            <v>0</v>
          </cell>
          <cell r="O51">
            <v>0</v>
          </cell>
        </row>
        <row r="52">
          <cell r="B52" t="str">
            <v>Accounting</v>
          </cell>
          <cell r="C52">
            <v>377.3</v>
          </cell>
          <cell r="D52">
            <v>2382.6</v>
          </cell>
          <cell r="E52">
            <v>0</v>
          </cell>
          <cell r="F52">
            <v>1852.4</v>
          </cell>
          <cell r="G52">
            <v>271.60000000000002</v>
          </cell>
          <cell r="H52">
            <v>889.4</v>
          </cell>
          <cell r="I52">
            <v>264</v>
          </cell>
          <cell r="J52">
            <v>253</v>
          </cell>
          <cell r="K52">
            <v>0</v>
          </cell>
          <cell r="L52">
            <v>3905.8</v>
          </cell>
          <cell r="M52">
            <v>6436.05</v>
          </cell>
          <cell r="N52">
            <v>1026</v>
          </cell>
          <cell r="O52">
            <v>17658.150000000001</v>
          </cell>
        </row>
        <row r="53">
          <cell r="B53" t="str">
            <v>Legal</v>
          </cell>
          <cell r="C53">
            <v>0</v>
          </cell>
          <cell r="D53">
            <v>277.39999999999998</v>
          </cell>
          <cell r="E53">
            <v>79.2</v>
          </cell>
          <cell r="F53">
            <v>0</v>
          </cell>
          <cell r="G53">
            <v>2725</v>
          </cell>
          <cell r="H53">
            <v>0</v>
          </cell>
          <cell r="I53">
            <v>1100</v>
          </cell>
          <cell r="J53">
            <v>0</v>
          </cell>
          <cell r="K53">
            <v>1125</v>
          </cell>
          <cell r="L53">
            <v>0</v>
          </cell>
          <cell r="M53">
            <v>0</v>
          </cell>
          <cell r="N53">
            <v>1458.33</v>
          </cell>
          <cell r="O53">
            <v>6764.93</v>
          </cell>
        </row>
        <row r="54">
          <cell r="B54" t="str">
            <v>WUTC Fee</v>
          </cell>
          <cell r="C54">
            <v>0</v>
          </cell>
          <cell r="D54">
            <v>0</v>
          </cell>
          <cell r="E54">
            <v>0</v>
          </cell>
          <cell r="F54">
            <v>0</v>
          </cell>
          <cell r="G54">
            <v>0</v>
          </cell>
          <cell r="H54">
            <v>0</v>
          </cell>
          <cell r="I54">
            <v>0</v>
          </cell>
          <cell r="J54">
            <v>0</v>
          </cell>
          <cell r="K54">
            <v>0</v>
          </cell>
          <cell r="L54">
            <v>16778.560000000001</v>
          </cell>
          <cell r="M54">
            <v>30.65</v>
          </cell>
          <cell r="N54">
            <v>0</v>
          </cell>
          <cell r="O54">
            <v>16809.210000000003</v>
          </cell>
        </row>
        <row r="55">
          <cell r="B55" t="str">
            <v>Franchise</v>
          </cell>
          <cell r="C55">
            <v>761.15</v>
          </cell>
          <cell r="D55">
            <v>588.66</v>
          </cell>
          <cell r="E55">
            <v>485.63</v>
          </cell>
          <cell r="F55">
            <v>716.57</v>
          </cell>
          <cell r="G55">
            <v>665.06</v>
          </cell>
          <cell r="H55">
            <v>624.52</v>
          </cell>
          <cell r="I55">
            <v>668.46</v>
          </cell>
          <cell r="J55">
            <v>736.87</v>
          </cell>
          <cell r="K55">
            <v>640.67999999999995</v>
          </cell>
          <cell r="L55">
            <v>572.41</v>
          </cell>
          <cell r="M55">
            <v>686.89</v>
          </cell>
          <cell r="N55">
            <v>564</v>
          </cell>
          <cell r="O55">
            <v>7710.9000000000005</v>
          </cell>
        </row>
        <row r="56">
          <cell r="B56" t="str">
            <v>Communications</v>
          </cell>
          <cell r="C56">
            <v>1485.08</v>
          </cell>
          <cell r="D56">
            <v>1681.71</v>
          </cell>
          <cell r="E56">
            <v>1611.77</v>
          </cell>
          <cell r="F56">
            <v>1923.83</v>
          </cell>
          <cell r="G56">
            <v>1462.07</v>
          </cell>
          <cell r="H56">
            <v>3733.84</v>
          </cell>
          <cell r="I56">
            <v>1723.96</v>
          </cell>
          <cell r="J56">
            <v>442.29</v>
          </cell>
          <cell r="K56">
            <v>1595.51</v>
          </cell>
          <cell r="L56">
            <v>1087.24</v>
          </cell>
          <cell r="M56">
            <v>1114.52</v>
          </cell>
          <cell r="N56">
            <v>1295.8</v>
          </cell>
          <cell r="O56">
            <v>19157.62</v>
          </cell>
        </row>
        <row r="57">
          <cell r="B57" t="str">
            <v>Utilities</v>
          </cell>
          <cell r="C57">
            <v>3540.79</v>
          </cell>
          <cell r="D57">
            <v>4687.87</v>
          </cell>
          <cell r="E57">
            <v>5805.68</v>
          </cell>
          <cell r="F57">
            <v>6407.79</v>
          </cell>
          <cell r="G57">
            <v>6200.55</v>
          </cell>
          <cell r="H57">
            <v>3914.38</v>
          </cell>
          <cell r="I57">
            <v>5517.2</v>
          </cell>
          <cell r="J57">
            <v>5876.54</v>
          </cell>
          <cell r="K57">
            <v>2912.57</v>
          </cell>
          <cell r="L57">
            <v>4981.25</v>
          </cell>
          <cell r="M57">
            <v>5160.37</v>
          </cell>
          <cell r="N57">
            <v>4818.08</v>
          </cell>
          <cell r="O57">
            <v>59823.070000000007</v>
          </cell>
        </row>
        <row r="58">
          <cell r="B58" t="str">
            <v>Laundry/Uniforms</v>
          </cell>
          <cell r="C58">
            <v>1759.71</v>
          </cell>
          <cell r="D58">
            <v>2344.33</v>
          </cell>
          <cell r="E58">
            <v>2202.5700000000002</v>
          </cell>
          <cell r="F58">
            <v>2348.59</v>
          </cell>
          <cell r="G58">
            <v>2092.77</v>
          </cell>
          <cell r="H58">
            <v>2451.9899999999998</v>
          </cell>
          <cell r="I58">
            <v>2760.65</v>
          </cell>
          <cell r="J58">
            <v>1809.44</v>
          </cell>
          <cell r="K58">
            <v>0</v>
          </cell>
          <cell r="L58">
            <v>872.81</v>
          </cell>
          <cell r="M58">
            <v>540.57000000000005</v>
          </cell>
          <cell r="N58">
            <v>0</v>
          </cell>
          <cell r="O58">
            <v>19183.43</v>
          </cell>
        </row>
        <row r="59">
          <cell r="B59" t="str">
            <v>Miscellaneous</v>
          </cell>
          <cell r="C59">
            <v>0</v>
          </cell>
          <cell r="D59">
            <v>0</v>
          </cell>
          <cell r="E59">
            <v>0</v>
          </cell>
          <cell r="F59">
            <v>0</v>
          </cell>
          <cell r="G59">
            <v>0</v>
          </cell>
          <cell r="H59">
            <v>0</v>
          </cell>
          <cell r="I59">
            <v>0</v>
          </cell>
          <cell r="J59">
            <v>0</v>
          </cell>
          <cell r="K59">
            <v>0</v>
          </cell>
          <cell r="L59">
            <v>0</v>
          </cell>
          <cell r="M59">
            <v>0</v>
          </cell>
          <cell r="N59">
            <v>0</v>
          </cell>
          <cell r="O59">
            <v>0</v>
          </cell>
        </row>
        <row r="60">
          <cell r="B60" t="str">
            <v>Dues and Subscriptions</v>
          </cell>
          <cell r="C60">
            <v>1300</v>
          </cell>
          <cell r="D60">
            <v>1300</v>
          </cell>
          <cell r="E60">
            <v>1300</v>
          </cell>
          <cell r="F60">
            <v>1727.23</v>
          </cell>
          <cell r="G60">
            <v>1726.48</v>
          </cell>
          <cell r="H60">
            <v>1446.29</v>
          </cell>
          <cell r="I60">
            <v>1300</v>
          </cell>
          <cell r="J60">
            <v>1300</v>
          </cell>
          <cell r="K60">
            <v>1300</v>
          </cell>
          <cell r="L60">
            <v>1300</v>
          </cell>
          <cell r="M60">
            <v>1300</v>
          </cell>
          <cell r="N60">
            <v>1300</v>
          </cell>
          <cell r="O60">
            <v>16600</v>
          </cell>
        </row>
        <row r="61">
          <cell r="B61" t="str">
            <v>Dues Non-deductible</v>
          </cell>
          <cell r="C61">
            <v>0</v>
          </cell>
          <cell r="D61">
            <v>0</v>
          </cell>
          <cell r="E61">
            <v>1100</v>
          </cell>
          <cell r="F61">
            <v>0</v>
          </cell>
          <cell r="G61">
            <v>600</v>
          </cell>
          <cell r="H61">
            <v>172.16</v>
          </cell>
          <cell r="I61">
            <v>441.62</v>
          </cell>
          <cell r="J61">
            <v>0</v>
          </cell>
          <cell r="K61">
            <v>0</v>
          </cell>
          <cell r="L61">
            <v>428.63</v>
          </cell>
          <cell r="M61">
            <v>441.38</v>
          </cell>
          <cell r="N61">
            <v>498.28</v>
          </cell>
          <cell r="O61">
            <v>3682.0700000000006</v>
          </cell>
        </row>
        <row r="62">
          <cell r="B62" t="str">
            <v>Travel</v>
          </cell>
          <cell r="C62">
            <v>0</v>
          </cell>
          <cell r="D62">
            <v>0</v>
          </cell>
          <cell r="E62">
            <v>0</v>
          </cell>
          <cell r="F62">
            <v>0</v>
          </cell>
          <cell r="G62">
            <v>0</v>
          </cell>
          <cell r="H62">
            <v>0</v>
          </cell>
          <cell r="I62">
            <v>717.44</v>
          </cell>
          <cell r="J62">
            <v>0</v>
          </cell>
          <cell r="K62">
            <v>0</v>
          </cell>
          <cell r="L62">
            <v>0</v>
          </cell>
          <cell r="M62">
            <v>0</v>
          </cell>
          <cell r="N62">
            <v>0</v>
          </cell>
          <cell r="O62">
            <v>717.44</v>
          </cell>
        </row>
        <row r="63">
          <cell r="B63" t="str">
            <v>Seminars</v>
          </cell>
          <cell r="C63">
            <v>0</v>
          </cell>
          <cell r="D63">
            <v>0</v>
          </cell>
          <cell r="E63">
            <v>0</v>
          </cell>
          <cell r="F63">
            <v>1315</v>
          </cell>
          <cell r="G63">
            <v>1325</v>
          </cell>
          <cell r="H63">
            <v>0</v>
          </cell>
          <cell r="I63">
            <v>0</v>
          </cell>
          <cell r="J63">
            <v>0</v>
          </cell>
          <cell r="K63">
            <v>0</v>
          </cell>
          <cell r="L63">
            <v>0</v>
          </cell>
          <cell r="M63">
            <v>750</v>
          </cell>
          <cell r="N63">
            <v>2580</v>
          </cell>
          <cell r="O63">
            <v>5970</v>
          </cell>
        </row>
        <row r="64">
          <cell r="B64" t="str">
            <v>Meals and Entertainment</v>
          </cell>
          <cell r="C64">
            <v>0</v>
          </cell>
          <cell r="D64">
            <v>0</v>
          </cell>
          <cell r="E64">
            <v>28.48</v>
          </cell>
          <cell r="F64">
            <v>0</v>
          </cell>
          <cell r="G64">
            <v>0</v>
          </cell>
          <cell r="H64">
            <v>0</v>
          </cell>
          <cell r="I64">
            <v>120</v>
          </cell>
          <cell r="J64">
            <v>0</v>
          </cell>
          <cell r="K64">
            <v>0</v>
          </cell>
          <cell r="L64">
            <v>0</v>
          </cell>
          <cell r="M64">
            <v>0</v>
          </cell>
          <cell r="N64">
            <v>0</v>
          </cell>
          <cell r="O64">
            <v>148.47999999999999</v>
          </cell>
        </row>
        <row r="65">
          <cell r="B65" t="str">
            <v>Advertising</v>
          </cell>
          <cell r="C65">
            <v>118.55</v>
          </cell>
          <cell r="D65">
            <v>212.95</v>
          </cell>
          <cell r="E65">
            <v>118.55</v>
          </cell>
          <cell r="F65">
            <v>118.55</v>
          </cell>
          <cell r="G65">
            <v>118.55</v>
          </cell>
          <cell r="H65">
            <v>158.43</v>
          </cell>
          <cell r="I65">
            <v>245.39</v>
          </cell>
          <cell r="J65">
            <v>118.55</v>
          </cell>
          <cell r="K65">
            <v>118.55</v>
          </cell>
          <cell r="L65">
            <v>118.55</v>
          </cell>
          <cell r="M65">
            <v>410.83</v>
          </cell>
          <cell r="N65">
            <v>124.7</v>
          </cell>
          <cell r="O65">
            <v>1982.1499999999996</v>
          </cell>
        </row>
        <row r="66">
          <cell r="B66" t="str">
            <v>Truck License</v>
          </cell>
          <cell r="C66">
            <v>92.75</v>
          </cell>
          <cell r="D66">
            <v>0</v>
          </cell>
          <cell r="E66">
            <v>1548</v>
          </cell>
          <cell r="F66">
            <v>735</v>
          </cell>
          <cell r="G66">
            <v>1599</v>
          </cell>
          <cell r="H66">
            <v>0</v>
          </cell>
          <cell r="I66">
            <v>798</v>
          </cell>
          <cell r="J66">
            <v>126</v>
          </cell>
          <cell r="K66">
            <v>1416</v>
          </cell>
          <cell r="L66">
            <v>718</v>
          </cell>
          <cell r="M66">
            <v>0</v>
          </cell>
          <cell r="N66">
            <v>80.75</v>
          </cell>
          <cell r="O66">
            <v>7113.5</v>
          </cell>
        </row>
        <row r="67">
          <cell r="B67" t="str">
            <v>Taxes and licensing</v>
          </cell>
          <cell r="C67">
            <v>0</v>
          </cell>
          <cell r="D67">
            <v>0</v>
          </cell>
          <cell r="E67">
            <v>0</v>
          </cell>
          <cell r="F67">
            <v>0</v>
          </cell>
          <cell r="G67">
            <v>0</v>
          </cell>
          <cell r="H67">
            <v>0</v>
          </cell>
          <cell r="I67">
            <v>0</v>
          </cell>
          <cell r="J67">
            <v>0</v>
          </cell>
          <cell r="K67">
            <v>0</v>
          </cell>
          <cell r="L67">
            <v>0</v>
          </cell>
          <cell r="M67">
            <v>0</v>
          </cell>
          <cell r="N67">
            <v>0</v>
          </cell>
          <cell r="O67">
            <v>0</v>
          </cell>
        </row>
        <row r="68">
          <cell r="B68" t="str">
            <v>Permits</v>
          </cell>
          <cell r="C68">
            <v>45</v>
          </cell>
          <cell r="D68">
            <v>69</v>
          </cell>
          <cell r="E68">
            <v>0</v>
          </cell>
          <cell r="F68">
            <v>0</v>
          </cell>
          <cell r="G68">
            <v>0</v>
          </cell>
          <cell r="H68">
            <v>113.92</v>
          </cell>
          <cell r="I68">
            <v>0</v>
          </cell>
          <cell r="J68">
            <v>0</v>
          </cell>
          <cell r="K68">
            <v>0</v>
          </cell>
          <cell r="L68">
            <v>0</v>
          </cell>
          <cell r="M68">
            <v>48</v>
          </cell>
          <cell r="N68">
            <v>0</v>
          </cell>
          <cell r="O68">
            <v>275.92</v>
          </cell>
        </row>
        <row r="69">
          <cell r="B69" t="str">
            <v>Contributions</v>
          </cell>
          <cell r="C69">
            <v>0</v>
          </cell>
          <cell r="D69">
            <v>0</v>
          </cell>
          <cell r="E69">
            <v>0</v>
          </cell>
          <cell r="F69">
            <v>0</v>
          </cell>
          <cell r="G69">
            <v>0</v>
          </cell>
          <cell r="H69">
            <v>0</v>
          </cell>
          <cell r="I69">
            <v>0</v>
          </cell>
          <cell r="J69">
            <v>100</v>
          </cell>
          <cell r="K69">
            <v>0</v>
          </cell>
          <cell r="L69">
            <v>750</v>
          </cell>
          <cell r="M69">
            <v>0</v>
          </cell>
          <cell r="N69">
            <v>300</v>
          </cell>
          <cell r="O69">
            <v>1150</v>
          </cell>
        </row>
        <row r="70">
          <cell r="B70" t="str">
            <v>B &amp; O Tax</v>
          </cell>
          <cell r="C70">
            <v>4485.3100000000004</v>
          </cell>
          <cell r="D70">
            <v>4316.3200000000006</v>
          </cell>
          <cell r="E70">
            <v>4219.34</v>
          </cell>
          <cell r="F70">
            <v>4511.91</v>
          </cell>
          <cell r="G70">
            <v>4344.54</v>
          </cell>
          <cell r="H70">
            <v>9459.91</v>
          </cell>
          <cell r="I70">
            <v>4372.21</v>
          </cell>
          <cell r="J70">
            <v>5016.0600000000004</v>
          </cell>
          <cell r="K70">
            <v>4073.7200000000003</v>
          </cell>
          <cell r="L70">
            <v>7179.7800000000007</v>
          </cell>
          <cell r="M70">
            <v>12349.94</v>
          </cell>
          <cell r="N70">
            <v>6934.43</v>
          </cell>
          <cell r="O70">
            <v>71263.47</v>
          </cell>
        </row>
        <row r="71">
          <cell r="B71" t="str">
            <v>Land Rent</v>
          </cell>
          <cell r="C71">
            <v>11500</v>
          </cell>
          <cell r="D71">
            <v>11500</v>
          </cell>
          <cell r="E71">
            <v>11500</v>
          </cell>
          <cell r="F71">
            <v>11500</v>
          </cell>
          <cell r="G71">
            <v>11500</v>
          </cell>
          <cell r="H71">
            <v>11500</v>
          </cell>
          <cell r="I71">
            <v>11500</v>
          </cell>
          <cell r="J71">
            <v>11500</v>
          </cell>
          <cell r="K71">
            <v>11500</v>
          </cell>
          <cell r="L71">
            <v>11500</v>
          </cell>
          <cell r="M71">
            <v>11500</v>
          </cell>
          <cell r="N71">
            <v>11500</v>
          </cell>
          <cell r="O71">
            <v>138000</v>
          </cell>
        </row>
        <row r="72">
          <cell r="B72" t="str">
            <v>Computer Expense</v>
          </cell>
          <cell r="C72">
            <v>0</v>
          </cell>
          <cell r="D72">
            <v>698.39</v>
          </cell>
          <cell r="E72">
            <v>0</v>
          </cell>
          <cell r="F72">
            <v>1298.3900000000001</v>
          </cell>
          <cell r="G72">
            <v>0</v>
          </cell>
          <cell r="H72">
            <v>1198.3900000000001</v>
          </cell>
          <cell r="I72">
            <v>232.8</v>
          </cell>
          <cell r="J72">
            <v>0</v>
          </cell>
          <cell r="K72">
            <v>698.39</v>
          </cell>
          <cell r="L72">
            <v>590</v>
          </cell>
          <cell r="M72">
            <v>232.8</v>
          </cell>
          <cell r="N72">
            <v>232.95</v>
          </cell>
          <cell r="O72">
            <v>5182.1100000000006</v>
          </cell>
        </row>
        <row r="73">
          <cell r="B73" t="str">
            <v>Workmen’s Comp</v>
          </cell>
          <cell r="C73">
            <v>0</v>
          </cell>
          <cell r="D73">
            <v>566.74</v>
          </cell>
          <cell r="E73">
            <v>10778.8</v>
          </cell>
          <cell r="F73">
            <v>0</v>
          </cell>
          <cell r="G73">
            <v>592.83000000000004</v>
          </cell>
          <cell r="H73">
            <v>9930.74</v>
          </cell>
          <cell r="I73">
            <v>0</v>
          </cell>
          <cell r="J73">
            <v>546.19000000000005</v>
          </cell>
          <cell r="K73">
            <v>10546.72</v>
          </cell>
          <cell r="L73">
            <v>580.07000000000005</v>
          </cell>
          <cell r="M73">
            <v>0</v>
          </cell>
          <cell r="N73">
            <v>2439.7600000000002</v>
          </cell>
          <cell r="O73">
            <v>35981.85</v>
          </cell>
        </row>
        <row r="74">
          <cell r="B74" t="str">
            <v>Payroll Taxes</v>
          </cell>
          <cell r="C74">
            <v>4840.6099999999997</v>
          </cell>
          <cell r="D74">
            <v>4829.1499999999996</v>
          </cell>
          <cell r="E74">
            <v>6169.2699999999995</v>
          </cell>
          <cell r="F74">
            <v>4390.2299999999996</v>
          </cell>
          <cell r="G74">
            <v>4742.8900000000003</v>
          </cell>
          <cell r="H74">
            <v>6197.079999999999</v>
          </cell>
          <cell r="I74">
            <v>5185.53</v>
          </cell>
          <cell r="J74">
            <v>4505.6099999999997</v>
          </cell>
          <cell r="K74">
            <v>8214.2199999999993</v>
          </cell>
          <cell r="L74">
            <v>5069.12</v>
          </cell>
          <cell r="M74">
            <v>5299.01</v>
          </cell>
          <cell r="N74">
            <v>7884.2300000000005</v>
          </cell>
          <cell r="O74">
            <v>67326.95</v>
          </cell>
        </row>
        <row r="75">
          <cell r="B75" t="str">
            <v>Employee Relations</v>
          </cell>
          <cell r="C75">
            <v>1255.4100000000001</v>
          </cell>
          <cell r="D75">
            <v>1846.92</v>
          </cell>
          <cell r="E75">
            <v>1509.96</v>
          </cell>
          <cell r="F75">
            <v>3349.65</v>
          </cell>
          <cell r="G75">
            <v>3552.83</v>
          </cell>
          <cell r="H75">
            <v>4626.29</v>
          </cell>
          <cell r="I75">
            <v>1299.8</v>
          </cell>
          <cell r="J75">
            <v>1088</v>
          </cell>
          <cell r="K75">
            <v>1381.25</v>
          </cell>
          <cell r="L75">
            <v>1075</v>
          </cell>
          <cell r="M75">
            <v>1562.01</v>
          </cell>
          <cell r="N75">
            <v>1392.5</v>
          </cell>
          <cell r="O75">
            <v>23939.62</v>
          </cell>
        </row>
        <row r="76">
          <cell r="B76" t="str">
            <v>Life Insurance</v>
          </cell>
          <cell r="C76">
            <v>0</v>
          </cell>
          <cell r="D76">
            <v>0</v>
          </cell>
          <cell r="E76">
            <v>0</v>
          </cell>
          <cell r="F76">
            <v>0</v>
          </cell>
          <cell r="G76">
            <v>0</v>
          </cell>
          <cell r="H76">
            <v>0</v>
          </cell>
          <cell r="I76">
            <v>73.099999999999994</v>
          </cell>
          <cell r="J76">
            <v>73.099999999999994</v>
          </cell>
          <cell r="K76">
            <v>0</v>
          </cell>
          <cell r="L76">
            <v>167.7</v>
          </cell>
          <cell r="M76">
            <v>55.9</v>
          </cell>
          <cell r="N76">
            <v>77.400000000000006</v>
          </cell>
          <cell r="O76">
            <v>447.19999999999993</v>
          </cell>
        </row>
        <row r="77">
          <cell r="B77" t="str">
            <v>Counseling Services</v>
          </cell>
          <cell r="C77">
            <v>154.38</v>
          </cell>
          <cell r="D77">
            <v>154.38</v>
          </cell>
          <cell r="E77">
            <v>154.38</v>
          </cell>
          <cell r="F77">
            <v>154.38</v>
          </cell>
          <cell r="G77">
            <v>154.38</v>
          </cell>
          <cell r="H77">
            <v>154.38</v>
          </cell>
          <cell r="I77">
            <v>154.38</v>
          </cell>
          <cell r="J77">
            <v>154.38</v>
          </cell>
          <cell r="K77">
            <v>154.38</v>
          </cell>
          <cell r="L77">
            <v>154.38</v>
          </cell>
          <cell r="M77">
            <v>154.38</v>
          </cell>
          <cell r="N77">
            <v>154.38</v>
          </cell>
          <cell r="O77">
            <v>1852.5600000000004</v>
          </cell>
        </row>
        <row r="78">
          <cell r="B78" t="str">
            <v>Employee Medical Insurance</v>
          </cell>
          <cell r="C78">
            <v>8800.4399999999987</v>
          </cell>
          <cell r="D78">
            <v>7888.28</v>
          </cell>
          <cell r="E78">
            <v>7891.97</v>
          </cell>
          <cell r="F78">
            <v>8035.21</v>
          </cell>
          <cell r="G78">
            <v>8035.21</v>
          </cell>
          <cell r="H78">
            <v>318</v>
          </cell>
          <cell r="I78">
            <v>16953.82</v>
          </cell>
          <cell r="J78">
            <v>9964.0600000000013</v>
          </cell>
          <cell r="K78">
            <v>10237.189999999999</v>
          </cell>
          <cell r="L78">
            <v>8322.56</v>
          </cell>
          <cell r="M78">
            <v>13934.380000000001</v>
          </cell>
          <cell r="N78">
            <v>8637.33</v>
          </cell>
          <cell r="O78">
            <v>109018.45000000001</v>
          </cell>
        </row>
        <row r="79">
          <cell r="B79" t="str">
            <v>Property Taxes</v>
          </cell>
          <cell r="C79">
            <v>0</v>
          </cell>
          <cell r="D79">
            <v>0</v>
          </cell>
          <cell r="E79">
            <v>0</v>
          </cell>
          <cell r="F79">
            <v>6400.86</v>
          </cell>
          <cell r="G79">
            <v>0</v>
          </cell>
          <cell r="H79">
            <v>0</v>
          </cell>
          <cell r="I79">
            <v>0</v>
          </cell>
          <cell r="J79">
            <v>0</v>
          </cell>
          <cell r="K79">
            <v>0</v>
          </cell>
          <cell r="L79">
            <v>5728.36</v>
          </cell>
          <cell r="M79">
            <v>0</v>
          </cell>
          <cell r="N79">
            <v>0</v>
          </cell>
          <cell r="O79">
            <v>12129.22</v>
          </cell>
        </row>
        <row r="80">
          <cell r="B80" t="str">
            <v>Drug Testing</v>
          </cell>
          <cell r="C80">
            <v>165.5</v>
          </cell>
          <cell r="D80">
            <v>38.5</v>
          </cell>
          <cell r="E80">
            <v>55</v>
          </cell>
          <cell r="F80">
            <v>341</v>
          </cell>
          <cell r="G80">
            <v>20</v>
          </cell>
          <cell r="H80">
            <v>180</v>
          </cell>
          <cell r="I80">
            <v>106.5</v>
          </cell>
          <cell r="J80">
            <v>20</v>
          </cell>
          <cell r="K80">
            <v>0</v>
          </cell>
          <cell r="L80">
            <v>64</v>
          </cell>
          <cell r="M80">
            <v>93.5</v>
          </cell>
          <cell r="N80">
            <v>231.5</v>
          </cell>
          <cell r="O80">
            <v>1315.5</v>
          </cell>
        </row>
        <row r="81">
          <cell r="B81" t="str">
            <v>SEP Benefits</v>
          </cell>
          <cell r="C81">
            <v>3529.52</v>
          </cell>
          <cell r="D81">
            <v>3668.15</v>
          </cell>
          <cell r="E81">
            <v>3758.64</v>
          </cell>
          <cell r="F81">
            <v>3570.71</v>
          </cell>
          <cell r="G81">
            <v>3779.68</v>
          </cell>
          <cell r="H81">
            <v>4339.07</v>
          </cell>
          <cell r="I81">
            <v>4392.53</v>
          </cell>
          <cell r="J81">
            <v>3404.41</v>
          </cell>
          <cell r="K81">
            <v>3760.32</v>
          </cell>
          <cell r="L81">
            <v>3785.55</v>
          </cell>
          <cell r="M81">
            <v>3928.97</v>
          </cell>
          <cell r="N81">
            <v>3469.85</v>
          </cell>
          <cell r="O81">
            <v>45387.4</v>
          </cell>
        </row>
        <row r="82">
          <cell r="B82" t="str">
            <v>Interest</v>
          </cell>
          <cell r="C82">
            <v>3616.12</v>
          </cell>
          <cell r="D82">
            <v>3552.65</v>
          </cell>
          <cell r="E82">
            <v>3488.85</v>
          </cell>
          <cell r="F82">
            <v>3424.74</v>
          </cell>
          <cell r="G82">
            <v>3600.3</v>
          </cell>
          <cell r="H82">
            <v>14536.76</v>
          </cell>
          <cell r="I82">
            <v>3230.46</v>
          </cell>
          <cell r="J82">
            <v>3165.05</v>
          </cell>
          <cell r="K82">
            <v>3099.31</v>
          </cell>
          <cell r="L82">
            <v>3033.25</v>
          </cell>
          <cell r="M82">
            <v>2966.85</v>
          </cell>
          <cell r="N82">
            <v>2900.14</v>
          </cell>
          <cell r="O82">
            <v>50614.479999999996</v>
          </cell>
        </row>
        <row r="83">
          <cell r="B83" t="str">
            <v>Freight</v>
          </cell>
          <cell r="C83">
            <v>0</v>
          </cell>
          <cell r="D83">
            <v>0</v>
          </cell>
          <cell r="E83">
            <v>0</v>
          </cell>
          <cell r="F83">
            <v>0</v>
          </cell>
          <cell r="G83">
            <v>288.3</v>
          </cell>
          <cell r="H83">
            <v>176.07</v>
          </cell>
          <cell r="I83">
            <v>0</v>
          </cell>
          <cell r="J83">
            <v>41.14</v>
          </cell>
          <cell r="K83">
            <v>0</v>
          </cell>
          <cell r="L83">
            <v>0</v>
          </cell>
          <cell r="M83">
            <v>0</v>
          </cell>
          <cell r="N83">
            <v>0</v>
          </cell>
          <cell r="O83">
            <v>505.51</v>
          </cell>
        </row>
        <row r="84">
          <cell r="B84" t="str">
            <v>Consulting</v>
          </cell>
          <cell r="C84">
            <v>0</v>
          </cell>
          <cell r="D84">
            <v>4164</v>
          </cell>
          <cell r="E84">
            <v>0</v>
          </cell>
          <cell r="F84">
            <v>2138.5</v>
          </cell>
          <cell r="G84">
            <v>2401</v>
          </cell>
          <cell r="H84">
            <v>3838.5</v>
          </cell>
          <cell r="I84">
            <v>1076</v>
          </cell>
          <cell r="J84">
            <v>2463.5</v>
          </cell>
          <cell r="K84">
            <v>2163.5</v>
          </cell>
          <cell r="L84">
            <v>2176</v>
          </cell>
          <cell r="M84">
            <v>1819.75</v>
          </cell>
          <cell r="N84">
            <v>1732.25</v>
          </cell>
          <cell r="O84">
            <v>23973</v>
          </cell>
        </row>
        <row r="85">
          <cell r="B85" t="str">
            <v>Safety Equipment Expense</v>
          </cell>
          <cell r="C85">
            <v>728.2</v>
          </cell>
          <cell r="D85">
            <v>1079.05</v>
          </cell>
          <cell r="E85">
            <v>83.08</v>
          </cell>
          <cell r="F85">
            <v>2228.91</v>
          </cell>
          <cell r="G85">
            <v>304.52999999999997</v>
          </cell>
          <cell r="H85">
            <v>1061</v>
          </cell>
          <cell r="I85">
            <v>264.56</v>
          </cell>
          <cell r="J85">
            <v>-241.69</v>
          </cell>
          <cell r="K85">
            <v>716.53</v>
          </cell>
          <cell r="L85">
            <v>105.85</v>
          </cell>
          <cell r="M85">
            <v>1225.6300000000001</v>
          </cell>
          <cell r="N85">
            <v>386.26</v>
          </cell>
          <cell r="O85">
            <v>7941.9100000000008</v>
          </cell>
        </row>
        <row r="86">
          <cell r="B86" t="str">
            <v>Depreciation</v>
          </cell>
          <cell r="C86">
            <v>19219.580000000002</v>
          </cell>
          <cell r="D86">
            <v>19219.580000000002</v>
          </cell>
          <cell r="E86">
            <v>19219.580000000002</v>
          </cell>
          <cell r="F86">
            <v>19219.670000000002</v>
          </cell>
          <cell r="G86">
            <v>19219.580000000002</v>
          </cell>
          <cell r="H86">
            <v>19558.099999999999</v>
          </cell>
          <cell r="I86">
            <v>19247.79</v>
          </cell>
          <cell r="J86">
            <v>19247.79</v>
          </cell>
          <cell r="K86">
            <v>19247.79</v>
          </cell>
          <cell r="L86">
            <v>22142.720000000001</v>
          </cell>
          <cell r="M86">
            <v>22142.720000000001</v>
          </cell>
          <cell r="N86">
            <v>30827.510000000002</v>
          </cell>
          <cell r="O86">
            <v>248512.41000000003</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
      <sheetName val="Amortization Table"/>
      <sheetName val="Amortization Table (2)"/>
    </sheetNames>
    <sheetDataSet>
      <sheetData sheetId="0"/>
      <sheetData sheetId="1">
        <row r="18">
          <cell r="F18">
            <v>127794.2761418313</v>
          </cell>
        </row>
      </sheetData>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4 Month Condensed Ops P&amp;L"/>
      <sheetName val="Report Template"/>
    </sheetNames>
    <sheetDataSet>
      <sheetData sheetId="0"/>
      <sheetData sheetId="1"/>
      <sheetData sheetId="2">
        <row r="2002">
          <cell r="B2002">
            <v>2006</v>
          </cell>
        </row>
        <row r="2003">
          <cell r="B2003">
            <v>2007</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y Sheet"/>
      <sheetName val="LURITXPF AVG-Old"/>
      <sheetName val="LURITXPF AVG-New"/>
      <sheetName val="LG Nonpublic 2018 V5.0c"/>
      <sheetName val="Operations"/>
      <sheetName val="Assumptions"/>
      <sheetName val="Sch 1 - Restated Exp"/>
      <sheetName val="Sch 1, pg 2 - Restated"/>
      <sheetName val="Sch 2 - Forecast Exp"/>
      <sheetName val="Sch 2, pg 2 - Forecast"/>
      <sheetName val="Sch 3 - Reclass Exp"/>
      <sheetName val="Sch 3, pg 2 - Reclass"/>
      <sheetName val="Sch 4 - 12 Months"/>
      <sheetName val="Work Papers"/>
      <sheetName val="WP-1 - Summary Depr"/>
      <sheetName val="WP-1, pg 2 - Depr"/>
      <sheetName val="WP-2 - Labor Analysis"/>
      <sheetName val="WP-2, pg 2 - Labor Increase"/>
      <sheetName val="WP-2, pg 3 - Benefits Analysis"/>
      <sheetName val="WP-3 - Vehicle License"/>
      <sheetName val="WP-4 - Dues &amp; Sub"/>
      <sheetName val="WP-5 - Capital Structure"/>
      <sheetName val="WP-5, pg 2 - Capital"/>
      <sheetName val="WP-6 - Affiliated "/>
      <sheetName val="WP-7 - Cust Counts (x per wk)"/>
      <sheetName val="WP-7a - Drop Box Totals"/>
      <sheetName val="WP-8 - Fuel"/>
      <sheetName val="WP-9 Bad Debts"/>
      <sheetName val="WP-10 Utilities"/>
      <sheetName val="WP-11 Rent"/>
      <sheetName val="WP-12 Property Taxes"/>
      <sheetName val="WP-13 Disposal"/>
      <sheetName val="WP-14 Rate Case Cost"/>
      <sheetName val="IS-PB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8">
          <cell r="E18">
            <v>770</v>
          </cell>
        </row>
        <row r="63">
          <cell r="I63">
            <v>106583.46960000001</v>
          </cell>
        </row>
        <row r="93">
          <cell r="I93">
            <v>16125.786</v>
          </cell>
        </row>
        <row r="100">
          <cell r="I100">
            <v>11830.772400000002</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y Sheet"/>
      <sheetName val="Comp Report"/>
      <sheetName val="LURITXPF AVG-Old"/>
      <sheetName val="LURITXPF AVG-New"/>
      <sheetName val="LG Nonpublic 2018 V5.0c"/>
      <sheetName val="Operations"/>
      <sheetName val="Assumptions"/>
      <sheetName val="Sch 1 - Restated Exp"/>
      <sheetName val="Sch 1, pg 2 - Restated"/>
      <sheetName val="Sch 2 - Forecast Exp"/>
      <sheetName val="Sch 2, pg 2 - Forecast"/>
      <sheetName val="Sch 3 - Reclass Exp"/>
      <sheetName val="Sch 3, pg 2 - Reclass"/>
      <sheetName val="Sch 4 - 12 Months"/>
      <sheetName val="Work Papers"/>
      <sheetName val="WP-1 - Summary Depr"/>
      <sheetName val="WP-1, pg 2 - Depr"/>
      <sheetName val="WP-2 - Labor Analysis"/>
      <sheetName val="WP-2, pg 2 - Labor Increase"/>
      <sheetName val="WP-2, pg 3 - Benefits Analysis"/>
      <sheetName val="WP-3 - Vehicle License"/>
      <sheetName val="WP-4 - Dues &amp; Sub"/>
      <sheetName val="WP-5 - Capital Structure"/>
      <sheetName val="WP-5, pg 2 - Capital"/>
      <sheetName val="WP-6 - Affiliated "/>
      <sheetName val="WP-7 - Cust Counts (x per wk)"/>
      <sheetName val="WP-8 - Fuel"/>
      <sheetName val="WP-9 Bad Debts"/>
      <sheetName val="WP-10 Utilities"/>
      <sheetName val="WP-11 Rent"/>
      <sheetName val="WP-12 Property Taxes"/>
      <sheetName val="WP-13 Disposal"/>
      <sheetName val="WP-14 Rate Case Cost"/>
      <sheetName val="IS-PB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5">
          <cell r="A5" t="str">
            <v>In Support of Tariff No. 19, G-101 Effective September 1, 2018</v>
          </cell>
        </row>
        <row r="11">
          <cell r="E11" t="str">
            <v>Y</v>
          </cell>
          <cell r="F11" t="str">
            <v>Y</v>
          </cell>
        </row>
        <row r="15">
          <cell r="E15" t="str">
            <v>Y</v>
          </cell>
          <cell r="F15" t="str">
            <v>Y</v>
          </cell>
        </row>
        <row r="16">
          <cell r="E16" t="str">
            <v>Y</v>
          </cell>
          <cell r="F16" t="str">
            <v>Y</v>
          </cell>
        </row>
        <row r="20">
          <cell r="E20" t="str">
            <v>Y</v>
          </cell>
          <cell r="F20" t="str">
            <v>Y</v>
          </cell>
        </row>
        <row r="21">
          <cell r="E21" t="str">
            <v>Y</v>
          </cell>
          <cell r="F21" t="str">
            <v>Y</v>
          </cell>
        </row>
        <row r="23">
          <cell r="E23" t="str">
            <v>Y</v>
          </cell>
          <cell r="F23" t="str">
            <v>Y</v>
          </cell>
        </row>
        <row r="24">
          <cell r="E24" t="str">
            <v>Y</v>
          </cell>
          <cell r="F24" t="str">
            <v>Y</v>
          </cell>
        </row>
        <row r="25">
          <cell r="E25" t="str">
            <v>Y</v>
          </cell>
          <cell r="F25" t="str">
            <v>Y</v>
          </cell>
        </row>
        <row r="27">
          <cell r="E27" t="str">
            <v>Y</v>
          </cell>
          <cell r="F27" t="str">
            <v>Y</v>
          </cell>
        </row>
        <row r="28">
          <cell r="E28" t="str">
            <v>Y</v>
          </cell>
          <cell r="F28" t="str">
            <v>Y</v>
          </cell>
        </row>
        <row r="32">
          <cell r="E32" t="str">
            <v>Y</v>
          </cell>
          <cell r="F32" t="str">
            <v>Y</v>
          </cell>
        </row>
        <row r="33">
          <cell r="E33" t="str">
            <v>Y</v>
          </cell>
          <cell r="F33" t="str">
            <v>Y</v>
          </cell>
        </row>
        <row r="36">
          <cell r="E36" t="str">
            <v>N</v>
          </cell>
          <cell r="F36" t="str">
            <v>N</v>
          </cell>
        </row>
        <row r="37">
          <cell r="E37" t="str">
            <v>N</v>
          </cell>
          <cell r="F37" t="str">
            <v>N</v>
          </cell>
        </row>
        <row r="38">
          <cell r="E38" t="str">
            <v>N</v>
          </cell>
          <cell r="F38" t="str">
            <v>N</v>
          </cell>
        </row>
        <row r="39">
          <cell r="E39" t="str">
            <v>N</v>
          </cell>
          <cell r="F39" t="str">
            <v>N</v>
          </cell>
        </row>
        <row r="40">
          <cell r="E40" t="str">
            <v>N</v>
          </cell>
          <cell r="F40" t="str">
            <v>N</v>
          </cell>
        </row>
        <row r="41">
          <cell r="E41" t="str">
            <v>Y</v>
          </cell>
          <cell r="F41" t="str">
            <v>Y</v>
          </cell>
        </row>
        <row r="42">
          <cell r="E42" t="str">
            <v>N</v>
          </cell>
          <cell r="F42" t="str">
            <v>N</v>
          </cell>
        </row>
        <row r="43">
          <cell r="E43" t="str">
            <v>N</v>
          </cell>
          <cell r="F43" t="str">
            <v>N</v>
          </cell>
        </row>
        <row r="48">
          <cell r="E48" t="str">
            <v>Y</v>
          </cell>
          <cell r="F48" t="str">
            <v>Y</v>
          </cell>
        </row>
        <row r="49">
          <cell r="E49" t="str">
            <v>Y</v>
          </cell>
          <cell r="F49" t="str">
            <v>Y</v>
          </cell>
        </row>
        <row r="51">
          <cell r="E51" t="str">
            <v>Y</v>
          </cell>
          <cell r="F51" t="str">
            <v>Y</v>
          </cell>
        </row>
        <row r="52">
          <cell r="E52" t="str">
            <v>Y</v>
          </cell>
          <cell r="F52" t="str">
            <v>Y</v>
          </cell>
        </row>
        <row r="53">
          <cell r="E53" t="str">
            <v>Y</v>
          </cell>
          <cell r="F53" t="str">
            <v>Y</v>
          </cell>
        </row>
        <row r="54">
          <cell r="E54" t="str">
            <v>Y</v>
          </cell>
          <cell r="F54" t="str">
            <v>Y</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s Breakdown"/>
      <sheetName val="Kalama TK#7"/>
      <sheetName val="Kalama TK#24"/>
    </sheetNames>
    <sheetDataSet>
      <sheetData sheetId="0"/>
      <sheetData sheetId="1">
        <row r="18">
          <cell r="H18">
            <v>144.36664961636828</v>
          </cell>
          <cell r="I18">
            <v>14.193350383631714</v>
          </cell>
        </row>
        <row r="31">
          <cell r="H31">
            <v>163.76</v>
          </cell>
          <cell r="I31">
            <v>16.099999999999998</v>
          </cell>
        </row>
        <row r="45">
          <cell r="H45">
            <v>173.83907928388749</v>
          </cell>
          <cell r="I45">
            <v>17.090920716112532</v>
          </cell>
        </row>
        <row r="58">
          <cell r="H58">
            <v>159.35324808184143</v>
          </cell>
          <cell r="I58">
            <v>15.666751918158566</v>
          </cell>
        </row>
        <row r="71">
          <cell r="H71">
            <v>159.10741687979538</v>
          </cell>
          <cell r="I71">
            <v>15.6425831202046</v>
          </cell>
        </row>
        <row r="84">
          <cell r="H84">
            <v>149.6474680306905</v>
          </cell>
          <cell r="I84">
            <v>14.71253196930946</v>
          </cell>
        </row>
        <row r="97">
          <cell r="H97">
            <v>158.00572890025572</v>
          </cell>
          <cell r="I97">
            <v>15.534271099744242</v>
          </cell>
        </row>
        <row r="110">
          <cell r="H110">
            <v>172.60992327365727</v>
          </cell>
          <cell r="I110">
            <v>16.970076726342711</v>
          </cell>
        </row>
        <row r="123">
          <cell r="H123">
            <v>152.14219948849106</v>
          </cell>
          <cell r="I123">
            <v>14.957800511508951</v>
          </cell>
        </row>
        <row r="136">
          <cell r="H136">
            <v>158.00572890025575</v>
          </cell>
          <cell r="I136">
            <v>15.534271099744245</v>
          </cell>
        </row>
        <row r="148">
          <cell r="H148">
            <v>135.43478260869566</v>
          </cell>
          <cell r="I148">
            <v>13.315217391304348</v>
          </cell>
        </row>
        <row r="162">
          <cell r="H162">
            <v>170.63416879795398</v>
          </cell>
          <cell r="I162">
            <v>16.775831202046035</v>
          </cell>
        </row>
      </sheetData>
      <sheetData sheetId="2">
        <row r="14">
          <cell r="F14">
            <v>51.84306905370844</v>
          </cell>
          <cell r="G14">
            <v>5.0969309462915602</v>
          </cell>
        </row>
        <row r="23">
          <cell r="F23">
            <v>59.218005115089518</v>
          </cell>
          <cell r="G23">
            <v>5.8219948849104863</v>
          </cell>
        </row>
        <row r="32">
          <cell r="F32">
            <v>56.668644501278777</v>
          </cell>
          <cell r="G32">
            <v>5.5713554987212275</v>
          </cell>
        </row>
        <row r="41">
          <cell r="F41">
            <v>55.002455242966761</v>
          </cell>
          <cell r="G41">
            <v>5.4075447570332491</v>
          </cell>
        </row>
        <row r="50">
          <cell r="F50">
            <v>56.659539641943724</v>
          </cell>
          <cell r="G50">
            <v>5.5704603580562653</v>
          </cell>
        </row>
        <row r="58">
          <cell r="F58">
            <v>44.814117647058822</v>
          </cell>
          <cell r="G58">
            <v>4.4058823529411768</v>
          </cell>
        </row>
        <row r="67">
          <cell r="F67">
            <v>61.567058823529415</v>
          </cell>
          <cell r="G67">
            <v>6.0529411764705889</v>
          </cell>
        </row>
        <row r="76">
          <cell r="F76">
            <v>61.539744245524304</v>
          </cell>
          <cell r="G76">
            <v>6.0502557544757032</v>
          </cell>
        </row>
        <row r="84">
          <cell r="F84">
            <v>55.721739130434784</v>
          </cell>
          <cell r="G84">
            <v>5.4782608695652177</v>
          </cell>
        </row>
        <row r="93">
          <cell r="F93">
            <v>52.270997442455254</v>
          </cell>
          <cell r="G93">
            <v>5.1390025575447584</v>
          </cell>
        </row>
        <row r="101">
          <cell r="F101">
            <v>57.925115089514073</v>
          </cell>
          <cell r="G101">
            <v>5.6948849104859338</v>
          </cell>
        </row>
        <row r="110">
          <cell r="F110">
            <v>48.292173913043477</v>
          </cell>
          <cell r="G110">
            <v>4.7478260869565219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320"/>
      <sheetName val="#REF"/>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800-10899"/>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l Priceout"/>
      <sheetName val="Com'l Priceout"/>
      <sheetName val="Roll Off Priceout"/>
      <sheetName val="Roll Off Productivity"/>
      <sheetName val="TB -LOB"/>
      <sheetName val="Comm'l TB-120"/>
      <sheetName val="Com'l Rec. TB-160"/>
      <sheetName val="Resi TB-190"/>
      <sheetName val="230 &amp; 220"/>
      <sheetName val="YW TB-220"/>
      <sheetName val="RO TB-260"/>
      <sheetName val="Industrial LOB"/>
      <sheetName val="TS TB-300"/>
      <sheetName val="POL TB-750"/>
      <sheetName val="Revenue Reconciliation"/>
      <sheetName val="Billed Revenue Summary"/>
      <sheetName val="Disposal Summary"/>
      <sheetName val="Payroll Register"/>
      <sheetName val="Balance Sheet"/>
      <sheetName val="Monthly IS"/>
      <sheetName val="DEPN"/>
      <sheetName val="Fixed Asset Summary"/>
      <sheetName val="Fixed Asset Detail"/>
      <sheetName val="Fuel"/>
      <sheetName val="WTB"/>
      <sheetName val="OH Analysis (2008)"/>
      <sheetName val="Corp. Office OH 2008"/>
      <sheetName val="OH Analysis"/>
      <sheetName val="Corp. Office OH"/>
      <sheetName val="2008 Group Office TB"/>
      <sheetName val="MA Office OH"/>
      <sheetName val="MA Stats"/>
      <sheetName val="2008 Group Office IS"/>
      <sheetName val="2008 West Group IS"/>
      <sheetName val="Legal"/>
      <sheetName val="Lurito 25 bpi"/>
      <sheetName val="Lurito 25 bpi (Rolloff)"/>
      <sheetName val="70000"/>
      <sheetName val="502500"/>
      <sheetName val="509000"/>
      <sheetName val="509500"/>
      <sheetName val="570800"/>
      <sheetName val="518000"/>
      <sheetName val="568100"/>
      <sheetName val="678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8">
          <cell r="AD8" t="str">
            <v>#N/A</v>
          </cell>
        </row>
      </sheetData>
      <sheetData sheetId="19"/>
      <sheetData sheetId="20"/>
      <sheetData sheetId="21"/>
      <sheetData sheetId="22"/>
      <sheetData sheetId="23"/>
      <sheetData sheetId="24">
        <row r="4">
          <cell r="DE4" t="str">
            <v>01815</v>
          </cell>
        </row>
        <row r="5">
          <cell r="DC5" t="str">
            <v>12</v>
          </cell>
          <cell r="DD5" t="str">
            <v>WM of Ellensburg</v>
          </cell>
          <cell r="DE5" t="str">
            <v>01815</v>
          </cell>
        </row>
        <row r="8">
          <cell r="DC8">
            <v>12</v>
          </cell>
        </row>
      </sheetData>
      <sheetData sheetId="25"/>
      <sheetData sheetId="26"/>
      <sheetData sheetId="27"/>
      <sheetData sheetId="28"/>
      <sheetData sheetId="29"/>
      <sheetData sheetId="30"/>
      <sheetData sheetId="31"/>
      <sheetData sheetId="32">
        <row r="4">
          <cell r="AK4" t="str">
            <v>01500</v>
          </cell>
        </row>
        <row r="5">
          <cell r="AI5" t="str">
            <v>12</v>
          </cell>
          <cell r="AJ5" t="str">
            <v>Western Area Office</v>
          </cell>
          <cell r="AK5" t="str">
            <v>01500</v>
          </cell>
        </row>
        <row r="8">
          <cell r="AH8">
            <v>0</v>
          </cell>
        </row>
        <row r="9">
          <cell r="AM9" t="str">
            <v>USD</v>
          </cell>
        </row>
      </sheetData>
      <sheetData sheetId="33">
        <row r="4">
          <cell r="AK4" t="str">
            <v>G00006</v>
          </cell>
        </row>
        <row r="5">
          <cell r="AI5" t="str">
            <v>12</v>
          </cell>
          <cell r="AJ5" t="str">
            <v>Error</v>
          </cell>
          <cell r="AK5" t="str">
            <v>Western</v>
          </cell>
        </row>
        <row r="8">
          <cell r="AH8">
            <v>0</v>
          </cell>
        </row>
        <row r="9">
          <cell r="AM9" t="str">
            <v>USD</v>
          </cell>
        </row>
      </sheetData>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 (WMofWA)"/>
      <sheetName val="Balance Sheet (WMofWA)"/>
      <sheetName val="Rev. Sum. - Confidential"/>
      <sheetName val="WTB-Confidential"/>
      <sheetName val="Priceout"/>
      <sheetName val="Monthly IS (SnoKing)"/>
      <sheetName val="Total Lurito"/>
      <sheetName val="Lurito - Garbage"/>
      <sheetName val="Lurito - Recycling"/>
      <sheetName val="Lurito - YW"/>
      <sheetName val="Lurito-Garbage"/>
      <sheetName val="Lurito-Recycling"/>
      <sheetName val="Lurito-YW"/>
      <sheetName val="PC 230"/>
      <sheetName val="PC 220"/>
      <sheetName val="PC 160 - Confidential"/>
      <sheetName val="PC 260-Confidential"/>
      <sheetName val="WUTC Customer Counts"/>
      <sheetName val="Processing Fees"/>
      <sheetName val="YW Processing Fees"/>
      <sheetName val="PR Register-Confidential"/>
      <sheetName val="PR Detail -confidential"/>
      <sheetName val="Wage scale-CONFIDENTIAL"/>
      <sheetName val="Fuel"/>
      <sheetName val="Balance Sheet (SnoKing)"/>
      <sheetName val="DEPN"/>
      <sheetName val="DEPN Summary"/>
      <sheetName val="Fixed Asset Summary"/>
      <sheetName val="Fixed Asset Detail"/>
      <sheetName val="Facility Costs"/>
      <sheetName val="Legal Fees"/>
      <sheetName val="MA Office OH"/>
      <sheetName val="MA Stats"/>
      <sheetName val="OH Analysis"/>
      <sheetName val="Corp. Office OH"/>
      <sheetName val="2008 West Group IS"/>
      <sheetName val="2008 Group Office TB"/>
      <sheetName val="2008 Group Office IS"/>
      <sheetName val="500500"/>
      <sheetName val="AP-500500"/>
      <sheetName val="500800"/>
      <sheetName val="509000"/>
      <sheetName val="AP-509500"/>
      <sheetName val="509500"/>
      <sheetName val="531200"/>
      <sheetName val="Income Statement (2)"/>
      <sheetName val="Lurito"/>
      <sheetName val="Fixed Assets"/>
      <sheetName val="unprocessed SS"/>
      <sheetName val="Tonnage"/>
      <sheetName val="Outbound Tons"/>
      <sheetName val="Inbound Tons"/>
      <sheetName val="Labor"/>
      <sheetName val="CDL Pricing"/>
      <sheetName val="CRC Commodity Prices"/>
      <sheetName val="Commodity Mix"/>
      <sheetName val="502500"/>
      <sheetName val="Summary"/>
      <sheetName val="Com'l FL"/>
      <sheetName val="Res'l RL"/>
      <sheetName val="Roll Off"/>
      <sheetName val="Res'l YW"/>
      <sheetName val="Res'l Rec."/>
      <sheetName val="Com'l Rec."/>
      <sheetName val="Summary (2)"/>
      <sheetName val="Customer Counts"/>
      <sheetName val="Com'l FL-2009"/>
      <sheetName val="Res'l RL (2)"/>
      <sheetName val="Res'l YW (2)"/>
      <sheetName val="Res'l Rec. (2)"/>
      <sheetName val="Roll Off (2)"/>
      <sheetName val="Haul Summary"/>
      <sheetName val="Com'l Rec. (2)"/>
      <sheetName val="Hauls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O-1"/>
      <sheetName val="O-2"/>
      <sheetName val="O-3"/>
      <sheetName val="O-4"/>
      <sheetName val="O-5"/>
      <sheetName val="O-6"/>
      <sheetName val="O-7"/>
      <sheetName val="O-8"/>
      <sheetName val="O-9"/>
      <sheetName val="O-10"/>
      <sheetName val="O-12"/>
      <sheetName val="O-13"/>
      <sheetName val="O-14"/>
      <sheetName val="O-15"/>
      <sheetName val="O-16"/>
      <sheetName val="O-17"/>
      <sheetName val="O-18"/>
      <sheetName val="O-19"/>
      <sheetName val="O-20"/>
      <sheetName val="O-21"/>
      <sheetName val="O-22"/>
      <sheetName val="O-23"/>
      <sheetName val="O-24"/>
      <sheetName val="O-25"/>
      <sheetName val="O-26"/>
      <sheetName val="R-1"/>
      <sheetName val="R-2"/>
      <sheetName val="R-3"/>
      <sheetName val="R-4"/>
      <sheetName val="R-5"/>
      <sheetName val="R-6"/>
      <sheetName val="R-7"/>
      <sheetName val="R-8"/>
      <sheetName val="R-9"/>
      <sheetName val="I-1"/>
      <sheetName val="I-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o (Type of Service)"/>
      <sheetName val="Proforma (Total Co)"/>
      <sheetName val="Restating Adj"/>
      <sheetName val="Restating Adj Details"/>
      <sheetName val="Proforma Adj"/>
      <sheetName val="Proforma Adj Details"/>
      <sheetName val=" Lurito (Total Co)"/>
      <sheetName val=" Lurito (Total Garbage w DB)"/>
      <sheetName val=" Lurito (Total Garbage wo DB)"/>
      <sheetName val="Proforma (DropBox)"/>
      <sheetName val="Lurito (DropBox)"/>
      <sheetName val="Exp Matrix (DropBox)"/>
      <sheetName val="COS DB"/>
      <sheetName val="Proforma (Yard Waste)"/>
      <sheetName val="Lurito (Yard Waste)"/>
      <sheetName val="Exp-Matrix (Yard Waste)"/>
      <sheetName val="COS-YW, Recycl"/>
      <sheetName val="Proforma (Curbs Recycling)"/>
      <sheetName val="Lurito (Curbs Recycling)"/>
      <sheetName val="Exp-Matrix (Curbs Recycling)"/>
      <sheetName val="Proforma (Recycle Stations)"/>
      <sheetName val="Lurito (Recycle Stations)"/>
      <sheetName val=" Lurito (MF)"/>
      <sheetName val=" Lurito (MF &amp; R Station)"/>
      <sheetName val="Rate Calculation"/>
      <sheetName val="Rate (Dump Fee)"/>
      <sheetName val="Calculation (Dump Fee)"/>
      <sheetName val="Priceout (Dump Fee)"/>
      <sheetName val="Total Fuel"/>
      <sheetName val="Murrey's Fuel"/>
      <sheetName val="American Fuel"/>
      <sheetName val="Depn-Summary"/>
      <sheetName val="Summary (American)"/>
      <sheetName val="Summary (Murrey's)"/>
      <sheetName val="Trucks (American)"/>
      <sheetName val="Trucks (Murrey's)"/>
      <sheetName val="Containers &amp; DropBox (American)"/>
      <sheetName val="Containers, DropBox (Murrey's)"/>
      <sheetName val="Yard Waste Toters (American)"/>
      <sheetName val="Yard Waste Toters (Murrey's)"/>
      <sheetName val="Other Equipment (American)"/>
      <sheetName val="Other Equipment (Murrey's)"/>
      <sheetName val="WRRA"/>
      <sheetName val="Summary (Supervisors)"/>
      <sheetName val="Summary (Driver Wages)"/>
      <sheetName val="Summary (IS Report)"/>
      <sheetName val="IS-Murrey's"/>
      <sheetName val="IS-Americ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ention"/>
      <sheetName val="CostStudy"/>
      <sheetName val="LURITXPF"/>
      <sheetName val="Price Out"/>
      <sheetName val="CPI"/>
    </sheetNames>
    <sheetDataSet>
      <sheetData sheetId="0"/>
      <sheetData sheetId="1"/>
      <sheetData sheetId="2">
        <row r="3">
          <cell r="A3" t="str">
            <v xml:space="preserve"> NEW IMPROVED LURITO - GALLAGHER FORMULA</v>
          </cell>
        </row>
        <row r="8">
          <cell r="B8" t="str">
            <v>!!!</v>
          </cell>
          <cell r="C8" t="str">
            <v>Revenue Requirement</v>
          </cell>
          <cell r="E8">
            <v>4057683.5515002497</v>
          </cell>
          <cell r="F8" t="str">
            <v>!!!&lt;--</v>
          </cell>
        </row>
        <row r="9">
          <cell r="B9" t="str">
            <v>!!!</v>
          </cell>
          <cell r="C9" t="str">
            <v>Revenue Deficiency</v>
          </cell>
          <cell r="E9">
            <v>167473.97150024929</v>
          </cell>
          <cell r="F9" t="str">
            <v>!!!&lt;--</v>
          </cell>
          <cell r="H9">
            <v>211361</v>
          </cell>
        </row>
        <row r="10">
          <cell r="B10" t="str">
            <v>*</v>
          </cell>
          <cell r="C10" t="str">
            <v>Revenue</v>
          </cell>
          <cell r="D10" t="str">
            <v>input&gt;</v>
          </cell>
          <cell r="E10">
            <v>3890209.5800000005</v>
          </cell>
          <cell r="F10" t="str">
            <v>* p/f before rates</v>
          </cell>
          <cell r="H10" t="str">
            <v>final deficiency</v>
          </cell>
        </row>
        <row r="11">
          <cell r="B11" t="str">
            <v>*</v>
          </cell>
          <cell r="C11" t="str">
            <v>Expenses</v>
          </cell>
          <cell r="D11" t="str">
            <v>input&gt;</v>
          </cell>
          <cell r="E11">
            <v>3671972.9527646755</v>
          </cell>
          <cell r="F11" t="str">
            <v>* p/f before rates</v>
          </cell>
        </row>
        <row r="12">
          <cell r="B12" t="str">
            <v>*</v>
          </cell>
          <cell r="C12" t="str">
            <v>Avg. Investment  -</v>
          </cell>
          <cell r="D12" t="str">
            <v>input&gt;</v>
          </cell>
          <cell r="E12">
            <v>1592224.8028140832</v>
          </cell>
          <cell r="F12" t="str">
            <v>* p/f before rates</v>
          </cell>
        </row>
        <row r="13">
          <cell r="C13" t="str">
            <v>curve turnover</v>
          </cell>
          <cell r="E13">
            <v>288.27375272911098</v>
          </cell>
          <cell r="F13" t="str">
            <v>(calculated)</v>
          </cell>
        </row>
        <row r="14">
          <cell r="C14" t="str">
            <v>final turnover</v>
          </cell>
          <cell r="E14">
            <v>254.50859657743786</v>
          </cell>
          <cell r="F14" t="str">
            <v>(calculated)</v>
          </cell>
        </row>
        <row r="15">
          <cell r="C15" t="str">
            <v>curve No. used</v>
          </cell>
          <cell r="E15">
            <v>3</v>
          </cell>
          <cell r="F15" t="str">
            <v>(calculated)</v>
          </cell>
        </row>
        <row r="17">
          <cell r="C17" t="str">
            <v xml:space="preserve">Company actual </v>
          </cell>
        </row>
        <row r="18">
          <cell r="C18" t="str">
            <v>capital structure:</v>
          </cell>
          <cell r="E18" t="str">
            <v>!!!</v>
          </cell>
          <cell r="F18" t="str">
            <v>OPERATING RATIO -&gt;</v>
          </cell>
          <cell r="H18">
            <v>90.613441932170218</v>
          </cell>
          <cell r="I18" t="str">
            <v>!!!&lt;--</v>
          </cell>
        </row>
        <row r="19">
          <cell r="C19" t="str">
            <v>-</v>
          </cell>
          <cell r="D19" t="str">
            <v>-</v>
          </cell>
          <cell r="H19" t="str">
            <v>=</v>
          </cell>
        </row>
        <row r="20">
          <cell r="B20" t="str">
            <v>*</v>
          </cell>
          <cell r="C20" t="str">
            <v xml:space="preserve">Actual Debt Ratio </v>
          </cell>
          <cell r="D20" t="str">
            <v>input&gt;</v>
          </cell>
          <cell r="E20">
            <v>0.43</v>
          </cell>
          <cell r="F20" t="str">
            <v xml:space="preserve"> Conversion factor data:</v>
          </cell>
        </row>
        <row r="21">
          <cell r="B21" t="str">
            <v>*</v>
          </cell>
          <cell r="C21" t="str">
            <v>Actual Equity Ratio</v>
          </cell>
          <cell r="D21" t="str">
            <v>input&gt;</v>
          </cell>
          <cell r="E21">
            <v>0.57000000000000006</v>
          </cell>
          <cell r="F21" t="str">
            <v xml:space="preserve"> B &amp; O Tax</v>
          </cell>
          <cell r="G21" t="str">
            <v>input&gt;</v>
          </cell>
          <cell r="H21">
            <v>1.4999999999999999E-2</v>
          </cell>
          <cell r="I21" t="str">
            <v>*</v>
          </cell>
        </row>
        <row r="22">
          <cell r="B22" t="str">
            <v>*</v>
          </cell>
          <cell r="C22" t="str">
            <v>Actual Cost of Debt</v>
          </cell>
          <cell r="D22" t="str">
            <v>input&gt;</v>
          </cell>
          <cell r="E22">
            <v>6.6750000000000004E-2</v>
          </cell>
          <cell r="F22" t="str">
            <v xml:space="preserve"> WUTC Fee</v>
          </cell>
          <cell r="G22" t="str">
            <v>input&gt;</v>
          </cell>
          <cell r="H22">
            <v>4.0000000000000001E-3</v>
          </cell>
          <cell r="I22" t="str">
            <v>*</v>
          </cell>
        </row>
        <row r="23">
          <cell r="F23" t="str">
            <v xml:space="preserve"> City Tax</v>
          </cell>
          <cell r="G23" t="str">
            <v>input&gt;</v>
          </cell>
          <cell r="H23">
            <v>0</v>
          </cell>
          <cell r="I23" t="str">
            <v>*</v>
          </cell>
        </row>
        <row r="24">
          <cell r="B24" t="str">
            <v>*</v>
          </cell>
          <cell r="C24" t="str">
            <v>Tax Rate</v>
          </cell>
          <cell r="D24" t="str">
            <v>input&gt;</v>
          </cell>
          <cell r="E24">
            <v>0.35</v>
          </cell>
          <cell r="F24" t="str">
            <v xml:space="preserve"> Bad Debts</v>
          </cell>
          <cell r="G24" t="str">
            <v>input&gt;</v>
          </cell>
          <cell r="H24">
            <v>9.8628490858839526E-3</v>
          </cell>
          <cell r="I24" t="str">
            <v>*</v>
          </cell>
        </row>
        <row r="25">
          <cell r="H25" t="str">
            <v>-</v>
          </cell>
        </row>
        <row r="26">
          <cell r="F26" t="str">
            <v>Revenue Sensitive</v>
          </cell>
          <cell r="H26">
            <v>2.8862849085883952E-2</v>
          </cell>
        </row>
      </sheetData>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 (WMofWA)"/>
      <sheetName val="Balance Sheet (WMofWA)"/>
      <sheetName val="Rev. Sum. - Confidential"/>
      <sheetName val="WTB-Confidential"/>
      <sheetName val="Priceout (Staff Method)"/>
      <sheetName val="Priceout (Company Method)"/>
      <sheetName val="Monthly IS"/>
      <sheetName val="Lurito - Garbage"/>
      <sheetName val="Lurito - Recycling (MF)"/>
      <sheetName val="Lurito - Recycling"/>
      <sheetName val="Lurito - YW"/>
      <sheetName val="Total Lurito"/>
      <sheetName val="Lurito-Garbage"/>
      <sheetName val="Lurito-Recycling"/>
      <sheetName val="Lurito-YW"/>
      <sheetName val="Priceout (Proposed)"/>
      <sheetName val="PC 160 - Confidential"/>
      <sheetName val="PC 220"/>
      <sheetName val="PC 230"/>
      <sheetName val="Processing Fees"/>
      <sheetName val="PC 260-Confidential"/>
      <sheetName val="YW Processing Fees"/>
      <sheetName val="WUTC Customer Counts"/>
      <sheetName val="PR Register-Confidential"/>
      <sheetName val="Wage Scale-Confidential"/>
      <sheetName val="PR Detail - Confidential"/>
      <sheetName val="Earn Codes"/>
      <sheetName val="Fuel"/>
      <sheetName val="Legal Fees"/>
      <sheetName val="Facility Costs"/>
      <sheetName val="Sno-King Com'l Recycling"/>
      <sheetName val="City Contract MF Recycling"/>
      <sheetName val="UTC MF Recycling"/>
      <sheetName val="DEPN Summary"/>
      <sheetName val="DEPN"/>
      <sheetName val="Fixed Asset Summary"/>
      <sheetName val="Fixed Asset Detail"/>
      <sheetName val="Balance Sheet"/>
      <sheetName val="Summary (Cart &amp; Containers)"/>
      <sheetName val="OH Analysis"/>
      <sheetName val="Corp. Office OH"/>
      <sheetName val="2008 Group Office TB"/>
      <sheetName val="MA Office OH"/>
      <sheetName val="MA Stats"/>
      <sheetName val="Bothell"/>
      <sheetName val="Woodinville"/>
      <sheetName val="Seattle"/>
      <sheetName val="South Sound"/>
      <sheetName val="Skagit"/>
      <sheetName val="Brem-Air"/>
      <sheetName val="Hours &amp; Services"/>
      <sheetName val="Operating Cost"/>
      <sheetName val="Head Count"/>
      <sheetName val="Summary MA Headcount"/>
      <sheetName val="MA Headcount"/>
      <sheetName val="Headcount"/>
      <sheetName val="WM Sandpoint"/>
      <sheetName val="WM Brem-Air"/>
      <sheetName val="WM Wenatchee"/>
      <sheetName val="WM Ellensburg"/>
      <sheetName val="WM Klamath Falls"/>
      <sheetName val="WM Coeur d'Alene"/>
      <sheetName val="WM Kennewick"/>
      <sheetName val="WM Skagit"/>
      <sheetName val="WM Spokane"/>
      <sheetName val="WM Oregon"/>
      <sheetName val="WM South Sound"/>
      <sheetName val="WM Northwest"/>
      <sheetName val="WM Sno-King"/>
      <sheetName val="WM Seattle"/>
      <sheetName val="2008 West Group IS"/>
      <sheetName val="2008 Group Office IS"/>
      <sheetName val="500500"/>
      <sheetName val="AP-500500"/>
      <sheetName val="500800"/>
      <sheetName val="509000"/>
      <sheetName val="AP-509500"/>
      <sheetName val="509500"/>
      <sheetName val="531200"/>
      <sheetName val="Income Statement (Tonnage)"/>
      <sheetName val="DEPN (CRC)"/>
      <sheetName val="Fixed Assets - Update"/>
      <sheetName val="Fixed Assets"/>
      <sheetName val="Lurito - CRC"/>
      <sheetName val="Lurito"/>
      <sheetName val="unprocessed SS"/>
      <sheetName val="Tonnage"/>
      <sheetName val="Outbound Tons"/>
      <sheetName val="Inbound Tons"/>
      <sheetName val="Labor"/>
      <sheetName val="CDL Pricing"/>
      <sheetName val="CRC Commodity Prices"/>
      <sheetName val="Commodity Mix"/>
      <sheetName val="502500"/>
      <sheetName val="Summary (Disposal)"/>
      <sheetName val="Com'l FL"/>
      <sheetName val="Res'l RL"/>
      <sheetName val="Roll Off"/>
      <sheetName val="Res'l YW"/>
      <sheetName val="Res'l Rec."/>
      <sheetName val="Com'l Rec."/>
      <sheetName val="Summary (Route)"/>
      <sheetName val="Haul Summary"/>
      <sheetName val="Customer Counts"/>
      <sheetName val="Com'l FL-2009"/>
      <sheetName val="Res'l RL (Route)"/>
      <sheetName val="Res'l YW (Route)"/>
      <sheetName val="Res'l Rec. (Route)"/>
      <sheetName val="Roll Off (Route)"/>
      <sheetName val="Com'l Rec. (Route)"/>
      <sheetName val="Hauls Only"/>
      <sheetName val="Container Shop (Arrows)"/>
      <sheetName val="Summary (Bad Debt)"/>
      <sheetName val="115000-115030 2008"/>
      <sheetName val="115000-115030 2007"/>
      <sheetName val="115000-115030 2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21"/>
  <sheetViews>
    <sheetView showFormulas="1" tabSelected="1" zoomScaleNormal="100" workbookViewId="0"/>
  </sheetViews>
  <sheetFormatPr defaultRowHeight="15"/>
  <cols>
    <col min="8" max="8" width="12.21875" customWidth="1"/>
  </cols>
  <sheetData>
    <row r="1" spans="1:8" ht="15.75">
      <c r="D1" s="2"/>
    </row>
    <row r="2" spans="1:8" ht="15.75">
      <c r="C2" s="2"/>
    </row>
    <row r="3" spans="1:8" ht="15.75">
      <c r="C3" s="2"/>
    </row>
    <row r="4" spans="1:8" ht="15.75">
      <c r="C4" s="2"/>
    </row>
    <row r="5" spans="1:8" ht="15.75">
      <c r="C5" s="2"/>
    </row>
    <row r="6" spans="1:8" ht="15.75">
      <c r="C6" s="2"/>
    </row>
    <row r="7" spans="1:8" ht="15.75">
      <c r="C7" s="2"/>
    </row>
    <row r="8" spans="1:8" ht="15.75">
      <c r="C8" s="2"/>
    </row>
    <row r="9" spans="1:8" ht="15.75">
      <c r="C9" s="2"/>
    </row>
    <row r="10" spans="1:8" ht="15.75">
      <c r="C10" s="2"/>
    </row>
    <row r="11" spans="1:8" ht="15.75">
      <c r="C11" s="2"/>
    </row>
    <row r="12" spans="1:8" ht="15.75">
      <c r="C12" s="2"/>
    </row>
    <row r="13" spans="1:8" ht="15.75">
      <c r="C13" s="2"/>
    </row>
    <row r="14" spans="1:8" ht="15.75">
      <c r="C14" s="2"/>
    </row>
    <row r="15" spans="1:8" ht="15" customHeight="1">
      <c r="A15" s="1275" t="s">
        <v>9</v>
      </c>
      <c r="B15" s="1275"/>
      <c r="C15" s="1275"/>
      <c r="D15" s="1275"/>
      <c r="E15" s="1275"/>
      <c r="F15" s="1275"/>
      <c r="G15" s="1275"/>
      <c r="H15" s="1275"/>
    </row>
    <row r="16" spans="1:8" ht="16.5">
      <c r="C16" s="106"/>
    </row>
    <row r="17" spans="1:18" ht="15" customHeight="1">
      <c r="A17" s="1275" t="s">
        <v>1159</v>
      </c>
      <c r="B17" s="1275"/>
      <c r="C17" s="1275"/>
      <c r="D17" s="1275"/>
      <c r="E17" s="1275"/>
      <c r="F17" s="1275"/>
      <c r="G17" s="1275"/>
      <c r="H17" s="1275"/>
    </row>
    <row r="18" spans="1:18" ht="15" customHeight="1">
      <c r="A18" s="1275" t="s">
        <v>211</v>
      </c>
      <c r="B18" s="1275"/>
      <c r="C18" s="1275"/>
      <c r="D18" s="1275"/>
      <c r="E18" s="1275"/>
      <c r="F18" s="1275"/>
      <c r="G18" s="1275"/>
      <c r="H18" s="1275"/>
    </row>
    <row r="19" spans="1:18" ht="16.5">
      <c r="C19" s="106"/>
    </row>
    <row r="20" spans="1:18" ht="15.75">
      <c r="A20" s="1276" t="s">
        <v>1255</v>
      </c>
      <c r="B20" s="1276"/>
      <c r="C20" s="1276"/>
      <c r="D20" s="1276"/>
      <c r="E20" s="1276"/>
      <c r="F20" s="1276"/>
      <c r="G20" s="1276"/>
      <c r="H20" s="1276"/>
      <c r="I20" s="110"/>
      <c r="J20" s="110"/>
      <c r="K20" s="110"/>
      <c r="L20" s="110"/>
      <c r="M20" s="110"/>
      <c r="N20" s="110"/>
      <c r="O20" s="110"/>
      <c r="P20" s="110"/>
      <c r="Q20" s="110"/>
      <c r="R20" s="110"/>
    </row>
    <row r="21" spans="1:18">
      <c r="A21" t="s">
        <v>849</v>
      </c>
    </row>
  </sheetData>
  <mergeCells count="4">
    <mergeCell ref="A15:H15"/>
    <mergeCell ref="A17:H17"/>
    <mergeCell ref="A18:H18"/>
    <mergeCell ref="A20:H20"/>
  </mergeCells>
  <printOptions horizontalCentered="1"/>
  <pageMargins left="0.7" right="0.7" top="0.75" bottom="0.75" header="0.3" footer="0.3"/>
  <pageSetup scale="5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03"/>
  <sheetViews>
    <sheetView zoomScaleNormal="100" workbookViewId="0">
      <selection sqref="A1:H1"/>
    </sheetView>
  </sheetViews>
  <sheetFormatPr defaultColWidth="8" defaultRowHeight="15.75"/>
  <cols>
    <col min="1" max="1" width="27.6640625" style="384" customWidth="1"/>
    <col min="2" max="2" width="9.33203125" style="384" customWidth="1"/>
    <col min="3" max="3" width="2.77734375" style="385" customWidth="1"/>
    <col min="4" max="4" width="7.77734375" style="384" customWidth="1"/>
    <col min="5" max="5" width="2.77734375" style="385" customWidth="1"/>
    <col min="6" max="6" width="7.77734375" style="384" customWidth="1"/>
    <col min="7" max="7" width="2.77734375" style="385" customWidth="1"/>
    <col min="8" max="8" width="9.33203125" style="384" customWidth="1"/>
    <col min="9" max="9" width="4.109375" style="382" customWidth="1"/>
    <col min="10" max="16384" width="8" style="382"/>
  </cols>
  <sheetData>
    <row r="1" spans="1:10" s="418" customFormat="1" ht="16.5" customHeight="1">
      <c r="A1" s="1308" t="str">
        <f>+'Sch 3 - Reclass Exp'!A1:I1</f>
        <v>WASTE CONTROL, INC.</v>
      </c>
      <c r="B1" s="1309"/>
      <c r="C1" s="1309"/>
      <c r="D1" s="1309"/>
      <c r="E1" s="1309"/>
      <c r="F1" s="1309"/>
      <c r="G1" s="1309"/>
      <c r="H1" s="1309"/>
      <c r="I1" s="388" t="s">
        <v>696</v>
      </c>
      <c r="J1" s="389" t="s">
        <v>1085</v>
      </c>
    </row>
    <row r="2" spans="1:10" s="418" customFormat="1" ht="13.5" customHeight="1">
      <c r="A2" s="1309"/>
      <c r="B2" s="1309"/>
      <c r="C2" s="1309"/>
      <c r="D2" s="1309"/>
      <c r="E2" s="1309"/>
      <c r="F2" s="1309"/>
      <c r="G2" s="1309"/>
      <c r="H2" s="1309"/>
      <c r="I2" s="388" t="s">
        <v>697</v>
      </c>
      <c r="J2" s="389" t="s">
        <v>708</v>
      </c>
    </row>
    <row r="3" spans="1:10" s="418" customFormat="1" ht="16.5">
      <c r="A3" s="1309" t="s">
        <v>362</v>
      </c>
      <c r="B3" s="1309"/>
      <c r="C3" s="1309"/>
      <c r="D3" s="1309"/>
      <c r="E3" s="1309"/>
      <c r="F3" s="1309"/>
      <c r="G3" s="1309"/>
      <c r="H3" s="1309"/>
      <c r="I3" s="388" t="s">
        <v>698</v>
      </c>
      <c r="J3" s="389" t="s">
        <v>1086</v>
      </c>
    </row>
    <row r="4" spans="1:10" s="418" customFormat="1" ht="15.75" customHeight="1">
      <c r="A4" s="419"/>
      <c r="B4" s="410"/>
      <c r="C4" s="420"/>
      <c r="D4" s="410"/>
      <c r="E4" s="420"/>
      <c r="F4" s="419"/>
      <c r="G4" s="420"/>
      <c r="H4" s="419"/>
      <c r="I4" s="388" t="s">
        <v>699</v>
      </c>
      <c r="J4" s="389" t="s">
        <v>700</v>
      </c>
    </row>
    <row r="5" spans="1:10" s="418" customFormat="1" ht="15.75" customHeight="1">
      <c r="A5" s="1310" t="str">
        <f>'Fly Sheet'!$A$20</f>
        <v>For the Twelve Months Ended March 31, 2018 Historical and September 30, 2019 Forecasted</v>
      </c>
      <c r="B5" s="1311"/>
      <c r="C5" s="1311"/>
      <c r="D5" s="1311"/>
      <c r="E5" s="1311"/>
      <c r="F5" s="1311"/>
      <c r="G5" s="1311"/>
      <c r="H5" s="1311"/>
    </row>
    <row r="6" spans="1:10" s="418" customFormat="1" ht="15.75" customHeight="1">
      <c r="A6" s="1310"/>
      <c r="B6" s="1311"/>
      <c r="C6" s="1311"/>
      <c r="D6" s="1311"/>
      <c r="E6" s="1311"/>
      <c r="F6" s="1311"/>
      <c r="G6" s="1311"/>
      <c r="H6" s="1311"/>
    </row>
    <row r="7" spans="1:10" s="418" customFormat="1" ht="15.75" customHeight="1">
      <c r="A7" s="382"/>
      <c r="B7" s="411"/>
      <c r="C7" s="421"/>
      <c r="D7" s="411"/>
      <c r="E7" s="421"/>
      <c r="F7" s="422"/>
      <c r="G7" s="421"/>
      <c r="H7" s="422"/>
    </row>
    <row r="8" spans="1:10" s="424" customFormat="1" ht="14.1" customHeight="1">
      <c r="A8" s="423"/>
      <c r="B8" s="647" t="s">
        <v>129</v>
      </c>
      <c r="C8" s="648"/>
      <c r="D8" s="647" t="s">
        <v>130</v>
      </c>
      <c r="E8" s="648"/>
      <c r="F8" s="647" t="s">
        <v>131</v>
      </c>
      <c r="G8" s="648"/>
      <c r="H8" s="647" t="s">
        <v>5</v>
      </c>
    </row>
    <row r="9" spans="1:10" s="426" customFormat="1" ht="12.95" customHeight="1">
      <c r="A9" s="425"/>
      <c r="B9" s="649" t="s">
        <v>1250</v>
      </c>
      <c r="C9" s="650"/>
      <c r="D9" s="711"/>
      <c r="E9" s="712"/>
      <c r="F9" s="649" t="s">
        <v>91</v>
      </c>
      <c r="G9" s="650"/>
      <c r="H9" s="649" t="s">
        <v>0</v>
      </c>
    </row>
    <row r="10" spans="1:10" s="426" customFormat="1" ht="12.95" customHeight="1">
      <c r="A10" s="425"/>
      <c r="B10" s="649" t="s">
        <v>1251</v>
      </c>
      <c r="C10" s="650"/>
      <c r="D10" s="649" t="s">
        <v>91</v>
      </c>
      <c r="E10" s="650"/>
      <c r="F10" s="649" t="s">
        <v>132</v>
      </c>
      <c r="G10" s="650"/>
      <c r="H10" s="649" t="s">
        <v>91</v>
      </c>
    </row>
    <row r="11" spans="1:10" s="426" customFormat="1" ht="12.95" customHeight="1">
      <c r="A11" s="425"/>
      <c r="B11" s="651" t="s">
        <v>665</v>
      </c>
      <c r="C11" s="652"/>
      <c r="D11" s="651" t="s">
        <v>8</v>
      </c>
      <c r="E11" s="650"/>
      <c r="F11" s="651" t="s">
        <v>133</v>
      </c>
      <c r="G11" s="650"/>
      <c r="H11" s="651" t="s">
        <v>71</v>
      </c>
    </row>
    <row r="12" spans="1:10">
      <c r="A12" s="402" t="str">
        <f>+'Sch 1, pg 2 - Restated'!A12</f>
        <v>REVENUES</v>
      </c>
      <c r="B12" s="392"/>
      <c r="C12" s="403"/>
      <c r="D12" s="392"/>
      <c r="E12" s="403"/>
      <c r="F12" s="392"/>
      <c r="G12" s="403"/>
      <c r="H12" s="392"/>
    </row>
    <row r="13" spans="1:10" ht="15" customHeight="1">
      <c r="A13" s="406" t="s">
        <v>74</v>
      </c>
      <c r="B13" s="635">
        <f>+'Sch 3 - Reclass Exp'!G10</f>
        <v>186771.85596549403</v>
      </c>
      <c r="C13" s="653"/>
      <c r="D13" s="637">
        <v>0</v>
      </c>
      <c r="E13" s="653"/>
      <c r="F13" s="635">
        <v>0</v>
      </c>
      <c r="G13" s="653"/>
      <c r="H13" s="635">
        <f>SUM(B13:F13)</f>
        <v>186771.85596549403</v>
      </c>
    </row>
    <row r="14" spans="1:10" ht="15" customHeight="1">
      <c r="A14" s="406" t="s">
        <v>75</v>
      </c>
      <c r="B14" s="637">
        <f>+'Sch 3 - Reclass Exp'!G11</f>
        <v>111082.45403450594</v>
      </c>
      <c r="C14" s="636"/>
      <c r="D14" s="637">
        <v>0</v>
      </c>
      <c r="E14" s="636"/>
      <c r="F14" s="637">
        <v>0</v>
      </c>
      <c r="G14" s="636"/>
      <c r="H14" s="637">
        <f t="shared" ref="H14:H20" si="0">SUM(B14:F14)</f>
        <v>111082.45403450594</v>
      </c>
    </row>
    <row r="15" spans="1:10" ht="15" customHeight="1">
      <c r="A15" s="406" t="s">
        <v>7</v>
      </c>
      <c r="B15" s="637">
        <v>0</v>
      </c>
      <c r="C15" s="636"/>
      <c r="D15" s="637">
        <v>0</v>
      </c>
      <c r="E15" s="636"/>
      <c r="F15" s="637">
        <f>-'Sch 4 - 12 Months'!Q40*'WP-7 - Cust Counts (x per wk)'!B131</f>
        <v>0</v>
      </c>
      <c r="G15" s="636"/>
      <c r="H15" s="637">
        <f>SUM(B15:F15)</f>
        <v>0</v>
      </c>
    </row>
    <row r="16" spans="1:10" ht="15" customHeight="1">
      <c r="A16" s="406" t="s">
        <v>440</v>
      </c>
      <c r="B16" s="637">
        <v>0</v>
      </c>
      <c r="C16" s="636"/>
      <c r="D16" s="637">
        <v>0</v>
      </c>
      <c r="E16" s="636"/>
      <c r="F16" s="637">
        <v>0</v>
      </c>
      <c r="G16" s="636"/>
      <c r="H16" s="637">
        <f t="shared" si="0"/>
        <v>0</v>
      </c>
    </row>
    <row r="17" spans="1:10" ht="15" customHeight="1">
      <c r="A17" s="406" t="s">
        <v>22</v>
      </c>
      <c r="B17" s="637">
        <v>0</v>
      </c>
      <c r="C17" s="636"/>
      <c r="D17" s="637">
        <v>0</v>
      </c>
      <c r="E17" s="636"/>
      <c r="F17" s="637">
        <v>0</v>
      </c>
      <c r="G17" s="636"/>
      <c r="H17" s="637">
        <f t="shared" si="0"/>
        <v>0</v>
      </c>
    </row>
    <row r="18" spans="1:10" ht="15" customHeight="1">
      <c r="A18" s="406" t="s">
        <v>77</v>
      </c>
      <c r="B18" s="637">
        <v>0</v>
      </c>
      <c r="C18" s="409"/>
      <c r="D18" s="637">
        <v>0</v>
      </c>
      <c r="E18" s="636"/>
      <c r="F18" s="407">
        <f>-F15</f>
        <v>0</v>
      </c>
      <c r="G18" s="409"/>
      <c r="H18" s="637">
        <f t="shared" si="0"/>
        <v>0</v>
      </c>
    </row>
    <row r="19" spans="1:10" ht="15" customHeight="1">
      <c r="A19" s="406" t="s">
        <v>96</v>
      </c>
      <c r="B19" s="637">
        <f>+'Sch 3 - Reclass Exp'!G12</f>
        <v>-297854.31</v>
      </c>
      <c r="C19" s="409"/>
      <c r="D19" s="637">
        <v>0</v>
      </c>
      <c r="E19" s="636"/>
      <c r="F19" s="407">
        <v>0</v>
      </c>
      <c r="G19" s="409"/>
      <c r="H19" s="637">
        <f t="shared" si="0"/>
        <v>-297854.31</v>
      </c>
    </row>
    <row r="20" spans="1:10" ht="15" customHeight="1">
      <c r="A20" s="406" t="s">
        <v>78</v>
      </c>
      <c r="B20" s="654">
        <v>0</v>
      </c>
      <c r="C20" s="409"/>
      <c r="D20" s="637">
        <v>0</v>
      </c>
      <c r="E20" s="636"/>
      <c r="F20" s="638">
        <v>0</v>
      </c>
      <c r="G20" s="636"/>
      <c r="H20" s="654">
        <f t="shared" si="0"/>
        <v>0</v>
      </c>
    </row>
    <row r="21" spans="1:10" ht="15" customHeight="1">
      <c r="A21" s="404"/>
      <c r="B21" s="638">
        <f>SUM(B13:B20)</f>
        <v>-5.8207660913467407E-11</v>
      </c>
      <c r="C21" s="636"/>
      <c r="D21" s="713">
        <f>SUM(D13:D20)</f>
        <v>0</v>
      </c>
      <c r="E21" s="636"/>
      <c r="F21" s="638">
        <f>SUM(F13:F20)</f>
        <v>0</v>
      </c>
      <c r="G21" s="636"/>
      <c r="H21" s="638">
        <f>SUM(H13:H20)</f>
        <v>-5.8207660913467407E-11</v>
      </c>
    </row>
    <row r="22" spans="1:10" ht="15" customHeight="1">
      <c r="A22" s="404"/>
      <c r="B22" s="636"/>
      <c r="C22" s="636"/>
      <c r="D22" s="636"/>
      <c r="E22" s="636"/>
      <c r="F22" s="636"/>
      <c r="G22" s="636"/>
      <c r="H22" s="636"/>
    </row>
    <row r="23" spans="1:10" ht="15" customHeight="1">
      <c r="A23" s="408" t="str">
        <f>+'Sch 1, pg 2 - Restated'!A23</f>
        <v>OPERATING EXPENSES</v>
      </c>
      <c r="B23" s="637"/>
      <c r="C23" s="636"/>
      <c r="D23" s="637"/>
      <c r="E23" s="636"/>
      <c r="F23" s="637"/>
      <c r="G23" s="636"/>
      <c r="H23" s="637"/>
    </row>
    <row r="24" spans="1:10" ht="15" customHeight="1">
      <c r="A24" s="406" t="s">
        <v>13</v>
      </c>
      <c r="B24" s="637">
        <v>0</v>
      </c>
      <c r="C24" s="636"/>
      <c r="D24" s="637">
        <f>+'WP-2 - Labor Analysis'!AB29</f>
        <v>-186641.57999999996</v>
      </c>
      <c r="E24" s="636" t="s">
        <v>668</v>
      </c>
      <c r="F24" s="637">
        <v>0</v>
      </c>
      <c r="G24" s="636"/>
      <c r="H24" s="637">
        <f t="shared" ref="H24:H88" si="1">SUM(B24:F24)</f>
        <v>-186641.57999999996</v>
      </c>
    </row>
    <row r="25" spans="1:10" ht="15" customHeight="1">
      <c r="A25" s="406" t="s">
        <v>14</v>
      </c>
      <c r="B25" s="637">
        <v>0</v>
      </c>
      <c r="C25" s="636"/>
      <c r="D25" s="637">
        <f>+'WP-2 - Labor Analysis'!AB33</f>
        <v>155322.54999999999</v>
      </c>
      <c r="E25" s="636" t="s">
        <v>668</v>
      </c>
      <c r="F25" s="637">
        <v>0</v>
      </c>
      <c r="G25" s="636"/>
      <c r="H25" s="637">
        <f t="shared" si="1"/>
        <v>155322.54999999999</v>
      </c>
    </row>
    <row r="26" spans="1:10" ht="15" customHeight="1">
      <c r="A26" s="406" t="s">
        <v>15</v>
      </c>
      <c r="B26" s="637">
        <v>0</v>
      </c>
      <c r="C26" s="636"/>
      <c r="D26" s="637">
        <f>+'WP-2 - Labor Analysis'!AB53</f>
        <v>-24769.070000000007</v>
      </c>
      <c r="E26" s="636" t="s">
        <v>668</v>
      </c>
      <c r="F26" s="637">
        <v>0</v>
      </c>
      <c r="G26" s="636"/>
      <c r="H26" s="637">
        <f t="shared" si="1"/>
        <v>-24769.070000000007</v>
      </c>
      <c r="J26" s="427"/>
    </row>
    <row r="27" spans="1:10" ht="15" customHeight="1">
      <c r="A27" s="406" t="s">
        <v>16</v>
      </c>
      <c r="B27" s="637">
        <v>0</v>
      </c>
      <c r="C27" s="636"/>
      <c r="D27" s="637">
        <f>+'WP-2 - Labor Analysis'!AB11</f>
        <v>78575.350000000006</v>
      </c>
      <c r="E27" s="636" t="s">
        <v>668</v>
      </c>
      <c r="F27" s="637">
        <v>0</v>
      </c>
      <c r="G27" s="636"/>
      <c r="H27" s="637">
        <f t="shared" si="1"/>
        <v>78575.350000000006</v>
      </c>
    </row>
    <row r="28" spans="1:10" ht="15" customHeight="1">
      <c r="A28" s="406" t="s">
        <v>118</v>
      </c>
      <c r="B28" s="637">
        <v>0</v>
      </c>
      <c r="C28" s="636"/>
      <c r="D28" s="637">
        <f>+'WP-2 - Labor Analysis'!AB44</f>
        <v>49830.86</v>
      </c>
      <c r="E28" s="636" t="s">
        <v>668</v>
      </c>
      <c r="F28" s="637">
        <v>0</v>
      </c>
      <c r="G28" s="636"/>
      <c r="H28" s="637">
        <f t="shared" si="1"/>
        <v>49830.86</v>
      </c>
    </row>
    <row r="29" spans="1:10" ht="15" customHeight="1">
      <c r="A29" s="406" t="s">
        <v>17</v>
      </c>
      <c r="B29" s="637">
        <v>0</v>
      </c>
      <c r="C29" s="636"/>
      <c r="D29" s="637">
        <v>0</v>
      </c>
      <c r="E29" s="636"/>
      <c r="F29" s="637">
        <v>0</v>
      </c>
      <c r="G29" s="636"/>
      <c r="H29" s="637">
        <f t="shared" si="1"/>
        <v>0</v>
      </c>
    </row>
    <row r="30" spans="1:10" ht="15" customHeight="1">
      <c r="A30" s="406" t="s">
        <v>409</v>
      </c>
      <c r="B30" s="637">
        <v>0</v>
      </c>
      <c r="C30" s="636"/>
      <c r="D30" s="637">
        <v>0</v>
      </c>
      <c r="E30" s="636"/>
      <c r="F30" s="637">
        <v>0</v>
      </c>
      <c r="G30" s="636"/>
      <c r="H30" s="637">
        <f t="shared" si="1"/>
        <v>0</v>
      </c>
    </row>
    <row r="31" spans="1:10" ht="15" customHeight="1">
      <c r="A31" s="406" t="s">
        <v>18</v>
      </c>
      <c r="B31" s="637">
        <v>0</v>
      </c>
      <c r="C31" s="636"/>
      <c r="D31" s="637">
        <v>0</v>
      </c>
      <c r="E31" s="636"/>
      <c r="F31" s="637">
        <v>0</v>
      </c>
      <c r="G31" s="636"/>
      <c r="H31" s="637">
        <f t="shared" si="1"/>
        <v>0</v>
      </c>
    </row>
    <row r="32" spans="1:10" ht="15" customHeight="1">
      <c r="A32" s="406" t="s">
        <v>662</v>
      </c>
      <c r="B32" s="637">
        <v>0</v>
      </c>
      <c r="C32" s="636"/>
      <c r="D32" s="637">
        <v>0</v>
      </c>
      <c r="E32" s="636"/>
      <c r="F32" s="637">
        <v>0</v>
      </c>
      <c r="G32" s="636"/>
      <c r="H32" s="637">
        <f t="shared" si="1"/>
        <v>0</v>
      </c>
    </row>
    <row r="33" spans="1:8" ht="15" customHeight="1">
      <c r="A33" s="406" t="s">
        <v>25</v>
      </c>
      <c r="B33" s="637">
        <v>0</v>
      </c>
      <c r="C33" s="636"/>
      <c r="D33" s="637">
        <v>0</v>
      </c>
      <c r="E33" s="636"/>
      <c r="F33" s="637">
        <v>0</v>
      </c>
      <c r="G33" s="636"/>
      <c r="H33" s="637">
        <f t="shared" si="1"/>
        <v>0</v>
      </c>
    </row>
    <row r="34" spans="1:8" ht="15" customHeight="1">
      <c r="A34" s="406" t="s">
        <v>156</v>
      </c>
      <c r="B34" s="637">
        <v>0</v>
      </c>
      <c r="C34" s="636"/>
      <c r="D34" s="637">
        <v>0</v>
      </c>
      <c r="E34" s="636"/>
      <c r="F34" s="637"/>
      <c r="G34" s="636"/>
      <c r="H34" s="637">
        <f t="shared" si="1"/>
        <v>0</v>
      </c>
    </row>
    <row r="35" spans="1:8" ht="15" customHeight="1">
      <c r="A35" s="406" t="s">
        <v>20</v>
      </c>
      <c r="B35" s="637">
        <v>0</v>
      </c>
      <c r="C35" s="636"/>
      <c r="D35" s="637">
        <v>0</v>
      </c>
      <c r="E35" s="636"/>
      <c r="F35" s="637">
        <v>0</v>
      </c>
      <c r="G35" s="636"/>
      <c r="H35" s="637">
        <f t="shared" si="1"/>
        <v>0</v>
      </c>
    </row>
    <row r="36" spans="1:8" ht="15" customHeight="1">
      <c r="A36" s="406" t="s">
        <v>21</v>
      </c>
      <c r="B36" s="637">
        <v>0</v>
      </c>
      <c r="C36" s="636"/>
      <c r="D36" s="637">
        <v>0</v>
      </c>
      <c r="E36" s="636"/>
      <c r="F36" s="637">
        <v>0</v>
      </c>
      <c r="G36" s="636"/>
      <c r="H36" s="637">
        <f t="shared" si="1"/>
        <v>0</v>
      </c>
    </row>
    <row r="37" spans="1:8" ht="15" customHeight="1">
      <c r="A37" s="406" t="s">
        <v>22</v>
      </c>
      <c r="B37" s="637">
        <v>0</v>
      </c>
      <c r="C37" s="636"/>
      <c r="D37" s="637">
        <v>0</v>
      </c>
      <c r="E37" s="636"/>
      <c r="F37" s="637">
        <v>0</v>
      </c>
      <c r="G37" s="636"/>
      <c r="H37" s="637">
        <f t="shared" si="1"/>
        <v>0</v>
      </c>
    </row>
    <row r="38" spans="1:8" ht="15" customHeight="1">
      <c r="A38" s="406" t="s">
        <v>372</v>
      </c>
      <c r="B38" s="637">
        <v>0</v>
      </c>
      <c r="C38" s="636"/>
      <c r="D38" s="637">
        <v>0</v>
      </c>
      <c r="E38" s="636"/>
      <c r="F38" s="637">
        <f>-F39</f>
        <v>0</v>
      </c>
      <c r="G38" s="636"/>
      <c r="H38" s="637">
        <f t="shared" si="1"/>
        <v>0</v>
      </c>
    </row>
    <row r="39" spans="1:8" ht="15" customHeight="1">
      <c r="A39" s="406" t="s">
        <v>134</v>
      </c>
      <c r="B39" s="637">
        <v>0</v>
      </c>
      <c r="C39" s="655"/>
      <c r="D39" s="637">
        <v>0</v>
      </c>
      <c r="E39" s="636"/>
      <c r="F39" s="637">
        <f>-'Sch 4 - 12 Months'!O38</f>
        <v>0</v>
      </c>
      <c r="G39" s="636"/>
      <c r="H39" s="637">
        <f t="shared" si="1"/>
        <v>0</v>
      </c>
    </row>
    <row r="40" spans="1:8" ht="15" customHeight="1">
      <c r="A40" s="406" t="s">
        <v>135</v>
      </c>
      <c r="B40" s="637">
        <v>0</v>
      </c>
      <c r="C40" s="636"/>
      <c r="D40" s="637">
        <v>0</v>
      </c>
      <c r="E40" s="636"/>
      <c r="F40" s="637">
        <f>-'Sch 4 - 12 Months'!O39</f>
        <v>-31735.3</v>
      </c>
      <c r="G40" s="636" t="s">
        <v>668</v>
      </c>
      <c r="H40" s="637">
        <f t="shared" si="1"/>
        <v>-31735.3</v>
      </c>
    </row>
    <row r="41" spans="1:8" ht="15" customHeight="1">
      <c r="A41" s="406" t="s">
        <v>104</v>
      </c>
      <c r="B41" s="637">
        <v>0</v>
      </c>
      <c r="C41" s="636"/>
      <c r="D41" s="637">
        <v>0</v>
      </c>
      <c r="E41" s="636"/>
      <c r="F41" s="637">
        <f>-F40</f>
        <v>31735.3</v>
      </c>
      <c r="G41" s="636" t="s">
        <v>668</v>
      </c>
      <c r="H41" s="637">
        <f t="shared" si="1"/>
        <v>31735.3</v>
      </c>
    </row>
    <row r="42" spans="1:8" ht="15" customHeight="1">
      <c r="A42" s="406" t="s">
        <v>635</v>
      </c>
      <c r="B42" s="637">
        <v>0</v>
      </c>
      <c r="C42" s="636"/>
      <c r="D42" s="637">
        <v>0</v>
      </c>
      <c r="E42" s="636"/>
      <c r="F42" s="637"/>
      <c r="G42" s="636"/>
      <c r="H42" s="637">
        <f t="shared" si="1"/>
        <v>0</v>
      </c>
    </row>
    <row r="43" spans="1:8" ht="15" customHeight="1">
      <c r="A43" s="406" t="s">
        <v>154</v>
      </c>
      <c r="B43" s="637">
        <v>0</v>
      </c>
      <c r="C43" s="636"/>
      <c r="D43" s="637">
        <v>0</v>
      </c>
      <c r="E43" s="636"/>
      <c r="F43" s="637">
        <v>0</v>
      </c>
      <c r="G43" s="636"/>
      <c r="H43" s="637">
        <f t="shared" si="1"/>
        <v>0</v>
      </c>
    </row>
    <row r="44" spans="1:8" ht="15" customHeight="1">
      <c r="A44" s="406" t="s">
        <v>23</v>
      </c>
      <c r="B44" s="637">
        <v>0</v>
      </c>
      <c r="C44" s="636"/>
      <c r="D44" s="637">
        <v>0</v>
      </c>
      <c r="E44" s="636"/>
      <c r="F44" s="637">
        <v>0</v>
      </c>
      <c r="G44" s="636"/>
      <c r="H44" s="637">
        <f t="shared" si="1"/>
        <v>0</v>
      </c>
    </row>
    <row r="45" spans="1:8" ht="15" customHeight="1">
      <c r="A45" s="406" t="s">
        <v>24</v>
      </c>
      <c r="B45" s="637">
        <v>0</v>
      </c>
      <c r="C45" s="636"/>
      <c r="D45" s="637">
        <f>+'WP-2 - Labor Analysis'!AB18</f>
        <v>-72043.729999999981</v>
      </c>
      <c r="E45" s="636" t="s">
        <v>668</v>
      </c>
      <c r="F45" s="637">
        <v>0</v>
      </c>
      <c r="G45" s="636"/>
      <c r="H45" s="637">
        <f t="shared" si="1"/>
        <v>-72043.729999999981</v>
      </c>
    </row>
    <row r="46" spans="1:8" ht="15" customHeight="1">
      <c r="A46" s="406" t="s">
        <v>26</v>
      </c>
      <c r="B46" s="637">
        <v>0</v>
      </c>
      <c r="C46" s="636"/>
      <c r="D46" s="637">
        <f>+'WP-2 - Labor Analysis'!AB12</f>
        <v>0</v>
      </c>
      <c r="E46" s="636"/>
      <c r="F46" s="637">
        <v>0</v>
      </c>
      <c r="G46" s="636"/>
      <c r="H46" s="637">
        <f t="shared" si="1"/>
        <v>0</v>
      </c>
    </row>
    <row r="47" spans="1:8" ht="15" customHeight="1">
      <c r="A47" s="406" t="s">
        <v>159</v>
      </c>
      <c r="B47" s="637">
        <v>0</v>
      </c>
      <c r="C47" s="636"/>
      <c r="D47" s="637">
        <v>0</v>
      </c>
      <c r="E47" s="636"/>
      <c r="F47" s="637">
        <v>0</v>
      </c>
      <c r="G47" s="636"/>
      <c r="H47" s="637">
        <f t="shared" si="1"/>
        <v>0</v>
      </c>
    </row>
    <row r="48" spans="1:8" ht="15" customHeight="1">
      <c r="A48" s="406" t="s">
        <v>27</v>
      </c>
      <c r="B48" s="637">
        <v>0</v>
      </c>
      <c r="C48" s="636"/>
      <c r="D48" s="637">
        <v>0</v>
      </c>
      <c r="E48" s="636"/>
      <c r="F48" s="637">
        <v>0</v>
      </c>
      <c r="G48" s="636"/>
      <c r="H48" s="637">
        <f t="shared" si="1"/>
        <v>0</v>
      </c>
    </row>
    <row r="49" spans="1:8" ht="15" customHeight="1">
      <c r="A49" s="406" t="s">
        <v>28</v>
      </c>
      <c r="B49" s="637">
        <v>0</v>
      </c>
      <c r="C49" s="636"/>
      <c r="D49" s="637">
        <v>0</v>
      </c>
      <c r="E49" s="636"/>
      <c r="F49" s="637">
        <v>0</v>
      </c>
      <c r="G49" s="636"/>
      <c r="H49" s="637">
        <f t="shared" si="1"/>
        <v>0</v>
      </c>
    </row>
    <row r="50" spans="1:8" ht="15" customHeight="1">
      <c r="A50" s="406" t="s">
        <v>29</v>
      </c>
      <c r="B50" s="637">
        <v>0</v>
      </c>
      <c r="C50" s="636"/>
      <c r="D50" s="637">
        <v>0</v>
      </c>
      <c r="E50" s="636"/>
      <c r="F50" s="637">
        <v>0</v>
      </c>
      <c r="G50" s="636"/>
      <c r="H50" s="637">
        <f t="shared" si="1"/>
        <v>0</v>
      </c>
    </row>
    <row r="51" spans="1:8" ht="15" customHeight="1">
      <c r="A51" s="406" t="s">
        <v>18</v>
      </c>
      <c r="B51" s="637">
        <v>0</v>
      </c>
      <c r="C51" s="636"/>
      <c r="D51" s="637">
        <v>0</v>
      </c>
      <c r="E51" s="636"/>
      <c r="F51" s="637">
        <v>0</v>
      </c>
      <c r="G51" s="636"/>
      <c r="H51" s="637">
        <f t="shared" si="1"/>
        <v>0</v>
      </c>
    </row>
    <row r="52" spans="1:8" ht="15" customHeight="1">
      <c r="A52" s="406" t="s">
        <v>30</v>
      </c>
      <c r="B52" s="637">
        <v>0</v>
      </c>
      <c r="C52" s="636"/>
      <c r="D52" s="637">
        <v>0</v>
      </c>
      <c r="E52" s="636"/>
      <c r="F52" s="637">
        <v>0</v>
      </c>
      <c r="G52" s="636"/>
      <c r="H52" s="637">
        <f t="shared" si="1"/>
        <v>0</v>
      </c>
    </row>
    <row r="53" spans="1:8" ht="15" customHeight="1">
      <c r="A53" s="406" t="s">
        <v>85</v>
      </c>
      <c r="B53" s="637">
        <v>0</v>
      </c>
      <c r="C53" s="636"/>
      <c r="D53" s="637">
        <v>0</v>
      </c>
      <c r="E53" s="636"/>
      <c r="F53" s="637">
        <v>0</v>
      </c>
      <c r="G53" s="636"/>
      <c r="H53" s="637">
        <f t="shared" si="1"/>
        <v>0</v>
      </c>
    </row>
    <row r="54" spans="1:8" ht="15" customHeight="1">
      <c r="A54" s="406" t="s">
        <v>89</v>
      </c>
      <c r="B54" s="637">
        <v>0</v>
      </c>
      <c r="C54" s="636"/>
      <c r="D54" s="637">
        <v>0</v>
      </c>
      <c r="E54" s="636"/>
      <c r="F54" s="637">
        <v>0</v>
      </c>
      <c r="G54" s="636"/>
      <c r="H54" s="637">
        <f t="shared" si="1"/>
        <v>0</v>
      </c>
    </row>
    <row r="55" spans="1:8" ht="15" customHeight="1">
      <c r="A55" s="406" t="s">
        <v>31</v>
      </c>
      <c r="B55" s="637">
        <v>0</v>
      </c>
      <c r="C55" s="636"/>
      <c r="D55" s="637">
        <v>0</v>
      </c>
      <c r="E55" s="636"/>
      <c r="F55" s="637">
        <v>0</v>
      </c>
      <c r="G55" s="636"/>
      <c r="H55" s="637">
        <f t="shared" si="1"/>
        <v>0</v>
      </c>
    </row>
    <row r="56" spans="1:8" ht="15" customHeight="1">
      <c r="A56" s="406" t="s">
        <v>32</v>
      </c>
      <c r="B56" s="637">
        <v>0</v>
      </c>
      <c r="C56" s="636"/>
      <c r="D56" s="637">
        <v>0</v>
      </c>
      <c r="E56" s="636"/>
      <c r="F56" s="637">
        <v>0</v>
      </c>
      <c r="G56" s="636"/>
      <c r="H56" s="637">
        <f t="shared" si="1"/>
        <v>0</v>
      </c>
    </row>
    <row r="57" spans="1:8" ht="15" customHeight="1">
      <c r="A57" s="406" t="s">
        <v>155</v>
      </c>
      <c r="B57" s="637">
        <v>0</v>
      </c>
      <c r="C57" s="636"/>
      <c r="D57" s="637">
        <v>0</v>
      </c>
      <c r="E57" s="636"/>
      <c r="F57" s="637">
        <v>0</v>
      </c>
      <c r="G57" s="636"/>
      <c r="H57" s="637">
        <f t="shared" si="1"/>
        <v>0</v>
      </c>
    </row>
    <row r="58" spans="1:8" ht="15" customHeight="1">
      <c r="A58" s="406" t="s">
        <v>33</v>
      </c>
      <c r="B58" s="637">
        <v>0</v>
      </c>
      <c r="C58" s="636"/>
      <c r="D58" s="637">
        <v>0</v>
      </c>
      <c r="E58" s="636"/>
      <c r="F58" s="637">
        <v>0</v>
      </c>
      <c r="G58" s="636"/>
      <c r="H58" s="637">
        <f t="shared" si="1"/>
        <v>0</v>
      </c>
    </row>
    <row r="59" spans="1:8" ht="15" customHeight="1">
      <c r="A59" s="406" t="s">
        <v>34</v>
      </c>
      <c r="B59" s="637">
        <v>0</v>
      </c>
      <c r="C59" s="636"/>
      <c r="D59" s="637">
        <v>0</v>
      </c>
      <c r="E59" s="636"/>
      <c r="F59" s="637">
        <v>0</v>
      </c>
      <c r="G59" s="636"/>
      <c r="H59" s="637">
        <f t="shared" si="1"/>
        <v>0</v>
      </c>
    </row>
    <row r="60" spans="1:8" ht="15" customHeight="1">
      <c r="A60" s="406" t="s">
        <v>106</v>
      </c>
      <c r="B60" s="637">
        <v>0</v>
      </c>
      <c r="C60" s="636"/>
      <c r="D60" s="637">
        <v>0</v>
      </c>
      <c r="E60" s="636"/>
      <c r="F60" s="637">
        <v>0</v>
      </c>
      <c r="G60" s="636"/>
      <c r="H60" s="637">
        <f t="shared" si="1"/>
        <v>0</v>
      </c>
    </row>
    <row r="61" spans="1:8" ht="15" customHeight="1">
      <c r="A61" s="406" t="s">
        <v>374</v>
      </c>
      <c r="B61" s="637">
        <v>0</v>
      </c>
      <c r="C61" s="636"/>
      <c r="D61" s="637">
        <v>0</v>
      </c>
      <c r="E61" s="636"/>
      <c r="F61" s="637">
        <v>0</v>
      </c>
      <c r="G61" s="636"/>
      <c r="H61" s="637">
        <f t="shared" si="1"/>
        <v>0</v>
      </c>
    </row>
    <row r="62" spans="1:8" ht="15" customHeight="1">
      <c r="A62" s="406" t="s">
        <v>160</v>
      </c>
      <c r="B62" s="637">
        <v>0</v>
      </c>
      <c r="C62" s="636"/>
      <c r="D62" s="637">
        <v>0</v>
      </c>
      <c r="E62" s="636"/>
      <c r="F62" s="637">
        <v>0</v>
      </c>
      <c r="G62" s="636"/>
      <c r="H62" s="637">
        <f t="shared" si="1"/>
        <v>0</v>
      </c>
    </row>
    <row r="63" spans="1:8" ht="15" customHeight="1">
      <c r="A63" s="406" t="s">
        <v>35</v>
      </c>
      <c r="B63" s="637">
        <v>0</v>
      </c>
      <c r="C63" s="636"/>
      <c r="D63" s="637">
        <v>0</v>
      </c>
      <c r="E63" s="636"/>
      <c r="F63" s="637">
        <v>0</v>
      </c>
      <c r="G63" s="636"/>
      <c r="H63" s="637">
        <f t="shared" si="1"/>
        <v>0</v>
      </c>
    </row>
    <row r="64" spans="1:8" ht="15" customHeight="1">
      <c r="A64" s="406" t="s">
        <v>36</v>
      </c>
      <c r="B64" s="637">
        <v>0</v>
      </c>
      <c r="C64" s="636"/>
      <c r="D64" s="637">
        <v>0</v>
      </c>
      <c r="E64" s="636"/>
      <c r="F64" s="637">
        <v>0</v>
      </c>
      <c r="G64" s="636"/>
      <c r="H64" s="637">
        <f t="shared" si="1"/>
        <v>0</v>
      </c>
    </row>
    <row r="65" spans="1:8" ht="15" customHeight="1">
      <c r="A65" s="406" t="s">
        <v>370</v>
      </c>
      <c r="B65" s="637">
        <v>0</v>
      </c>
      <c r="C65" s="636"/>
      <c r="D65" s="637">
        <v>0</v>
      </c>
      <c r="E65" s="636"/>
      <c r="F65" s="637">
        <v>0</v>
      </c>
      <c r="G65" s="636"/>
      <c r="H65" s="637">
        <f t="shared" si="1"/>
        <v>0</v>
      </c>
    </row>
    <row r="66" spans="1:8" ht="15" customHeight="1">
      <c r="A66" s="406" t="s">
        <v>37</v>
      </c>
      <c r="B66" s="637">
        <v>0</v>
      </c>
      <c r="C66" s="636"/>
      <c r="D66" s="637">
        <v>0</v>
      </c>
      <c r="E66" s="636"/>
      <c r="F66" s="637">
        <v>0</v>
      </c>
      <c r="G66" s="636"/>
      <c r="H66" s="637">
        <f t="shared" si="1"/>
        <v>0</v>
      </c>
    </row>
    <row r="67" spans="1:8" ht="15" customHeight="1">
      <c r="A67" s="406" t="s">
        <v>38</v>
      </c>
      <c r="B67" s="637">
        <v>0</v>
      </c>
      <c r="C67" s="636"/>
      <c r="D67" s="637">
        <v>0</v>
      </c>
      <c r="E67" s="636"/>
      <c r="F67" s="637">
        <v>0</v>
      </c>
      <c r="G67" s="636"/>
      <c r="H67" s="637">
        <f t="shared" si="1"/>
        <v>0</v>
      </c>
    </row>
    <row r="68" spans="1:8" ht="15" customHeight="1">
      <c r="A68" s="406" t="s">
        <v>442</v>
      </c>
      <c r="B68" s="637">
        <v>0</v>
      </c>
      <c r="C68" s="636"/>
      <c r="D68" s="637">
        <v>0</v>
      </c>
      <c r="E68" s="636"/>
      <c r="F68" s="637">
        <v>0</v>
      </c>
      <c r="G68" s="636"/>
      <c r="H68" s="637">
        <f t="shared" si="1"/>
        <v>0</v>
      </c>
    </row>
    <row r="69" spans="1:8" ht="15" customHeight="1">
      <c r="A69" s="406" t="s">
        <v>119</v>
      </c>
      <c r="B69" s="637">
        <v>0</v>
      </c>
      <c r="C69" s="636"/>
      <c r="D69" s="637">
        <v>0</v>
      </c>
      <c r="E69" s="636"/>
      <c r="F69" s="637">
        <v>0</v>
      </c>
      <c r="G69" s="636"/>
      <c r="H69" s="637">
        <f t="shared" si="1"/>
        <v>0</v>
      </c>
    </row>
    <row r="70" spans="1:8" ht="15" customHeight="1">
      <c r="A70" s="406" t="s">
        <v>39</v>
      </c>
      <c r="B70" s="637">
        <v>0</v>
      </c>
      <c r="C70" s="636"/>
      <c r="D70" s="637">
        <v>0</v>
      </c>
      <c r="E70" s="636"/>
      <c r="F70" s="637">
        <v>0</v>
      </c>
      <c r="G70" s="636"/>
      <c r="H70" s="637">
        <f t="shared" si="1"/>
        <v>0</v>
      </c>
    </row>
    <row r="71" spans="1:8" ht="15" customHeight="1">
      <c r="A71" s="406" t="s">
        <v>40</v>
      </c>
      <c r="B71" s="637">
        <v>0</v>
      </c>
      <c r="C71" s="409"/>
      <c r="D71" s="637">
        <v>0</v>
      </c>
      <c r="E71" s="636"/>
      <c r="F71" s="637">
        <v>0</v>
      </c>
      <c r="G71" s="636"/>
      <c r="H71" s="637">
        <f t="shared" si="1"/>
        <v>0</v>
      </c>
    </row>
    <row r="72" spans="1:8" ht="15" customHeight="1">
      <c r="A72" s="406" t="s">
        <v>41</v>
      </c>
      <c r="B72" s="637">
        <v>0</v>
      </c>
      <c r="C72" s="636"/>
      <c r="D72" s="637">
        <v>0</v>
      </c>
      <c r="E72" s="636"/>
      <c r="F72" s="637">
        <v>0</v>
      </c>
      <c r="G72" s="636"/>
      <c r="H72" s="637">
        <f t="shared" si="1"/>
        <v>0</v>
      </c>
    </row>
    <row r="73" spans="1:8" ht="15" customHeight="1">
      <c r="A73" s="406" t="s">
        <v>42</v>
      </c>
      <c r="B73" s="637">
        <v>0</v>
      </c>
      <c r="C73" s="636"/>
      <c r="D73" s="637">
        <v>0</v>
      </c>
      <c r="E73" s="636"/>
      <c r="F73" s="637">
        <v>0</v>
      </c>
      <c r="G73" s="636"/>
      <c r="H73" s="637">
        <f t="shared" si="1"/>
        <v>0</v>
      </c>
    </row>
    <row r="74" spans="1:8" ht="15" customHeight="1">
      <c r="A74" s="406" t="s">
        <v>369</v>
      </c>
      <c r="B74" s="637">
        <v>0</v>
      </c>
      <c r="C74" s="636"/>
      <c r="D74" s="637">
        <v>0</v>
      </c>
      <c r="E74" s="636"/>
      <c r="F74" s="637">
        <v>0</v>
      </c>
      <c r="G74" s="636"/>
      <c r="H74" s="637">
        <f t="shared" si="1"/>
        <v>0</v>
      </c>
    </row>
    <row r="75" spans="1:8" ht="15" customHeight="1">
      <c r="A75" s="406" t="s">
        <v>79</v>
      </c>
      <c r="B75" s="637">
        <v>0</v>
      </c>
      <c r="C75" s="636"/>
      <c r="D75" s="637">
        <v>0</v>
      </c>
      <c r="E75" s="636"/>
      <c r="F75" s="637">
        <v>0</v>
      </c>
      <c r="G75" s="636"/>
      <c r="H75" s="637">
        <f t="shared" si="1"/>
        <v>0</v>
      </c>
    </row>
    <row r="76" spans="1:8" ht="15" customHeight="1">
      <c r="A76" s="406" t="s">
        <v>308</v>
      </c>
      <c r="B76" s="637">
        <v>0</v>
      </c>
      <c r="C76" s="636"/>
      <c r="D76" s="637">
        <v>0</v>
      </c>
      <c r="E76" s="636"/>
      <c r="F76" s="637">
        <v>0</v>
      </c>
      <c r="G76" s="636"/>
      <c r="H76" s="637">
        <f t="shared" si="1"/>
        <v>0</v>
      </c>
    </row>
    <row r="77" spans="1:8" ht="15" customHeight="1">
      <c r="A77" s="406" t="s">
        <v>368</v>
      </c>
      <c r="B77" s="637">
        <v>0</v>
      </c>
      <c r="C77" s="636"/>
      <c r="D77" s="637">
        <v>0</v>
      </c>
      <c r="E77" s="636"/>
      <c r="F77" s="637">
        <v>0</v>
      </c>
      <c r="G77" s="636"/>
      <c r="H77" s="637">
        <f t="shared" si="1"/>
        <v>0</v>
      </c>
    </row>
    <row r="78" spans="1:8" ht="15" customHeight="1">
      <c r="A78" s="406" t="s">
        <v>125</v>
      </c>
      <c r="B78" s="637">
        <v>0</v>
      </c>
      <c r="C78" s="636"/>
      <c r="D78" s="637">
        <v>0</v>
      </c>
      <c r="E78" s="636"/>
      <c r="F78" s="637">
        <v>0</v>
      </c>
      <c r="G78" s="636"/>
      <c r="H78" s="637">
        <f t="shared" si="1"/>
        <v>0</v>
      </c>
    </row>
    <row r="79" spans="1:8" ht="15" customHeight="1">
      <c r="A79" s="406" t="s">
        <v>80</v>
      </c>
      <c r="B79" s="637">
        <v>0</v>
      </c>
      <c r="C79" s="636"/>
      <c r="D79" s="637">
        <v>0</v>
      </c>
      <c r="E79" s="636"/>
      <c r="F79" s="637">
        <v>0</v>
      </c>
      <c r="G79" s="636"/>
      <c r="H79" s="637">
        <f t="shared" si="1"/>
        <v>0</v>
      </c>
    </row>
    <row r="80" spans="1:8" ht="15" customHeight="1">
      <c r="A80" s="406" t="s">
        <v>43</v>
      </c>
      <c r="B80" s="637">
        <v>0</v>
      </c>
      <c r="C80" s="636"/>
      <c r="D80" s="637">
        <v>0</v>
      </c>
      <c r="E80" s="636"/>
      <c r="F80" s="637">
        <v>0</v>
      </c>
      <c r="G80" s="636"/>
      <c r="H80" s="637">
        <f t="shared" si="1"/>
        <v>0</v>
      </c>
    </row>
    <row r="81" spans="1:8" ht="15" customHeight="1">
      <c r="A81" s="406" t="s">
        <v>44</v>
      </c>
      <c r="B81" s="637">
        <v>0</v>
      </c>
      <c r="C81" s="636"/>
      <c r="D81" s="637">
        <v>0</v>
      </c>
      <c r="E81" s="636"/>
      <c r="F81" s="637">
        <v>0</v>
      </c>
      <c r="G81" s="636"/>
      <c r="H81" s="637">
        <f t="shared" si="1"/>
        <v>0</v>
      </c>
    </row>
    <row r="82" spans="1:8" ht="15" customHeight="1">
      <c r="A82" s="406" t="s">
        <v>81</v>
      </c>
      <c r="B82" s="637">
        <v>0</v>
      </c>
      <c r="C82" s="636"/>
      <c r="D82" s="637">
        <v>0</v>
      </c>
      <c r="E82" s="636"/>
      <c r="F82" s="637">
        <v>0</v>
      </c>
      <c r="G82" s="636"/>
      <c r="H82" s="637">
        <f t="shared" si="1"/>
        <v>0</v>
      </c>
    </row>
    <row r="83" spans="1:8" ht="15" customHeight="1">
      <c r="A83" s="406" t="s">
        <v>66</v>
      </c>
      <c r="B83" s="637">
        <v>0</v>
      </c>
      <c r="C83" s="636"/>
      <c r="D83" s="637">
        <v>0</v>
      </c>
      <c r="E83" s="636"/>
      <c r="F83" s="637">
        <v>0</v>
      </c>
      <c r="G83" s="636"/>
      <c r="H83" s="637">
        <f t="shared" si="1"/>
        <v>0</v>
      </c>
    </row>
    <row r="84" spans="1:8" ht="15" customHeight="1">
      <c r="A84" s="406" t="s">
        <v>45</v>
      </c>
      <c r="B84" s="637">
        <v>0</v>
      </c>
      <c r="C84" s="636"/>
      <c r="D84" s="637">
        <v>0</v>
      </c>
      <c r="E84" s="636"/>
      <c r="F84" s="637">
        <v>0</v>
      </c>
      <c r="G84" s="636"/>
      <c r="H84" s="637">
        <f t="shared" si="1"/>
        <v>0</v>
      </c>
    </row>
    <row r="85" spans="1:8" ht="15" customHeight="1">
      <c r="A85" s="406" t="s">
        <v>46</v>
      </c>
      <c r="B85" s="637">
        <v>0</v>
      </c>
      <c r="C85" s="636"/>
      <c r="D85" s="637">
        <v>0</v>
      </c>
      <c r="E85" s="636"/>
      <c r="F85" s="637">
        <v>0</v>
      </c>
      <c r="G85" s="636"/>
      <c r="H85" s="637">
        <f t="shared" si="1"/>
        <v>0</v>
      </c>
    </row>
    <row r="86" spans="1:8" ht="15" customHeight="1">
      <c r="A86" s="406" t="s">
        <v>120</v>
      </c>
      <c r="B86" s="637">
        <v>0</v>
      </c>
      <c r="C86" s="636"/>
      <c r="D86" s="637">
        <v>0</v>
      </c>
      <c r="E86" s="636"/>
      <c r="F86" s="637">
        <v>0</v>
      </c>
      <c r="G86" s="636"/>
      <c r="H86" s="637">
        <f t="shared" si="1"/>
        <v>0</v>
      </c>
    </row>
    <row r="87" spans="1:8" ht="15" customHeight="1">
      <c r="A87" s="406" t="s">
        <v>47</v>
      </c>
      <c r="B87" s="637">
        <v>0</v>
      </c>
      <c r="C87" s="636"/>
      <c r="D87" s="637">
        <v>0</v>
      </c>
      <c r="E87" s="636"/>
      <c r="F87" s="637">
        <v>0</v>
      </c>
      <c r="G87" s="636"/>
      <c r="H87" s="637">
        <f t="shared" si="1"/>
        <v>0</v>
      </c>
    </row>
    <row r="88" spans="1:8" ht="15" customHeight="1">
      <c r="A88" s="406" t="s">
        <v>48</v>
      </c>
      <c r="B88" s="637">
        <v>0</v>
      </c>
      <c r="C88" s="636"/>
      <c r="D88" s="637">
        <v>0</v>
      </c>
      <c r="E88" s="636"/>
      <c r="F88" s="637">
        <v>0</v>
      </c>
      <c r="G88" s="636"/>
      <c r="H88" s="637">
        <f t="shared" si="1"/>
        <v>0</v>
      </c>
    </row>
    <row r="89" spans="1:8" ht="15" customHeight="1">
      <c r="A89" s="406" t="s">
        <v>49</v>
      </c>
      <c r="B89" s="637">
        <v>0</v>
      </c>
      <c r="C89" s="636"/>
      <c r="D89" s="637">
        <v>0</v>
      </c>
      <c r="E89" s="636"/>
      <c r="F89" s="637">
        <v>0</v>
      </c>
      <c r="G89" s="636"/>
      <c r="H89" s="637">
        <f t="shared" ref="H89:H97" si="2">SUM(B89:F89)</f>
        <v>0</v>
      </c>
    </row>
    <row r="90" spans="1:8" ht="15" customHeight="1">
      <c r="A90" s="406" t="s">
        <v>50</v>
      </c>
      <c r="B90" s="637">
        <v>0</v>
      </c>
      <c r="C90" s="636"/>
      <c r="D90" s="637">
        <v>0</v>
      </c>
      <c r="E90" s="636"/>
      <c r="F90" s="637">
        <v>0</v>
      </c>
      <c r="G90" s="636"/>
      <c r="H90" s="637">
        <f t="shared" si="2"/>
        <v>0</v>
      </c>
    </row>
    <row r="91" spans="1:8" ht="15" customHeight="1">
      <c r="A91" s="406" t="s">
        <v>51</v>
      </c>
      <c r="B91" s="637">
        <v>0</v>
      </c>
      <c r="C91" s="636"/>
      <c r="D91" s="637">
        <v>0</v>
      </c>
      <c r="E91" s="636"/>
      <c r="F91" s="637">
        <v>0</v>
      </c>
      <c r="G91" s="636"/>
      <c r="H91" s="637">
        <f t="shared" si="2"/>
        <v>0</v>
      </c>
    </row>
    <row r="92" spans="1:8" ht="15" customHeight="1">
      <c r="A92" s="406" t="s">
        <v>367</v>
      </c>
      <c r="B92" s="637">
        <v>0</v>
      </c>
      <c r="C92" s="636"/>
      <c r="D92" s="637">
        <v>0</v>
      </c>
      <c r="E92" s="636"/>
      <c r="F92" s="637">
        <v>0</v>
      </c>
      <c r="G92" s="636"/>
      <c r="H92" s="637">
        <f t="shared" si="2"/>
        <v>0</v>
      </c>
    </row>
    <row r="93" spans="1:8" ht="15" customHeight="1">
      <c r="A93" s="406" t="s">
        <v>366</v>
      </c>
      <c r="B93" s="637">
        <v>0</v>
      </c>
      <c r="C93" s="636"/>
      <c r="D93" s="637">
        <v>0</v>
      </c>
      <c r="E93" s="636"/>
      <c r="F93" s="637">
        <v>0</v>
      </c>
      <c r="G93" s="636"/>
      <c r="H93" s="637">
        <f t="shared" si="2"/>
        <v>0</v>
      </c>
    </row>
    <row r="94" spans="1:8" ht="15" customHeight="1">
      <c r="A94" s="406" t="s">
        <v>52</v>
      </c>
      <c r="B94" s="637">
        <v>0</v>
      </c>
      <c r="C94" s="636"/>
      <c r="D94" s="637">
        <v>0</v>
      </c>
      <c r="E94" s="636"/>
      <c r="F94" s="637">
        <v>0</v>
      </c>
      <c r="G94" s="636"/>
      <c r="H94" s="637">
        <f t="shared" si="2"/>
        <v>0</v>
      </c>
    </row>
    <row r="95" spans="1:8" ht="15" customHeight="1">
      <c r="A95" s="406" t="s">
        <v>53</v>
      </c>
      <c r="B95" s="637">
        <v>0</v>
      </c>
      <c r="C95" s="636"/>
      <c r="D95" s="637">
        <v>0</v>
      </c>
      <c r="E95" s="636"/>
      <c r="F95" s="637">
        <v>0</v>
      </c>
      <c r="G95" s="636"/>
      <c r="H95" s="637">
        <f t="shared" si="2"/>
        <v>0</v>
      </c>
    </row>
    <row r="96" spans="1:8" ht="15" customHeight="1">
      <c r="A96" s="406" t="s">
        <v>54</v>
      </c>
      <c r="B96" s="637">
        <v>0</v>
      </c>
      <c r="C96" s="636"/>
      <c r="D96" s="637">
        <v>0</v>
      </c>
      <c r="E96" s="636"/>
      <c r="F96" s="637">
        <v>0</v>
      </c>
      <c r="G96" s="636"/>
      <c r="H96" s="637">
        <f t="shared" si="2"/>
        <v>0</v>
      </c>
    </row>
    <row r="97" spans="1:8" ht="15" customHeight="1">
      <c r="A97" s="406" t="s">
        <v>55</v>
      </c>
      <c r="B97" s="637">
        <v>0</v>
      </c>
      <c r="C97" s="636"/>
      <c r="D97" s="637">
        <v>0</v>
      </c>
      <c r="E97" s="636"/>
      <c r="F97" s="637">
        <v>0</v>
      </c>
      <c r="G97" s="636"/>
      <c r="H97" s="637">
        <f t="shared" si="2"/>
        <v>0</v>
      </c>
    </row>
    <row r="98" spans="1:8" ht="15" customHeight="1">
      <c r="A98" s="404"/>
      <c r="B98" s="640">
        <f>SUM(B24:B97)</f>
        <v>0</v>
      </c>
      <c r="C98" s="640"/>
      <c r="D98" s="640">
        <f>SUM(D24:D97)</f>
        <v>274.38000000004831</v>
      </c>
      <c r="E98" s="640"/>
      <c r="F98" s="640">
        <f>SUM(F24:F97)</f>
        <v>0</v>
      </c>
      <c r="G98" s="653"/>
      <c r="H98" s="640">
        <f>SUM(H24:H97)</f>
        <v>274.38000000004831</v>
      </c>
    </row>
    <row r="99" spans="1:8" ht="15" customHeight="1">
      <c r="A99" s="392"/>
      <c r="B99" s="407"/>
      <c r="C99" s="409"/>
      <c r="D99" s="637"/>
      <c r="E99" s="636"/>
      <c r="F99" s="407"/>
      <c r="G99" s="409"/>
      <c r="H99" s="407"/>
    </row>
    <row r="100" spans="1:8" ht="15" customHeight="1" thickBot="1">
      <c r="A100" s="392" t="s">
        <v>99</v>
      </c>
      <c r="B100" s="641">
        <f>+B21-B98</f>
        <v>-5.8207660913467407E-11</v>
      </c>
      <c r="C100" s="636"/>
      <c r="D100" s="641">
        <f>+D21-D98</f>
        <v>-274.38000000004831</v>
      </c>
      <c r="E100" s="636"/>
      <c r="F100" s="641">
        <f>+F21-F98</f>
        <v>0</v>
      </c>
      <c r="G100" s="636"/>
      <c r="H100" s="641">
        <f>+H21-H98</f>
        <v>-274.38000000010652</v>
      </c>
    </row>
    <row r="101" spans="1:8" ht="15" customHeight="1" thickTop="1"/>
    <row r="102" spans="1:8">
      <c r="B102" s="714"/>
      <c r="D102" s="714" t="s">
        <v>1031</v>
      </c>
    </row>
    <row r="103" spans="1:8">
      <c r="D103" s="714" t="s">
        <v>976</v>
      </c>
    </row>
  </sheetData>
  <mergeCells count="5">
    <mergeCell ref="A1:H1"/>
    <mergeCell ref="A2:H2"/>
    <mergeCell ref="A3:H3"/>
    <mergeCell ref="A5:H5"/>
    <mergeCell ref="A6:H6"/>
  </mergeCells>
  <phoneticPr fontId="8" type="noConversion"/>
  <printOptions horizontalCentered="1"/>
  <pageMargins left="0.9" right="0.7" top="0.75" bottom="0.5" header="0" footer="0.25"/>
  <pageSetup fitToHeight="3" orientation="portrait" horizontalDpi="300" verticalDpi="300" r:id="rId1"/>
  <headerFooter scaleWithDoc="0" alignWithMargins="0">
    <oddFooter xml:space="preserve">&amp;C&amp;"Times New Roman,Regular"&amp;10See accompanying summary of significant forecast  assumptions. </oddFooter>
  </headerFooter>
  <rowBreaks count="1" manualBreakCount="1">
    <brk id="35"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Q314"/>
  <sheetViews>
    <sheetView zoomScale="85" zoomScaleNormal="85" workbookViewId="0">
      <pane xSplit="2" ySplit="7" topLeftCell="C8" activePane="bottomRight" state="frozen"/>
      <selection pane="topRight" activeCell="C1" sqref="C1"/>
      <selection pane="bottomLeft" activeCell="A8" sqref="A8"/>
      <selection pane="bottomRight" activeCell="C8" sqref="C8"/>
    </sheetView>
  </sheetViews>
  <sheetFormatPr defaultColWidth="10.77734375" defaultRowHeight="18.75"/>
  <cols>
    <col min="1" max="1" width="2.44140625" style="298" bestFit="1" customWidth="1"/>
    <col min="2" max="2" width="30.109375" style="40" customWidth="1"/>
    <col min="3" max="14" width="11.33203125" style="39" customWidth="1"/>
    <col min="15" max="15" width="14.6640625" style="39" bestFit="1" customWidth="1"/>
    <col min="16" max="16" width="11.33203125" style="39" customWidth="1"/>
    <col min="17" max="17" width="14.6640625" style="39" bestFit="1" customWidth="1"/>
    <col min="18" max="18" width="9.77734375" style="41" customWidth="1"/>
    <col min="19" max="19" width="14.6640625" style="41" customWidth="1"/>
    <col min="20" max="20" width="2.109375" style="39" bestFit="1" customWidth="1"/>
    <col min="21" max="21" width="16.88671875" style="128" bestFit="1" customWidth="1"/>
    <col min="22" max="25" width="10.77734375" style="39"/>
    <col min="26" max="16384" width="10.77734375" style="40"/>
  </cols>
  <sheetData>
    <row r="1" spans="1:43">
      <c r="B1" s="1275" t="s">
        <v>9</v>
      </c>
      <c r="C1" s="1275"/>
      <c r="D1" s="1275"/>
      <c r="E1" s="1275"/>
      <c r="F1" s="1275"/>
      <c r="G1" s="1275"/>
      <c r="H1" s="1275"/>
      <c r="I1" s="1275"/>
      <c r="J1" s="1275"/>
      <c r="K1" s="1275"/>
      <c r="L1" s="1275"/>
      <c r="M1" s="1275"/>
      <c r="N1" s="1275"/>
      <c r="O1" s="1275"/>
      <c r="P1" s="1275"/>
      <c r="Q1" s="1275"/>
      <c r="R1" s="1275"/>
      <c r="S1" s="1275"/>
    </row>
    <row r="2" spans="1:43" ht="9.75" customHeight="1">
      <c r="B2" s="3"/>
      <c r="C2" s="48"/>
      <c r="D2" s="48"/>
      <c r="E2" s="48"/>
      <c r="F2" s="48"/>
      <c r="G2" s="48"/>
      <c r="H2" s="48"/>
      <c r="I2" s="48"/>
      <c r="J2" s="48"/>
      <c r="K2" s="48"/>
      <c r="L2" s="48"/>
      <c r="M2" s="48"/>
      <c r="N2" s="48"/>
      <c r="O2" s="48"/>
      <c r="P2" s="48"/>
      <c r="Q2" s="48"/>
      <c r="R2" s="49"/>
      <c r="S2" s="49"/>
    </row>
    <row r="3" spans="1:43">
      <c r="B3" s="1275" t="s">
        <v>363</v>
      </c>
      <c r="C3" s="1275"/>
      <c r="D3" s="1275"/>
      <c r="E3" s="1275"/>
      <c r="F3" s="1275"/>
      <c r="G3" s="1275"/>
      <c r="H3" s="1275"/>
      <c r="I3" s="1275"/>
      <c r="J3" s="1275"/>
      <c r="K3" s="1275"/>
      <c r="L3" s="1275"/>
      <c r="M3" s="1275"/>
      <c r="N3" s="1275"/>
      <c r="O3" s="1275"/>
      <c r="P3" s="1275"/>
      <c r="Q3" s="1275"/>
      <c r="R3" s="1275"/>
      <c r="S3" s="1275"/>
    </row>
    <row r="4" spans="1:43">
      <c r="B4" s="29"/>
      <c r="C4" s="29"/>
      <c r="D4" s="29"/>
      <c r="E4" s="29"/>
      <c r="F4" s="29"/>
      <c r="G4" s="29"/>
      <c r="H4" s="29"/>
      <c r="I4" s="29"/>
      <c r="J4" s="29"/>
      <c r="K4" s="29"/>
      <c r="L4" s="29"/>
      <c r="M4" s="29"/>
      <c r="N4" s="29"/>
      <c r="O4" s="29"/>
      <c r="P4" s="29"/>
      <c r="Q4" s="29"/>
      <c r="R4" s="29"/>
      <c r="S4" s="29"/>
    </row>
    <row r="5" spans="1:43">
      <c r="B5" s="1297" t="str">
        <f>'Fly Sheet'!$A$20</f>
        <v>For the Twelve Months Ended March 31, 2018 Historical and September 30, 2019 Forecasted</v>
      </c>
      <c r="C5" s="1297"/>
      <c r="D5" s="1297"/>
      <c r="E5" s="1297"/>
      <c r="F5" s="1297"/>
      <c r="G5" s="1297"/>
      <c r="H5" s="1297"/>
      <c r="I5" s="1297"/>
      <c r="J5" s="1297"/>
      <c r="K5" s="1297"/>
      <c r="L5" s="1297"/>
      <c r="M5" s="1297"/>
      <c r="N5" s="1297"/>
      <c r="O5" s="1297"/>
      <c r="P5" s="1297"/>
      <c r="Q5" s="1297"/>
      <c r="R5" s="1297"/>
      <c r="S5" s="1297"/>
    </row>
    <row r="6" spans="1:43">
      <c r="B6" s="1287"/>
      <c r="C6" s="1287"/>
      <c r="D6" s="1287"/>
      <c r="E6" s="1287"/>
      <c r="F6" s="1287"/>
      <c r="G6" s="1287"/>
      <c r="H6" s="1287"/>
      <c r="I6" s="1287"/>
      <c r="J6" s="1287"/>
      <c r="K6" s="1287"/>
      <c r="L6" s="1287"/>
      <c r="M6" s="1287"/>
      <c r="N6" s="1287"/>
      <c r="O6" s="1287"/>
      <c r="P6" s="1287"/>
      <c r="Q6" s="1287"/>
      <c r="R6" s="1287"/>
      <c r="S6" s="1287"/>
    </row>
    <row r="7" spans="1:43">
      <c r="B7" s="29"/>
      <c r="C7" s="29"/>
      <c r="D7" s="29"/>
      <c r="E7" s="29"/>
      <c r="F7" s="29"/>
      <c r="G7" s="29"/>
      <c r="H7" s="29"/>
      <c r="I7" s="29"/>
      <c r="J7" s="29"/>
      <c r="K7" s="29"/>
      <c r="L7" s="29"/>
      <c r="M7" s="29"/>
      <c r="N7" s="29"/>
      <c r="O7" s="29"/>
      <c r="P7" s="29"/>
      <c r="Q7" s="29"/>
      <c r="R7" s="29"/>
      <c r="S7" s="29"/>
    </row>
    <row r="8" spans="1:43" s="60" customFormat="1" ht="15">
      <c r="A8" s="298"/>
      <c r="C8" s="76"/>
      <c r="D8" s="76"/>
      <c r="E8" s="76"/>
      <c r="F8" s="76"/>
      <c r="G8" s="76"/>
      <c r="H8" s="76"/>
      <c r="I8" s="76"/>
      <c r="J8" s="76"/>
      <c r="K8" s="76"/>
      <c r="L8" s="76"/>
      <c r="M8" s="76"/>
      <c r="N8" s="76"/>
      <c r="P8" s="715"/>
      <c r="Q8" s="716" t="s">
        <v>84</v>
      </c>
      <c r="R8" s="717"/>
      <c r="S8" s="61"/>
      <c r="T8" s="68"/>
      <c r="U8" s="129"/>
      <c r="V8" s="68"/>
      <c r="W8" s="68"/>
      <c r="X8" s="68"/>
      <c r="Y8" s="68"/>
    </row>
    <row r="9" spans="1:43" s="60" customFormat="1" ht="15">
      <c r="A9" s="298"/>
      <c r="I9" s="76"/>
      <c r="J9" s="76"/>
      <c r="K9" s="76"/>
      <c r="L9" s="77"/>
      <c r="M9" s="77"/>
      <c r="N9" s="77"/>
      <c r="O9" s="77" t="s">
        <v>64</v>
      </c>
      <c r="P9" s="715"/>
      <c r="Q9" s="718" t="s">
        <v>728</v>
      </c>
      <c r="R9" s="717"/>
      <c r="S9" s="719" t="s">
        <v>64</v>
      </c>
      <c r="T9" s="68"/>
      <c r="U9" s="129"/>
      <c r="V9" s="68"/>
      <c r="W9" s="68"/>
      <c r="X9" s="68"/>
      <c r="Y9" s="68"/>
    </row>
    <row r="10" spans="1:43" s="60" customFormat="1" ht="15" customHeight="1">
      <c r="A10" s="298"/>
      <c r="B10" s="61"/>
      <c r="C10" s="73" t="s">
        <v>143</v>
      </c>
      <c r="D10" s="73" t="s">
        <v>144</v>
      </c>
      <c r="E10" s="73" t="s">
        <v>145</v>
      </c>
      <c r="F10" s="73" t="s">
        <v>146</v>
      </c>
      <c r="G10" s="73" t="s">
        <v>147</v>
      </c>
      <c r="H10" s="73" t="s">
        <v>139</v>
      </c>
      <c r="I10" s="73" t="s">
        <v>138</v>
      </c>
      <c r="J10" s="73" t="s">
        <v>137</v>
      </c>
      <c r="K10" s="73" t="s">
        <v>136</v>
      </c>
      <c r="L10" s="73" t="s">
        <v>140</v>
      </c>
      <c r="M10" s="73" t="s">
        <v>141</v>
      </c>
      <c r="N10" s="73" t="s">
        <v>142</v>
      </c>
      <c r="O10" s="77" t="s">
        <v>69</v>
      </c>
      <c r="P10" s="720" t="s">
        <v>84</v>
      </c>
      <c r="Q10" s="718" t="s">
        <v>69</v>
      </c>
      <c r="R10" s="720"/>
      <c r="S10" s="719" t="s">
        <v>69</v>
      </c>
      <c r="T10" s="74"/>
      <c r="U10" s="130"/>
      <c r="V10" s="74"/>
      <c r="W10" s="74"/>
      <c r="X10" s="74"/>
      <c r="Y10" s="74"/>
      <c r="Z10" s="75"/>
      <c r="AA10" s="75"/>
      <c r="AB10" s="75"/>
      <c r="AC10" s="75"/>
      <c r="AD10" s="75"/>
      <c r="AE10" s="75"/>
      <c r="AF10" s="75"/>
      <c r="AG10" s="75"/>
      <c r="AH10" s="75"/>
      <c r="AI10" s="75"/>
      <c r="AJ10" s="75"/>
      <c r="AK10" s="75"/>
      <c r="AL10" s="75"/>
      <c r="AM10" s="75"/>
      <c r="AN10" s="75"/>
      <c r="AO10" s="75"/>
      <c r="AP10" s="75"/>
      <c r="AQ10" s="75"/>
    </row>
    <row r="11" spans="1:43" ht="15" customHeight="1">
      <c r="B11" s="93" t="s">
        <v>73</v>
      </c>
      <c r="C11" s="68"/>
      <c r="D11" s="68"/>
      <c r="E11" s="68"/>
      <c r="F11" s="68"/>
      <c r="G11" s="68"/>
      <c r="H11" s="68"/>
      <c r="I11" s="68"/>
      <c r="J11" s="68"/>
      <c r="K11" s="68"/>
      <c r="L11" s="68"/>
      <c r="M11" s="68"/>
      <c r="N11" s="68"/>
      <c r="O11" s="68"/>
      <c r="P11" s="42"/>
      <c r="Q11" s="42"/>
      <c r="R11" s="721"/>
      <c r="S11" s="722"/>
    </row>
    <row r="12" spans="1:43" ht="15" customHeight="1">
      <c r="A12" s="298">
        <v>1</v>
      </c>
      <c r="B12" s="71" t="s">
        <v>74</v>
      </c>
      <c r="C12" s="63">
        <f>+'IS-PBC'!B16+'IS-PBC'!B17+'IS-PBC'!B20+'IS-PBC'!B23+'IS-PBC'!B25</f>
        <v>207209.85</v>
      </c>
      <c r="D12" s="63">
        <f>+'IS-PBC'!C16+'IS-PBC'!C17+'IS-PBC'!C20+'IS-PBC'!C23+'IS-PBC'!C25</f>
        <v>208027.64</v>
      </c>
      <c r="E12" s="63">
        <f>+'IS-PBC'!D16+'IS-PBC'!D17+'IS-PBC'!D20+'IS-PBC'!D23+'IS-PBC'!D25</f>
        <v>209879.93</v>
      </c>
      <c r="F12" s="63">
        <f>+'IS-PBC'!E16+'IS-PBC'!E17+'IS-PBC'!E20+'IS-PBC'!E23+'IS-PBC'!E25</f>
        <v>212816.47</v>
      </c>
      <c r="G12" s="63">
        <f>+'IS-PBC'!F16+'IS-PBC'!F17+'IS-PBC'!F20+'IS-PBC'!F23+'IS-PBC'!F25</f>
        <v>211159.59</v>
      </c>
      <c r="H12" s="63">
        <f>+'IS-PBC'!G16+'IS-PBC'!G17+'IS-PBC'!G20+'IS-PBC'!G23+'IS-PBC'!G25</f>
        <v>213105.40000000002</v>
      </c>
      <c r="I12" s="63">
        <f>+'IS-PBC'!H16+'IS-PBC'!H17+'IS-PBC'!H20+'IS-PBC'!H23+'IS-PBC'!H25</f>
        <v>217218.42</v>
      </c>
      <c r="J12" s="63">
        <f>+'IS-PBC'!I16+'IS-PBC'!I17+'IS-PBC'!I20+'IS-PBC'!I23+'IS-PBC'!I25</f>
        <v>211963.09</v>
      </c>
      <c r="K12" s="63">
        <f>+'IS-PBC'!J16+'IS-PBC'!J17+'IS-PBC'!J20+'IS-PBC'!J23+'IS-PBC'!J25</f>
        <v>214202.16</v>
      </c>
      <c r="L12" s="63">
        <f>+'IS-PBC'!K16+'IS-PBC'!K17+'IS-PBC'!K20+'IS-PBC'!K23+'IS-PBC'!K25</f>
        <v>215536.93</v>
      </c>
      <c r="M12" s="63">
        <f>+'IS-PBC'!L16+'IS-PBC'!L17+'IS-PBC'!L20+'IS-PBC'!L23+'IS-PBC'!L25</f>
        <v>213234.48</v>
      </c>
      <c r="N12" s="63">
        <f>+'IS-PBC'!M16+'IS-PBC'!M17+'IS-PBC'!M20+'IS-PBC'!M23+'IS-PBC'!M25</f>
        <v>213743.12</v>
      </c>
      <c r="O12" s="63">
        <f>SUM(C12:N12)</f>
        <v>2548097.08</v>
      </c>
      <c r="P12" s="723">
        <f>+'Sch 3, pg 2 - Reclass'!H13</f>
        <v>186771.85596549403</v>
      </c>
      <c r="Q12" s="723">
        <f>P12+O12</f>
        <v>2734868.9359654943</v>
      </c>
      <c r="R12" s="724"/>
      <c r="S12" s="65">
        <f>Q12+R12</f>
        <v>2734868.9359654943</v>
      </c>
      <c r="U12" s="942"/>
    </row>
    <row r="13" spans="1:43" ht="15" customHeight="1">
      <c r="A13" s="298">
        <v>2</v>
      </c>
      <c r="B13" s="71" t="s">
        <v>75</v>
      </c>
      <c r="C13" s="64">
        <f>+'IS-PBC'!B10+'IS-PBC'!B15+'IS-PBC'!B21+'IS-PBC'!B24+'IS-PBC'!B26</f>
        <v>62903.26</v>
      </c>
      <c r="D13" s="64">
        <f>+'IS-PBC'!C10+'IS-PBC'!C15+'IS-PBC'!C21+'IS-PBC'!C24+'IS-PBC'!C26</f>
        <v>63190.479999999996</v>
      </c>
      <c r="E13" s="64">
        <f>+'IS-PBC'!D10+'IS-PBC'!D15+'IS-PBC'!D21+'IS-PBC'!D24+'IS-PBC'!D26</f>
        <v>73220.17</v>
      </c>
      <c r="F13" s="64">
        <f>+'IS-PBC'!E10+'IS-PBC'!E15+'IS-PBC'!E21+'IS-PBC'!E24+'IS-PBC'!E26</f>
        <v>65975.95</v>
      </c>
      <c r="G13" s="64">
        <f>+'IS-PBC'!F10+'IS-PBC'!F15+'IS-PBC'!F21+'IS-PBC'!F24+'IS-PBC'!F26</f>
        <v>70166.990000000005</v>
      </c>
      <c r="H13" s="64">
        <f>+'IS-PBC'!G10+'IS-PBC'!G15+'IS-PBC'!G21+'IS-PBC'!G24+'IS-PBC'!G26</f>
        <v>66477.3</v>
      </c>
      <c r="I13" s="64">
        <f>+'IS-PBC'!H10+'IS-PBC'!H15+'IS-PBC'!H21+'IS-PBC'!H24+'IS-PBC'!H26</f>
        <v>66868.009999999995</v>
      </c>
      <c r="J13" s="64">
        <f>+'IS-PBC'!I10+'IS-PBC'!I15+'IS-PBC'!I21+'IS-PBC'!I24+'IS-PBC'!I26</f>
        <v>66997.459999999992</v>
      </c>
      <c r="K13" s="64">
        <f>+'IS-PBC'!J10+'IS-PBC'!J15+'IS-PBC'!J21+'IS-PBC'!J24+'IS-PBC'!J26</f>
        <v>63448.09</v>
      </c>
      <c r="L13" s="64">
        <f>+'IS-PBC'!K10+'IS-PBC'!K15+'IS-PBC'!K21+'IS-PBC'!K24+'IS-PBC'!K26</f>
        <v>62903.979999999996</v>
      </c>
      <c r="M13" s="64">
        <f>+'IS-PBC'!L10+'IS-PBC'!L15+'IS-PBC'!L21+'IS-PBC'!L24+'IS-PBC'!L26</f>
        <v>64378.400000000001</v>
      </c>
      <c r="N13" s="64">
        <f>+'IS-PBC'!M10+'IS-PBC'!M15+'IS-PBC'!M21+'IS-PBC'!M24+'IS-PBC'!M26</f>
        <v>66223.8</v>
      </c>
      <c r="O13" s="64">
        <f t="shared" ref="O13:O19" si="0">SUM(C13:N13)</f>
        <v>792753.89</v>
      </c>
      <c r="P13" s="65">
        <f>+'Sch 3, pg 2 - Reclass'!H14</f>
        <v>111082.45403450594</v>
      </c>
      <c r="Q13" s="65">
        <f t="shared" ref="Q13:Q18" si="1">P13+O13</f>
        <v>903836.34403450601</v>
      </c>
      <c r="R13" s="724"/>
      <c r="S13" s="65">
        <f t="shared" ref="S13:S19" si="2">Q13+R13</f>
        <v>903836.34403450601</v>
      </c>
    </row>
    <row r="14" spans="1:43" ht="15" customHeight="1">
      <c r="A14" s="298">
        <v>3</v>
      </c>
      <c r="B14" s="71" t="s">
        <v>7</v>
      </c>
      <c r="C14" s="64">
        <f>+'IS-PBC'!B11+'IS-PBC'!B12+'IS-PBC'!B13+'IS-PBC'!B14+'IS-PBC'!B27+'IS-PBC'!B29</f>
        <v>69801.95</v>
      </c>
      <c r="D14" s="64">
        <f>+'IS-PBC'!C11+'IS-PBC'!C12+'IS-PBC'!C13+'IS-PBC'!C14+'IS-PBC'!C27+'IS-PBC'!C29</f>
        <v>87550.219999999987</v>
      </c>
      <c r="E14" s="64">
        <f>+'IS-PBC'!D11+'IS-PBC'!D12+'IS-PBC'!D13+'IS-PBC'!D14+'IS-PBC'!D27+'IS-PBC'!D29</f>
        <v>78825.530000000013</v>
      </c>
      <c r="F14" s="64">
        <f>+'IS-PBC'!E11+'IS-PBC'!E12+'IS-PBC'!E13+'IS-PBC'!E14+'IS-PBC'!E27+'IS-PBC'!E29</f>
        <v>88044.329999999987</v>
      </c>
      <c r="G14" s="64">
        <f>+'IS-PBC'!F11+'IS-PBC'!F12+'IS-PBC'!F13+'IS-PBC'!F14+'IS-PBC'!F27+'IS-PBC'!F29</f>
        <v>60392.30000000001</v>
      </c>
      <c r="H14" s="64">
        <f>+'IS-PBC'!G11+'IS-PBC'!G12+'IS-PBC'!G13+'IS-PBC'!G14+'IS-PBC'!G27+'IS-PBC'!G29</f>
        <v>66191.150000000009</v>
      </c>
      <c r="I14" s="64">
        <f>+'IS-PBC'!H11+'IS-PBC'!H12+'IS-PBC'!H13+'IS-PBC'!H14+'IS-PBC'!H27+'IS-PBC'!H29</f>
        <v>77197.78</v>
      </c>
      <c r="J14" s="64">
        <f>+'IS-PBC'!I11+'IS-PBC'!I12+'IS-PBC'!I13+'IS-PBC'!I14+'IS-PBC'!I27+'IS-PBC'!I29</f>
        <v>44328.389999999992</v>
      </c>
      <c r="K14" s="64">
        <f>+'IS-PBC'!J11+'IS-PBC'!J12+'IS-PBC'!J13+'IS-PBC'!J14+'IS-PBC'!J27+'IS-PBC'!J29</f>
        <v>38598.450000000004</v>
      </c>
      <c r="L14" s="64">
        <f>+'IS-PBC'!K11+'IS-PBC'!K12+'IS-PBC'!K13+'IS-PBC'!K14+'IS-PBC'!K27+'IS-PBC'!K29</f>
        <v>52467.58</v>
      </c>
      <c r="M14" s="64">
        <f>+'IS-PBC'!L11+'IS-PBC'!L12+'IS-PBC'!L13+'IS-PBC'!L14+'IS-PBC'!L27+'IS-PBC'!L29</f>
        <v>44196.060000000005</v>
      </c>
      <c r="N14" s="64">
        <f>+'IS-PBC'!M11+'IS-PBC'!M12+'IS-PBC'!M13+'IS-PBC'!M14+'IS-PBC'!M27+'IS-PBC'!M29</f>
        <v>58631.15</v>
      </c>
      <c r="O14" s="64">
        <f t="shared" si="0"/>
        <v>766224.89</v>
      </c>
      <c r="P14" s="65">
        <f>-'Sch 3, pg 2 - Reclass'!H15</f>
        <v>0</v>
      </c>
      <c r="Q14" s="65">
        <f t="shared" si="1"/>
        <v>766224.89</v>
      </c>
      <c r="R14" s="724"/>
      <c r="S14" s="65">
        <f t="shared" si="2"/>
        <v>766224.89</v>
      </c>
    </row>
    <row r="15" spans="1:43" ht="15" customHeight="1">
      <c r="A15" s="298">
        <v>4</v>
      </c>
      <c r="B15" s="71" t="s">
        <v>440</v>
      </c>
      <c r="C15" s="64">
        <f>+'IS-PBC'!B18</f>
        <v>0</v>
      </c>
      <c r="D15" s="64">
        <f>+'IS-PBC'!C18</f>
        <v>0</v>
      </c>
      <c r="E15" s="64">
        <f>+'IS-PBC'!D18</f>
        <v>0</v>
      </c>
      <c r="F15" s="64">
        <f>+'IS-PBC'!E18</f>
        <v>0</v>
      </c>
      <c r="G15" s="64">
        <f>+'IS-PBC'!F18</f>
        <v>0</v>
      </c>
      <c r="H15" s="64">
        <f>+'IS-PBC'!G18</f>
        <v>0</v>
      </c>
      <c r="I15" s="64">
        <f>+'IS-PBC'!H18</f>
        <v>0</v>
      </c>
      <c r="J15" s="64">
        <f>+'IS-PBC'!I18</f>
        <v>0</v>
      </c>
      <c r="K15" s="64">
        <f>+'IS-PBC'!J18</f>
        <v>0</v>
      </c>
      <c r="L15" s="64">
        <f>+'IS-PBC'!K18</f>
        <v>0</v>
      </c>
      <c r="M15" s="64">
        <f>+'IS-PBC'!L18</f>
        <v>0</v>
      </c>
      <c r="N15" s="64">
        <f>+'IS-PBC'!M18</f>
        <v>0</v>
      </c>
      <c r="O15" s="64">
        <f t="shared" si="0"/>
        <v>0</v>
      </c>
      <c r="P15" s="65">
        <v>0</v>
      </c>
      <c r="Q15" s="65">
        <f t="shared" si="1"/>
        <v>0</v>
      </c>
      <c r="R15" s="724"/>
      <c r="S15" s="65">
        <f t="shared" si="2"/>
        <v>0</v>
      </c>
    </row>
    <row r="16" spans="1:43" ht="15" customHeight="1">
      <c r="A16" s="298">
        <v>5</v>
      </c>
      <c r="B16" s="71" t="s">
        <v>22</v>
      </c>
      <c r="C16" s="64">
        <v>0</v>
      </c>
      <c r="D16" s="64">
        <v>0</v>
      </c>
      <c r="E16" s="64">
        <v>0</v>
      </c>
      <c r="F16" s="64">
        <v>0</v>
      </c>
      <c r="G16" s="64">
        <v>0</v>
      </c>
      <c r="H16" s="64">
        <v>0</v>
      </c>
      <c r="I16" s="64">
        <v>0</v>
      </c>
      <c r="J16" s="64">
        <v>0</v>
      </c>
      <c r="K16" s="64">
        <v>0</v>
      </c>
      <c r="L16" s="64">
        <v>0</v>
      </c>
      <c r="M16" s="64">
        <v>0</v>
      </c>
      <c r="N16" s="64">
        <v>0</v>
      </c>
      <c r="O16" s="64">
        <f t="shared" si="0"/>
        <v>0</v>
      </c>
      <c r="P16" s="65">
        <v>0</v>
      </c>
      <c r="Q16" s="65">
        <f t="shared" si="1"/>
        <v>0</v>
      </c>
      <c r="R16" s="724"/>
      <c r="S16" s="65">
        <f t="shared" si="2"/>
        <v>0</v>
      </c>
    </row>
    <row r="17" spans="1:21" ht="15" customHeight="1">
      <c r="A17" s="298">
        <v>6</v>
      </c>
      <c r="B17" s="71" t="s">
        <v>77</v>
      </c>
      <c r="C17" s="64">
        <v>0</v>
      </c>
      <c r="D17" s="64">
        <v>0</v>
      </c>
      <c r="E17" s="64">
        <v>0</v>
      </c>
      <c r="F17" s="64">
        <v>0</v>
      </c>
      <c r="G17" s="64">
        <v>0</v>
      </c>
      <c r="H17" s="64">
        <v>0</v>
      </c>
      <c r="I17" s="64">
        <v>0</v>
      </c>
      <c r="J17" s="64">
        <v>0</v>
      </c>
      <c r="K17" s="64">
        <v>0</v>
      </c>
      <c r="L17" s="64">
        <v>0</v>
      </c>
      <c r="M17" s="64">
        <v>0</v>
      </c>
      <c r="N17" s="64">
        <v>0</v>
      </c>
      <c r="O17" s="64">
        <f t="shared" si="0"/>
        <v>0</v>
      </c>
      <c r="P17" s="65">
        <f>+'Sch 3, pg 2 - Reclass'!H18</f>
        <v>0</v>
      </c>
      <c r="Q17" s="65">
        <f t="shared" si="1"/>
        <v>0</v>
      </c>
      <c r="R17" s="724"/>
      <c r="S17" s="65">
        <f t="shared" si="2"/>
        <v>0</v>
      </c>
    </row>
    <row r="18" spans="1:21" ht="15" customHeight="1">
      <c r="A18" s="298">
        <v>7</v>
      </c>
      <c r="B18" s="71" t="s">
        <v>96</v>
      </c>
      <c r="C18" s="64">
        <f>+'IS-PBC'!B19+'IS-PBC'!B30</f>
        <v>22980.68</v>
      </c>
      <c r="D18" s="64">
        <f>+'IS-PBC'!C19+'IS-PBC'!C30</f>
        <v>24778.35</v>
      </c>
      <c r="E18" s="64">
        <f>+'IS-PBC'!D19+'IS-PBC'!D30</f>
        <v>24794.43</v>
      </c>
      <c r="F18" s="64">
        <f>+'IS-PBC'!E19+'IS-PBC'!E30</f>
        <v>24728.34</v>
      </c>
      <c r="G18" s="64">
        <f>+'IS-PBC'!F19+'IS-PBC'!F30</f>
        <v>26049.23</v>
      </c>
      <c r="H18" s="64">
        <f>+'IS-PBC'!G19+'IS-PBC'!G30</f>
        <v>24840.36</v>
      </c>
      <c r="I18" s="64">
        <f>+'IS-PBC'!H19+'IS-PBC'!H30</f>
        <v>24556.48</v>
      </c>
      <c r="J18" s="64">
        <f>+'IS-PBC'!I19+'IS-PBC'!I30</f>
        <v>24123.14</v>
      </c>
      <c r="K18" s="64">
        <f>+'IS-PBC'!J19+'IS-PBC'!J30</f>
        <v>25541.42</v>
      </c>
      <c r="L18" s="64">
        <f>+'IS-PBC'!K19+'IS-PBC'!K30</f>
        <v>24823.88</v>
      </c>
      <c r="M18" s="64">
        <f>+'IS-PBC'!L19+'IS-PBC'!L30</f>
        <v>24510</v>
      </c>
      <c r="N18" s="64">
        <f>+'IS-PBC'!M19+'IS-PBC'!M30</f>
        <v>26128</v>
      </c>
      <c r="O18" s="64">
        <f t="shared" si="0"/>
        <v>297854.31</v>
      </c>
      <c r="P18" s="65"/>
      <c r="Q18" s="65">
        <f t="shared" si="1"/>
        <v>297854.31</v>
      </c>
      <c r="R18" s="724"/>
      <c r="S18" s="65">
        <f t="shared" si="2"/>
        <v>297854.31</v>
      </c>
      <c r="U18" s="131"/>
    </row>
    <row r="19" spans="1:21" ht="15" customHeight="1">
      <c r="A19" s="298">
        <v>8</v>
      </c>
      <c r="B19" s="71" t="s">
        <v>78</v>
      </c>
      <c r="C19" s="66">
        <f>+SUM('IS-PBC'!B31:B37)</f>
        <v>-27.4</v>
      </c>
      <c r="D19" s="66">
        <f>+SUM('IS-PBC'!C31:C37)</f>
        <v>-3191.44</v>
      </c>
      <c r="E19" s="66">
        <f>+SUM('IS-PBC'!D31:D37)</f>
        <v>-1298.9800000000002</v>
      </c>
      <c r="F19" s="66">
        <f>+SUM('IS-PBC'!E31:E37)</f>
        <v>0</v>
      </c>
      <c r="G19" s="66">
        <f>+SUM('IS-PBC'!F31:F37)</f>
        <v>-4033.03</v>
      </c>
      <c r="H19" s="66">
        <f>+SUM('IS-PBC'!G31:G37)</f>
        <v>-144.78</v>
      </c>
      <c r="I19" s="66">
        <f>+SUM('IS-PBC'!H31:H37)</f>
        <v>-1767.1299999999999</v>
      </c>
      <c r="J19" s="66">
        <f>+SUM('IS-PBC'!I31:I37)</f>
        <v>-527.6</v>
      </c>
      <c r="K19" s="66">
        <f>+SUM('IS-PBC'!J31:J37)</f>
        <v>-855.66</v>
      </c>
      <c r="L19" s="66">
        <f>+SUM('IS-PBC'!K31:K37)</f>
        <v>-196.95999999999998</v>
      </c>
      <c r="M19" s="66">
        <f>+SUM('IS-PBC'!L31:L37)</f>
        <v>-133.99</v>
      </c>
      <c r="N19" s="66">
        <f>+SUM('IS-PBC'!M31:M37)</f>
        <v>-2658.02</v>
      </c>
      <c r="O19" s="66">
        <f t="shared" si="0"/>
        <v>-14834.99</v>
      </c>
      <c r="P19" s="725">
        <f>+'Sch 3, pg 2 - Reclass'!H20</f>
        <v>0</v>
      </c>
      <c r="Q19" s="725">
        <f>P19+O19</f>
        <v>-14834.99</v>
      </c>
      <c r="R19" s="724"/>
      <c r="S19" s="943">
        <f t="shared" si="2"/>
        <v>-14834.99</v>
      </c>
    </row>
    <row r="20" spans="1:21" ht="15" customHeight="1">
      <c r="B20" s="61"/>
      <c r="C20" s="94">
        <f t="shared" ref="C20:Q20" si="3">SUM(C12:C19)</f>
        <v>362868.33999999997</v>
      </c>
      <c r="D20" s="66">
        <f t="shared" si="3"/>
        <v>380355.24999999994</v>
      </c>
      <c r="E20" s="66">
        <f t="shared" si="3"/>
        <v>385421.08</v>
      </c>
      <c r="F20" s="66">
        <f t="shared" si="3"/>
        <v>391565.09</v>
      </c>
      <c r="G20" s="66">
        <f t="shared" si="3"/>
        <v>363735.07999999996</v>
      </c>
      <c r="H20" s="66">
        <f t="shared" si="3"/>
        <v>370469.43</v>
      </c>
      <c r="I20" s="66">
        <f t="shared" si="3"/>
        <v>384073.55999999994</v>
      </c>
      <c r="J20" s="66">
        <f t="shared" si="3"/>
        <v>346884.48000000004</v>
      </c>
      <c r="K20" s="66">
        <f t="shared" si="3"/>
        <v>340934.46</v>
      </c>
      <c r="L20" s="66">
        <f t="shared" si="3"/>
        <v>355535.41</v>
      </c>
      <c r="M20" s="66">
        <f t="shared" si="3"/>
        <v>346184.95</v>
      </c>
      <c r="N20" s="66">
        <f t="shared" si="3"/>
        <v>362068.05</v>
      </c>
      <c r="O20" s="66">
        <f t="shared" si="3"/>
        <v>4390095.18</v>
      </c>
      <c r="P20" s="725">
        <f t="shared" si="3"/>
        <v>297854.30999999994</v>
      </c>
      <c r="Q20" s="725">
        <f t="shared" si="3"/>
        <v>4687949.4899999993</v>
      </c>
      <c r="R20" s="724"/>
      <c r="S20" s="725">
        <f>SUM(S12:S19)</f>
        <v>4687949.4899999993</v>
      </c>
    </row>
    <row r="21" spans="1:21" ht="15" customHeight="1">
      <c r="B21" s="61"/>
      <c r="C21" s="78"/>
      <c r="D21" s="78"/>
      <c r="E21" s="78"/>
      <c r="F21" s="78"/>
      <c r="G21" s="78"/>
      <c r="H21" s="78"/>
      <c r="I21" s="78"/>
      <c r="J21" s="78"/>
      <c r="K21" s="78"/>
      <c r="L21" s="64"/>
      <c r="M21" s="64"/>
      <c r="N21" s="64"/>
      <c r="O21" s="64"/>
      <c r="P21" s="65"/>
      <c r="Q21" s="65"/>
      <c r="R21" s="724"/>
      <c r="S21" s="65"/>
    </row>
    <row r="22" spans="1:21" ht="15" customHeight="1">
      <c r="B22" s="93" t="s">
        <v>57</v>
      </c>
      <c r="C22" s="64"/>
      <c r="D22" s="64"/>
      <c r="E22" s="64"/>
      <c r="F22" s="64"/>
      <c r="G22" s="64"/>
      <c r="H22" s="64"/>
      <c r="I22" s="64"/>
      <c r="J22" s="64"/>
      <c r="K22" s="64"/>
      <c r="L22" s="64"/>
      <c r="M22" s="64"/>
      <c r="N22" s="64"/>
      <c r="O22" s="64"/>
      <c r="P22" s="726"/>
      <c r="Q22" s="65"/>
      <c r="R22" s="724"/>
      <c r="S22" s="65"/>
    </row>
    <row r="23" spans="1:21" ht="15" customHeight="1">
      <c r="A23" s="298">
        <v>9</v>
      </c>
      <c r="B23" s="71" t="s">
        <v>13</v>
      </c>
      <c r="C23" s="64">
        <f>+'IS-PBC'!B57</f>
        <v>40657.629999999997</v>
      </c>
      <c r="D23" s="64">
        <f>+'IS-PBC'!C57</f>
        <v>36672.11</v>
      </c>
      <c r="E23" s="64">
        <f>+'IS-PBC'!D57</f>
        <v>39772.660000000003</v>
      </c>
      <c r="F23" s="64">
        <f>+'IS-PBC'!E57</f>
        <v>35018.39</v>
      </c>
      <c r="G23" s="64">
        <f>+'IS-PBC'!F57</f>
        <v>38406.39</v>
      </c>
      <c r="H23" s="64">
        <f>+'IS-PBC'!G57</f>
        <v>39255.64</v>
      </c>
      <c r="I23" s="64">
        <f>+'IS-PBC'!H57</f>
        <v>38170.6</v>
      </c>
      <c r="J23" s="64">
        <f>+'IS-PBC'!I57</f>
        <v>41854.519999999997</v>
      </c>
      <c r="K23" s="64">
        <f>+'IS-PBC'!J57</f>
        <v>50931.71</v>
      </c>
      <c r="L23" s="64">
        <f>+'IS-PBC'!K57</f>
        <v>43179.839999999997</v>
      </c>
      <c r="M23" s="64">
        <f>+'IS-PBC'!L57</f>
        <v>51934.26</v>
      </c>
      <c r="N23" s="64">
        <f>+'IS-PBC'!M57</f>
        <v>52554.61</v>
      </c>
      <c r="O23" s="64">
        <f>SUM(C23:N23)</f>
        <v>508408.36</v>
      </c>
      <c r="P23" s="65">
        <f>+'Sch 3, pg 2 - Reclass'!D24</f>
        <v>-186641.57999999996</v>
      </c>
      <c r="Q23" s="65">
        <f t="shared" ref="Q23:Q57" si="4">O23+P23</f>
        <v>321766.78000000003</v>
      </c>
      <c r="R23" s="724"/>
      <c r="S23" s="65">
        <f t="shared" ref="S23:S86" si="5">Q23+R23</f>
        <v>321766.78000000003</v>
      </c>
      <c r="T23" s="42"/>
      <c r="U23" s="131"/>
    </row>
    <row r="24" spans="1:21" ht="15" customHeight="1">
      <c r="A24" s="298">
        <v>10</v>
      </c>
      <c r="B24" s="71" t="s">
        <v>14</v>
      </c>
      <c r="C24" s="64">
        <v>0</v>
      </c>
      <c r="D24" s="64">
        <v>0</v>
      </c>
      <c r="E24" s="64">
        <v>0</v>
      </c>
      <c r="F24" s="64">
        <v>0</v>
      </c>
      <c r="G24" s="64">
        <v>0</v>
      </c>
      <c r="H24" s="64">
        <v>0</v>
      </c>
      <c r="I24" s="64">
        <v>0</v>
      </c>
      <c r="J24" s="64">
        <v>0</v>
      </c>
      <c r="K24" s="64">
        <v>0</v>
      </c>
      <c r="L24" s="64">
        <v>0</v>
      </c>
      <c r="M24" s="64">
        <v>0</v>
      </c>
      <c r="N24" s="64">
        <v>0</v>
      </c>
      <c r="O24" s="64">
        <f t="shared" ref="O24:O86" si="6">SUM(C24:N24)</f>
        <v>0</v>
      </c>
      <c r="P24" s="65">
        <f>+'Sch 3, pg 2 - Reclass'!D25</f>
        <v>155322.54999999999</v>
      </c>
      <c r="Q24" s="65">
        <f t="shared" si="4"/>
        <v>155322.54999999999</v>
      </c>
      <c r="R24" s="724"/>
      <c r="S24" s="65">
        <f t="shared" si="5"/>
        <v>155322.54999999999</v>
      </c>
      <c r="T24" s="42"/>
      <c r="U24" s="131"/>
    </row>
    <row r="25" spans="1:21" ht="15" customHeight="1">
      <c r="A25" s="298">
        <v>11</v>
      </c>
      <c r="B25" s="71" t="s">
        <v>15</v>
      </c>
      <c r="C25" s="64">
        <f>+'IS-PBC'!B55</f>
        <v>20692.05</v>
      </c>
      <c r="D25" s="64">
        <f>+'IS-PBC'!C55</f>
        <v>31923.5</v>
      </c>
      <c r="E25" s="64">
        <f>+'IS-PBC'!D55</f>
        <v>35259.480000000003</v>
      </c>
      <c r="F25" s="64">
        <f>+'IS-PBC'!E55</f>
        <v>30174.240000000002</v>
      </c>
      <c r="G25" s="64">
        <f>+'IS-PBC'!F55</f>
        <v>33784.06</v>
      </c>
      <c r="H25" s="64">
        <f>+'IS-PBC'!G55</f>
        <v>32236.61</v>
      </c>
      <c r="I25" s="64">
        <f>+'IS-PBC'!H55</f>
        <v>25670.66</v>
      </c>
      <c r="J25" s="64">
        <f>+'IS-PBC'!I55</f>
        <v>32574.97</v>
      </c>
      <c r="K25" s="64">
        <f>+'IS-PBC'!J55</f>
        <v>45536.02</v>
      </c>
      <c r="L25" s="64">
        <f>+'IS-PBC'!K55</f>
        <v>32517.200000000001</v>
      </c>
      <c r="M25" s="64">
        <f>+'IS-PBC'!L55</f>
        <v>26150.26</v>
      </c>
      <c r="N25" s="64">
        <f>+'IS-PBC'!M55</f>
        <v>35736.99</v>
      </c>
      <c r="O25" s="64">
        <f t="shared" si="6"/>
        <v>382256.04000000004</v>
      </c>
      <c r="P25" s="65">
        <f>+'Sch 3, pg 2 - Reclass'!D26</f>
        <v>-24769.070000000007</v>
      </c>
      <c r="Q25" s="65">
        <f t="shared" si="4"/>
        <v>357486.97000000003</v>
      </c>
      <c r="R25" s="724"/>
      <c r="S25" s="65">
        <f t="shared" si="5"/>
        <v>357486.97000000003</v>
      </c>
      <c r="T25" s="42"/>
      <c r="U25" s="131"/>
    </row>
    <row r="26" spans="1:21" ht="15" customHeight="1">
      <c r="A26" s="298">
        <v>12</v>
      </c>
      <c r="B26" s="71" t="s">
        <v>16</v>
      </c>
      <c r="C26" s="64">
        <v>0</v>
      </c>
      <c r="D26" s="64">
        <v>0</v>
      </c>
      <c r="E26" s="64">
        <v>0</v>
      </c>
      <c r="F26" s="64">
        <v>0</v>
      </c>
      <c r="G26" s="64">
        <v>0</v>
      </c>
      <c r="H26" s="64">
        <v>0</v>
      </c>
      <c r="I26" s="64">
        <v>0</v>
      </c>
      <c r="J26" s="64">
        <v>0</v>
      </c>
      <c r="K26" s="64">
        <v>0</v>
      </c>
      <c r="L26" s="64">
        <v>0</v>
      </c>
      <c r="M26" s="64">
        <v>0</v>
      </c>
      <c r="N26" s="64">
        <v>0</v>
      </c>
      <c r="O26" s="64">
        <f t="shared" si="6"/>
        <v>0</v>
      </c>
      <c r="P26" s="65">
        <f>+'Sch 3, pg 2 - Reclass'!D27</f>
        <v>78575.350000000006</v>
      </c>
      <c r="Q26" s="65">
        <f t="shared" si="4"/>
        <v>78575.350000000006</v>
      </c>
      <c r="R26" s="724"/>
      <c r="S26" s="65">
        <f t="shared" si="5"/>
        <v>78575.350000000006</v>
      </c>
      <c r="T26" s="42"/>
      <c r="U26" s="131"/>
    </row>
    <row r="27" spans="1:21" ht="15" customHeight="1">
      <c r="A27" s="298">
        <v>13</v>
      </c>
      <c r="B27" s="71" t="s">
        <v>118</v>
      </c>
      <c r="C27" s="64">
        <f>+'IS-PBC'!B56</f>
        <v>0</v>
      </c>
      <c r="D27" s="64">
        <f>+'IS-PBC'!C56</f>
        <v>0</v>
      </c>
      <c r="E27" s="64">
        <f>+'IS-PBC'!D56</f>
        <v>227.53</v>
      </c>
      <c r="F27" s="64">
        <f>+'IS-PBC'!E56</f>
        <v>-227.53</v>
      </c>
      <c r="G27" s="64">
        <f>+'IS-PBC'!F56</f>
        <v>0</v>
      </c>
      <c r="H27" s="64">
        <f>+'IS-PBC'!G56</f>
        <v>0</v>
      </c>
      <c r="I27" s="64">
        <f>+'IS-PBC'!H56</f>
        <v>0</v>
      </c>
      <c r="J27" s="64">
        <f>+'IS-PBC'!I56</f>
        <v>0</v>
      </c>
      <c r="K27" s="64">
        <f>+'IS-PBC'!J56</f>
        <v>0</v>
      </c>
      <c r="L27" s="64">
        <f>+'IS-PBC'!K56</f>
        <v>0</v>
      </c>
      <c r="M27" s="64">
        <f>+'IS-PBC'!L56</f>
        <v>0</v>
      </c>
      <c r="N27" s="64">
        <f>+'IS-PBC'!M56</f>
        <v>0</v>
      </c>
      <c r="O27" s="64">
        <f t="shared" si="6"/>
        <v>0</v>
      </c>
      <c r="P27" s="65">
        <f>+'Sch 3, pg 2 - Reclass'!D28</f>
        <v>49830.86</v>
      </c>
      <c r="Q27" s="65">
        <f t="shared" si="4"/>
        <v>49830.86</v>
      </c>
      <c r="R27" s="724"/>
      <c r="S27" s="65">
        <f t="shared" si="5"/>
        <v>49830.86</v>
      </c>
      <c r="T27" s="42"/>
      <c r="U27" s="131"/>
    </row>
    <row r="28" spans="1:21" ht="15" customHeight="1">
      <c r="A28" s="298">
        <v>14</v>
      </c>
      <c r="B28" s="71" t="s">
        <v>17</v>
      </c>
      <c r="C28" s="64">
        <v>0</v>
      </c>
      <c r="D28" s="64">
        <v>0</v>
      </c>
      <c r="E28" s="64">
        <v>0</v>
      </c>
      <c r="F28" s="64">
        <v>0</v>
      </c>
      <c r="G28" s="64">
        <v>0</v>
      </c>
      <c r="H28" s="64">
        <v>0</v>
      </c>
      <c r="I28" s="64">
        <v>0</v>
      </c>
      <c r="J28" s="64">
        <v>0</v>
      </c>
      <c r="K28" s="64">
        <v>0</v>
      </c>
      <c r="L28" s="64">
        <v>0</v>
      </c>
      <c r="M28" s="64">
        <v>0</v>
      </c>
      <c r="N28" s="64">
        <v>0</v>
      </c>
      <c r="O28" s="64">
        <f>SUM(C28:N28)</f>
        <v>0</v>
      </c>
      <c r="P28" s="65">
        <f>+'Sch 3, pg 2 - Reclass'!H29</f>
        <v>0</v>
      </c>
      <c r="Q28" s="65">
        <f>O28+P28</f>
        <v>0</v>
      </c>
      <c r="R28" s="724"/>
      <c r="S28" s="65">
        <f t="shared" si="5"/>
        <v>0</v>
      </c>
      <c r="T28" s="42"/>
      <c r="U28" s="131"/>
    </row>
    <row r="29" spans="1:21" ht="15" customHeight="1">
      <c r="A29" s="298">
        <v>15</v>
      </c>
      <c r="B29" s="71" t="s">
        <v>409</v>
      </c>
      <c r="C29" s="64">
        <f>+'IS-PBC'!B49</f>
        <v>0</v>
      </c>
      <c r="D29" s="64">
        <f>+'IS-PBC'!C49</f>
        <v>0</v>
      </c>
      <c r="E29" s="64">
        <f>+'IS-PBC'!D49</f>
        <v>0</v>
      </c>
      <c r="F29" s="64">
        <f>+'IS-PBC'!E49</f>
        <v>0</v>
      </c>
      <c r="G29" s="64">
        <f>+'IS-PBC'!F49</f>
        <v>0</v>
      </c>
      <c r="H29" s="64">
        <f>+'IS-PBC'!G49</f>
        <v>0</v>
      </c>
      <c r="I29" s="64">
        <f>+'IS-PBC'!H49</f>
        <v>0</v>
      </c>
      <c r="J29" s="64">
        <f>+'IS-PBC'!I49</f>
        <v>0</v>
      </c>
      <c r="K29" s="64">
        <f>+'IS-PBC'!J49</f>
        <v>0</v>
      </c>
      <c r="L29" s="64">
        <f>+'IS-PBC'!K49</f>
        <v>0</v>
      </c>
      <c r="M29" s="64">
        <f>+'IS-PBC'!L49</f>
        <v>0</v>
      </c>
      <c r="N29" s="64">
        <f>+'IS-PBC'!M49</f>
        <v>0</v>
      </c>
      <c r="O29" s="64">
        <f t="shared" si="6"/>
        <v>0</v>
      </c>
      <c r="P29" s="65">
        <v>0</v>
      </c>
      <c r="Q29" s="65">
        <f t="shared" si="4"/>
        <v>0</v>
      </c>
      <c r="R29" s="724"/>
      <c r="S29" s="65">
        <f t="shared" si="5"/>
        <v>0</v>
      </c>
      <c r="T29" s="42"/>
      <c r="U29" s="131"/>
    </row>
    <row r="30" spans="1:21" ht="15" customHeight="1">
      <c r="A30" s="298">
        <v>16</v>
      </c>
      <c r="B30" s="71" t="s">
        <v>18</v>
      </c>
      <c r="C30" s="64">
        <f>+'IS-PBC'!B50+'IS-PBC'!B51+'IS-PBC'!B52</f>
        <v>12733.93</v>
      </c>
      <c r="D30" s="64">
        <f>+'IS-PBC'!C50+'IS-PBC'!C51+'IS-PBC'!C52</f>
        <v>13028.67</v>
      </c>
      <c r="E30" s="64">
        <f>+'IS-PBC'!D50+'IS-PBC'!D51+'IS-PBC'!D52</f>
        <v>14810.9</v>
      </c>
      <c r="F30" s="64">
        <f>+'IS-PBC'!E50+'IS-PBC'!E51+'IS-PBC'!E52</f>
        <v>8528.91</v>
      </c>
      <c r="G30" s="64">
        <f>+'IS-PBC'!F50+'IS-PBC'!F51+'IS-PBC'!F52</f>
        <v>11514.54</v>
      </c>
      <c r="H30" s="64">
        <f>+'IS-PBC'!G50+'IS-PBC'!G51+'IS-PBC'!G52</f>
        <v>12090.42</v>
      </c>
      <c r="I30" s="64">
        <f>+'IS-PBC'!H50+'IS-PBC'!H51+'IS-PBC'!H52</f>
        <v>9859.43</v>
      </c>
      <c r="J30" s="64">
        <f>+'IS-PBC'!I50+'IS-PBC'!I51+'IS-PBC'!I52</f>
        <v>11148.92</v>
      </c>
      <c r="K30" s="64">
        <f>+'IS-PBC'!J50+'IS-PBC'!J51+'IS-PBC'!J52</f>
        <v>7108.37</v>
      </c>
      <c r="L30" s="64">
        <f>+'IS-PBC'!K50+'IS-PBC'!K51+'IS-PBC'!K52</f>
        <v>12085.539999999999</v>
      </c>
      <c r="M30" s="64">
        <f>+'IS-PBC'!L50+'IS-PBC'!L51+'IS-PBC'!L52</f>
        <v>11982.7</v>
      </c>
      <c r="N30" s="64">
        <f>+'IS-PBC'!M50+'IS-PBC'!M51+'IS-PBC'!M52</f>
        <v>14583.4</v>
      </c>
      <c r="O30" s="64">
        <f t="shared" si="6"/>
        <v>139475.73000000001</v>
      </c>
      <c r="P30" s="65">
        <v>0</v>
      </c>
      <c r="Q30" s="65">
        <f t="shared" si="4"/>
        <v>139475.73000000001</v>
      </c>
      <c r="R30" s="724"/>
      <c r="S30" s="65">
        <f t="shared" si="5"/>
        <v>139475.73000000001</v>
      </c>
      <c r="T30" s="42"/>
      <c r="U30" s="131"/>
    </row>
    <row r="31" spans="1:21" ht="15" customHeight="1">
      <c r="A31" s="298">
        <v>17</v>
      </c>
      <c r="B31" s="71" t="s">
        <v>19</v>
      </c>
      <c r="C31" s="64">
        <f>+'IS-PBC'!B111</f>
        <v>2373.4899999999998</v>
      </c>
      <c r="D31" s="64">
        <f>+'IS-PBC'!C111</f>
        <v>1310.72</v>
      </c>
      <c r="E31" s="64">
        <f>+'IS-PBC'!D111</f>
        <v>6136.12</v>
      </c>
      <c r="F31" s="64">
        <f>+'IS-PBC'!E111</f>
        <v>204.14</v>
      </c>
      <c r="G31" s="64">
        <f>+'IS-PBC'!F111</f>
        <v>6053.47</v>
      </c>
      <c r="H31" s="64">
        <f>+'IS-PBC'!G111</f>
        <v>2209.2399999999998</v>
      </c>
      <c r="I31" s="64">
        <f>+'IS-PBC'!H111</f>
        <v>4207.03</v>
      </c>
      <c r="J31" s="64">
        <f>+'IS-PBC'!I111</f>
        <v>2539.66</v>
      </c>
      <c r="K31" s="64">
        <f>+'IS-PBC'!J111</f>
        <v>0</v>
      </c>
      <c r="L31" s="64">
        <f>+'IS-PBC'!K111</f>
        <v>15538.87</v>
      </c>
      <c r="M31" s="64">
        <f>+'IS-PBC'!L111</f>
        <v>9734.86</v>
      </c>
      <c r="N31" s="64">
        <f>+'IS-PBC'!M111</f>
        <v>11705.13</v>
      </c>
      <c r="O31" s="64">
        <f t="shared" si="6"/>
        <v>62012.729999999996</v>
      </c>
      <c r="P31" s="65">
        <v>0</v>
      </c>
      <c r="Q31" s="65">
        <f t="shared" si="4"/>
        <v>62012.729999999996</v>
      </c>
      <c r="R31" s="724"/>
      <c r="S31" s="65">
        <f t="shared" si="5"/>
        <v>62012.729999999996</v>
      </c>
      <c r="T31" s="42"/>
      <c r="U31" s="131"/>
    </row>
    <row r="32" spans="1:21" ht="15" customHeight="1">
      <c r="A32" s="298">
        <v>18</v>
      </c>
      <c r="B32" s="71" t="s">
        <v>25</v>
      </c>
      <c r="C32" s="64">
        <f>+'IS-PBC'!B144+'IS-PBC'!B48</f>
        <v>3000</v>
      </c>
      <c r="D32" s="64">
        <f>+'IS-PBC'!C144+'IS-PBC'!C48</f>
        <v>3000</v>
      </c>
      <c r="E32" s="64">
        <f>+'IS-PBC'!D144+'IS-PBC'!D48</f>
        <v>3000</v>
      </c>
      <c r="F32" s="64">
        <f>+'IS-PBC'!E144+'IS-PBC'!E48</f>
        <v>3000</v>
      </c>
      <c r="G32" s="64">
        <f>+'IS-PBC'!F144+'IS-PBC'!F48</f>
        <v>3000</v>
      </c>
      <c r="H32" s="64">
        <f>+'IS-PBC'!G144+'IS-PBC'!G48</f>
        <v>3000</v>
      </c>
      <c r="I32" s="64">
        <f>+'IS-PBC'!H144+'IS-PBC'!H48</f>
        <v>3000</v>
      </c>
      <c r="J32" s="64">
        <f>+'IS-PBC'!I144+'IS-PBC'!I48</f>
        <v>3000</v>
      </c>
      <c r="K32" s="64">
        <f>+'IS-PBC'!J144+'IS-PBC'!J48</f>
        <v>3000</v>
      </c>
      <c r="L32" s="64">
        <f>+'IS-PBC'!K144+'IS-PBC'!K48</f>
        <v>3000</v>
      </c>
      <c r="M32" s="64">
        <f>+'IS-PBC'!L144+'IS-PBC'!L48</f>
        <v>3000</v>
      </c>
      <c r="N32" s="64">
        <f>+'IS-PBC'!M144+'IS-PBC'!M48</f>
        <v>3000</v>
      </c>
      <c r="O32" s="64">
        <f t="shared" si="6"/>
        <v>36000</v>
      </c>
      <c r="P32" s="65">
        <v>0</v>
      </c>
      <c r="Q32" s="65">
        <f t="shared" si="4"/>
        <v>36000</v>
      </c>
      <c r="R32" s="724"/>
      <c r="S32" s="65">
        <f t="shared" si="5"/>
        <v>36000</v>
      </c>
      <c r="T32" s="42"/>
      <c r="U32" s="131"/>
    </row>
    <row r="33" spans="1:21" ht="15" customHeight="1">
      <c r="A33" s="298">
        <v>19</v>
      </c>
      <c r="B33" s="71" t="s">
        <v>156</v>
      </c>
      <c r="C33" s="64">
        <f>+'IS-PBC'!B145+'IS-PBC'!B146+'IS-PBC'!B147</f>
        <v>0</v>
      </c>
      <c r="D33" s="64">
        <f>+'IS-PBC'!C145+'IS-PBC'!C146+'IS-PBC'!C147</f>
        <v>0</v>
      </c>
      <c r="E33" s="64">
        <f>+'IS-PBC'!D145+'IS-PBC'!D146+'IS-PBC'!D147</f>
        <v>0</v>
      </c>
      <c r="F33" s="64">
        <f>+'IS-PBC'!E145+'IS-PBC'!E146+'IS-PBC'!E147</f>
        <v>0</v>
      </c>
      <c r="G33" s="64">
        <f>+'IS-PBC'!F145+'IS-PBC'!F146+'IS-PBC'!F147</f>
        <v>0</v>
      </c>
      <c r="H33" s="64">
        <f>+'IS-PBC'!G145+'IS-PBC'!G146+'IS-PBC'!G147</f>
        <v>0</v>
      </c>
      <c r="I33" s="64">
        <f>+'IS-PBC'!H145+'IS-PBC'!H146+'IS-PBC'!H147</f>
        <v>0</v>
      </c>
      <c r="J33" s="64">
        <f>+'IS-PBC'!I145+'IS-PBC'!I146+'IS-PBC'!I147</f>
        <v>0</v>
      </c>
      <c r="K33" s="64">
        <f>+'IS-PBC'!J145+'IS-PBC'!J146+'IS-PBC'!J147</f>
        <v>0</v>
      </c>
      <c r="L33" s="64">
        <f>+'IS-PBC'!K145+'IS-PBC'!K146+'IS-PBC'!K147</f>
        <v>0</v>
      </c>
      <c r="M33" s="64">
        <f>+'IS-PBC'!L145+'IS-PBC'!L146+'IS-PBC'!L147</f>
        <v>0</v>
      </c>
      <c r="N33" s="64">
        <f>+'IS-PBC'!M145+'IS-PBC'!M146+'IS-PBC'!M147</f>
        <v>0</v>
      </c>
      <c r="O33" s="64">
        <f t="shared" si="6"/>
        <v>0</v>
      </c>
      <c r="P33" s="65">
        <v>0</v>
      </c>
      <c r="Q33" s="65">
        <f t="shared" si="4"/>
        <v>0</v>
      </c>
      <c r="R33" s="724"/>
      <c r="S33" s="65">
        <f t="shared" si="5"/>
        <v>0</v>
      </c>
      <c r="T33" s="42"/>
      <c r="U33" s="131"/>
    </row>
    <row r="34" spans="1:21" ht="15" customHeight="1">
      <c r="A34" s="298">
        <v>20</v>
      </c>
      <c r="B34" s="71" t="s">
        <v>20</v>
      </c>
      <c r="C34" s="64">
        <f>+'IS-PBC'!B54</f>
        <v>4209.37</v>
      </c>
      <c r="D34" s="64">
        <f>+'IS-PBC'!C54</f>
        <v>2991.81</v>
      </c>
      <c r="E34" s="64">
        <f>+'IS-PBC'!D54</f>
        <v>3742.58</v>
      </c>
      <c r="F34" s="64">
        <f>+'IS-PBC'!E54</f>
        <v>11689.15</v>
      </c>
      <c r="G34" s="64">
        <f>+'IS-PBC'!F54</f>
        <v>7707.48</v>
      </c>
      <c r="H34" s="64">
        <f>+'IS-PBC'!G54</f>
        <v>7207.52</v>
      </c>
      <c r="I34" s="64">
        <f>+'IS-PBC'!H54</f>
        <v>3782.76</v>
      </c>
      <c r="J34" s="64">
        <f>+'IS-PBC'!I54</f>
        <v>3305.58</v>
      </c>
      <c r="K34" s="64">
        <f>+'IS-PBC'!J54</f>
        <v>2782.01</v>
      </c>
      <c r="L34" s="64">
        <f>+'IS-PBC'!K54</f>
        <v>3039.04</v>
      </c>
      <c r="M34" s="64">
        <f>+'IS-PBC'!L54</f>
        <v>9482.36</v>
      </c>
      <c r="N34" s="64">
        <f>+'IS-PBC'!M54</f>
        <v>6155.77</v>
      </c>
      <c r="O34" s="64">
        <f t="shared" si="6"/>
        <v>66095.430000000008</v>
      </c>
      <c r="P34" s="65">
        <v>0</v>
      </c>
      <c r="Q34" s="65">
        <f t="shared" si="4"/>
        <v>66095.430000000008</v>
      </c>
      <c r="R34" s="724"/>
      <c r="S34" s="65">
        <f t="shared" si="5"/>
        <v>66095.430000000008</v>
      </c>
      <c r="T34" s="42"/>
      <c r="U34" s="131"/>
    </row>
    <row r="35" spans="1:21" ht="15" customHeight="1">
      <c r="A35" s="298">
        <v>21</v>
      </c>
      <c r="B35" s="71" t="s">
        <v>21</v>
      </c>
      <c r="C35" s="64">
        <f>+'IS-PBC'!B58</f>
        <v>16965.78</v>
      </c>
      <c r="D35" s="64">
        <f>+'IS-PBC'!C58</f>
        <v>19720.330000000002</v>
      </c>
      <c r="E35" s="64">
        <f>+'IS-PBC'!D58</f>
        <v>19173.97</v>
      </c>
      <c r="F35" s="64">
        <f>+'IS-PBC'!E58</f>
        <v>18179.57</v>
      </c>
      <c r="G35" s="64">
        <f>+'IS-PBC'!F58</f>
        <v>20648.11</v>
      </c>
      <c r="H35" s="64">
        <f>+'IS-PBC'!G58</f>
        <v>18979.18</v>
      </c>
      <c r="I35" s="64">
        <f>+'IS-PBC'!H58</f>
        <v>20462.32</v>
      </c>
      <c r="J35" s="64">
        <f>+'IS-PBC'!I58</f>
        <v>21982.91</v>
      </c>
      <c r="K35" s="64">
        <f>+'IS-PBC'!J58</f>
        <v>19584.52</v>
      </c>
      <c r="L35" s="64">
        <f>+'IS-PBC'!K58</f>
        <v>19785.3</v>
      </c>
      <c r="M35" s="64">
        <f>+'IS-PBC'!L58</f>
        <v>18385.77</v>
      </c>
      <c r="N35" s="64">
        <f>+'IS-PBC'!M58</f>
        <v>18368.02</v>
      </c>
      <c r="O35" s="64">
        <f t="shared" si="6"/>
        <v>232235.77999999997</v>
      </c>
      <c r="P35" s="65">
        <v>0</v>
      </c>
      <c r="Q35" s="65">
        <f t="shared" si="4"/>
        <v>232235.77999999997</v>
      </c>
      <c r="R35" s="724"/>
      <c r="S35" s="65">
        <f t="shared" si="5"/>
        <v>232235.77999999997</v>
      </c>
      <c r="T35" s="42"/>
      <c r="U35" s="131"/>
    </row>
    <row r="36" spans="1:21" ht="15" customHeight="1">
      <c r="A36" s="298">
        <v>22</v>
      </c>
      <c r="B36" s="71" t="s">
        <v>22</v>
      </c>
      <c r="C36" s="64">
        <f>+'IS-PBC'!B93</f>
        <v>0</v>
      </c>
      <c r="D36" s="64">
        <f>+'IS-PBC'!C59</f>
        <v>0</v>
      </c>
      <c r="E36" s="64">
        <f>+'IS-PBC'!D59</f>
        <v>0</v>
      </c>
      <c r="F36" s="64">
        <f>+'IS-PBC'!E59</f>
        <v>0</v>
      </c>
      <c r="G36" s="64">
        <f>+'IS-PBC'!F59</f>
        <v>0</v>
      </c>
      <c r="H36" s="64">
        <f>+'IS-PBC'!G59</f>
        <v>0</v>
      </c>
      <c r="I36" s="64">
        <f>+'IS-PBC'!H59</f>
        <v>0</v>
      </c>
      <c r="J36" s="64">
        <f>+'IS-PBC'!I59</f>
        <v>0</v>
      </c>
      <c r="K36" s="64">
        <f>+'IS-PBC'!J59</f>
        <v>0</v>
      </c>
      <c r="L36" s="64">
        <f>+'IS-PBC'!K59</f>
        <v>0</v>
      </c>
      <c r="M36" s="64">
        <f>+'IS-PBC'!L59</f>
        <v>0</v>
      </c>
      <c r="N36" s="64">
        <f>+'IS-PBC'!M59</f>
        <v>0</v>
      </c>
      <c r="O36" s="64">
        <f t="shared" si="6"/>
        <v>0</v>
      </c>
      <c r="P36" s="65">
        <f>-'Sch 3, pg 2 - Reclass'!B37</f>
        <v>0</v>
      </c>
      <c r="Q36" s="65">
        <f t="shared" si="4"/>
        <v>0</v>
      </c>
      <c r="R36" s="724"/>
      <c r="S36" s="65">
        <f t="shared" si="5"/>
        <v>0</v>
      </c>
      <c r="T36" s="42"/>
      <c r="U36" s="131"/>
    </row>
    <row r="37" spans="1:21" ht="15" customHeight="1">
      <c r="A37" s="298">
        <v>23</v>
      </c>
      <c r="B37" s="71" t="s">
        <v>372</v>
      </c>
      <c r="C37" s="64">
        <f>'IS-PBC'!B60</f>
        <v>60613.34</v>
      </c>
      <c r="D37" s="64">
        <f>'IS-PBC'!C60</f>
        <v>75310.429999999993</v>
      </c>
      <c r="E37" s="64">
        <f>'IS-PBC'!D60</f>
        <v>68762.87</v>
      </c>
      <c r="F37" s="64">
        <f>'IS-PBC'!E60</f>
        <v>65112.160000000003</v>
      </c>
      <c r="G37" s="64">
        <f>'IS-PBC'!F60</f>
        <v>71804.990000000005</v>
      </c>
      <c r="H37" s="64">
        <f>'IS-PBC'!G60</f>
        <v>63182.8</v>
      </c>
      <c r="I37" s="64">
        <f>'IS-PBC'!H60</f>
        <v>67492.759999999995</v>
      </c>
      <c r="J37" s="64">
        <f>'IS-PBC'!I60</f>
        <v>69557.75</v>
      </c>
      <c r="K37" s="64">
        <f>'IS-PBC'!J60</f>
        <v>61848.23</v>
      </c>
      <c r="L37" s="64">
        <f>'IS-PBC'!K60</f>
        <v>70112.59</v>
      </c>
      <c r="M37" s="64">
        <f>'IS-PBC'!L60</f>
        <v>57961.96</v>
      </c>
      <c r="N37" s="64">
        <f>'IS-PBC'!M60</f>
        <v>67336.19</v>
      </c>
      <c r="O37" s="64">
        <f t="shared" si="6"/>
        <v>799096.06999999983</v>
      </c>
      <c r="P37" s="65">
        <f>+'Sch 3, pg 2 - Reclass'!F38</f>
        <v>0</v>
      </c>
      <c r="Q37" s="65">
        <f t="shared" si="4"/>
        <v>799096.06999999983</v>
      </c>
      <c r="R37" s="724"/>
      <c r="S37" s="65">
        <f t="shared" si="5"/>
        <v>799096.06999999983</v>
      </c>
      <c r="T37" s="42"/>
      <c r="U37" s="131"/>
    </row>
    <row r="38" spans="1:21" ht="15" customHeight="1">
      <c r="A38" s="298">
        <v>24</v>
      </c>
      <c r="B38" s="71" t="s">
        <v>377</v>
      </c>
      <c r="C38" s="64">
        <f>'IS-PBC'!B63</f>
        <v>0</v>
      </c>
      <c r="D38" s="64">
        <f>'IS-PBC'!C63</f>
        <v>0</v>
      </c>
      <c r="E38" s="64">
        <f>'IS-PBC'!D63</f>
        <v>0</v>
      </c>
      <c r="F38" s="64">
        <f>'IS-PBC'!E63</f>
        <v>0</v>
      </c>
      <c r="G38" s="64">
        <f>'IS-PBC'!F63</f>
        <v>0</v>
      </c>
      <c r="H38" s="64">
        <f>'IS-PBC'!G63</f>
        <v>0</v>
      </c>
      <c r="I38" s="64">
        <f>'IS-PBC'!H63</f>
        <v>0</v>
      </c>
      <c r="J38" s="64">
        <f>'IS-PBC'!I63</f>
        <v>0</v>
      </c>
      <c r="K38" s="64">
        <f>'IS-PBC'!J63</f>
        <v>0</v>
      </c>
      <c r="L38" s="64">
        <f>'IS-PBC'!K63</f>
        <v>0</v>
      </c>
      <c r="M38" s="64">
        <f>'IS-PBC'!L63</f>
        <v>0</v>
      </c>
      <c r="N38" s="64">
        <f>'IS-PBC'!M63</f>
        <v>0</v>
      </c>
      <c r="O38" s="64">
        <f t="shared" si="6"/>
        <v>0</v>
      </c>
      <c r="P38" s="65">
        <f>+'Sch 3, pg 2 - Reclass'!H39</f>
        <v>0</v>
      </c>
      <c r="Q38" s="65">
        <f t="shared" si="4"/>
        <v>0</v>
      </c>
      <c r="R38" s="724"/>
      <c r="S38" s="65">
        <f t="shared" si="5"/>
        <v>0</v>
      </c>
      <c r="T38" s="42"/>
      <c r="U38" s="131"/>
    </row>
    <row r="39" spans="1:21" ht="15" customHeight="1">
      <c r="A39" s="298">
        <v>25</v>
      </c>
      <c r="B39" s="71" t="s">
        <v>378</v>
      </c>
      <c r="C39" s="68">
        <f>'IS-PBC'!B62</f>
        <v>2677.17</v>
      </c>
      <c r="D39" s="68">
        <f>'IS-PBC'!C62</f>
        <v>2635.36</v>
      </c>
      <c r="E39" s="68">
        <f>'IS-PBC'!D62</f>
        <v>2443.14</v>
      </c>
      <c r="F39" s="68">
        <f>'IS-PBC'!E62</f>
        <v>4172.07</v>
      </c>
      <c r="G39" s="68">
        <f>'IS-PBC'!F62</f>
        <v>3281.47</v>
      </c>
      <c r="H39" s="68">
        <f>'IS-PBC'!G62</f>
        <v>3280.04</v>
      </c>
      <c r="I39" s="68">
        <f>'IS-PBC'!H62</f>
        <v>2606.98</v>
      </c>
      <c r="J39" s="68">
        <f>'IS-PBC'!I62</f>
        <v>2029.53</v>
      </c>
      <c r="K39" s="68">
        <f>'IS-PBC'!J62</f>
        <v>1868.25</v>
      </c>
      <c r="L39" s="68">
        <f>'IS-PBC'!K62</f>
        <v>1867.25</v>
      </c>
      <c r="M39" s="68">
        <f>'IS-PBC'!L62</f>
        <v>2207.7399999999998</v>
      </c>
      <c r="N39" s="68">
        <f>'IS-PBC'!M62</f>
        <v>2666.3</v>
      </c>
      <c r="O39" s="64">
        <f t="shared" si="6"/>
        <v>31735.3</v>
      </c>
      <c r="P39" s="65">
        <f>+'Sch 3, pg 2 - Reclass'!H40</f>
        <v>-31735.3</v>
      </c>
      <c r="Q39" s="65">
        <f t="shared" si="4"/>
        <v>0</v>
      </c>
      <c r="R39" s="724"/>
      <c r="S39" s="65">
        <f t="shared" si="5"/>
        <v>0</v>
      </c>
      <c r="T39" s="42"/>
      <c r="U39" s="131"/>
    </row>
    <row r="40" spans="1:21" ht="15" customHeight="1">
      <c r="A40" s="298">
        <v>26</v>
      </c>
      <c r="B40" s="71" t="s">
        <v>104</v>
      </c>
      <c r="C40" s="64">
        <f>'IS-PBC'!B61</f>
        <v>23879.75</v>
      </c>
      <c r="D40" s="64">
        <f>'IS-PBC'!C61</f>
        <v>31763.200000000001</v>
      </c>
      <c r="E40" s="64">
        <f>'IS-PBC'!D61</f>
        <v>32518.89</v>
      </c>
      <c r="F40" s="64">
        <f>'IS-PBC'!E61</f>
        <v>27194.66</v>
      </c>
      <c r="G40" s="64">
        <f>'IS-PBC'!F61</f>
        <v>16547.78</v>
      </c>
      <c r="H40" s="64">
        <f>'IS-PBC'!G61</f>
        <v>18452.240000000002</v>
      </c>
      <c r="I40" s="64">
        <f>'IS-PBC'!H61</f>
        <v>28618.31</v>
      </c>
      <c r="J40" s="64">
        <f>'IS-PBC'!I61</f>
        <v>16405.939999999999</v>
      </c>
      <c r="K40" s="64">
        <f>'IS-PBC'!J61</f>
        <v>13204.73</v>
      </c>
      <c r="L40" s="64">
        <f>'IS-PBC'!K61</f>
        <v>18598.8</v>
      </c>
      <c r="M40" s="64">
        <f>'IS-PBC'!L61</f>
        <v>17668.349999999999</v>
      </c>
      <c r="N40" s="64">
        <f>'IS-PBC'!M61</f>
        <v>21089.200000000001</v>
      </c>
      <c r="O40" s="64">
        <f t="shared" si="6"/>
        <v>265941.84999999998</v>
      </c>
      <c r="P40" s="65">
        <f>+'Sch 3, pg 2 - Reclass'!H41</f>
        <v>31735.3</v>
      </c>
      <c r="Q40" s="65">
        <f t="shared" si="4"/>
        <v>297677.14999999997</v>
      </c>
      <c r="R40" s="724"/>
      <c r="S40" s="65">
        <f t="shared" si="5"/>
        <v>297677.14999999997</v>
      </c>
      <c r="T40" s="42"/>
      <c r="U40" s="131"/>
    </row>
    <row r="41" spans="1:21" ht="15" customHeight="1">
      <c r="A41" s="298">
        <v>27</v>
      </c>
      <c r="B41" s="71" t="s">
        <v>621</v>
      </c>
      <c r="C41" s="64">
        <f>+'IS-PBC'!B65</f>
        <v>2000</v>
      </c>
      <c r="D41" s="64">
        <f>+'IS-PBC'!C65</f>
        <v>2000</v>
      </c>
      <c r="E41" s="64">
        <f>+'IS-PBC'!D65</f>
        <v>2000</v>
      </c>
      <c r="F41" s="64">
        <f>+'IS-PBC'!E65</f>
        <v>2000</v>
      </c>
      <c r="G41" s="64">
        <f>+'IS-PBC'!F65</f>
        <v>2000</v>
      </c>
      <c r="H41" s="64">
        <f>+'IS-PBC'!G65</f>
        <v>2000</v>
      </c>
      <c r="I41" s="64">
        <f>+'IS-PBC'!H65</f>
        <v>2000</v>
      </c>
      <c r="J41" s="64">
        <f>+'IS-PBC'!I65</f>
        <v>2000</v>
      </c>
      <c r="K41" s="64">
        <f>+'IS-PBC'!J65</f>
        <v>2000</v>
      </c>
      <c r="L41" s="64">
        <f>+'IS-PBC'!K65</f>
        <v>2000</v>
      </c>
      <c r="M41" s="64">
        <f>+'IS-PBC'!L65</f>
        <v>2000</v>
      </c>
      <c r="N41" s="64">
        <f>+'IS-PBC'!M65</f>
        <v>2000</v>
      </c>
      <c r="O41" s="64">
        <f t="shared" si="6"/>
        <v>24000</v>
      </c>
      <c r="P41" s="65"/>
      <c r="Q41" s="65">
        <f t="shared" si="4"/>
        <v>24000</v>
      </c>
      <c r="R41" s="724"/>
      <c r="S41" s="65">
        <f t="shared" si="5"/>
        <v>24000</v>
      </c>
      <c r="T41" s="42"/>
      <c r="U41" s="131"/>
    </row>
    <row r="42" spans="1:21" ht="15" customHeight="1">
      <c r="A42" s="298">
        <v>28</v>
      </c>
      <c r="B42" s="71" t="s">
        <v>154</v>
      </c>
      <c r="C42" s="64">
        <f>+'IS-PBC'!B71+'IS-PBC'!B72+'IS-PBC'!B73</f>
        <v>3414.02</v>
      </c>
      <c r="D42" s="64">
        <f>+'IS-PBC'!C71+'IS-PBC'!C72+'IS-PBC'!C73</f>
        <v>3414.02</v>
      </c>
      <c r="E42" s="64">
        <f>+'IS-PBC'!D71+'IS-PBC'!D72+'IS-PBC'!D73</f>
        <v>1491.11</v>
      </c>
      <c r="F42" s="64">
        <f>+'IS-PBC'!E71+'IS-PBC'!E72+'IS-PBC'!E73</f>
        <v>5387.02</v>
      </c>
      <c r="G42" s="64">
        <f>+'IS-PBC'!F71+'IS-PBC'!F72+'IS-PBC'!F73</f>
        <v>5387.02</v>
      </c>
      <c r="H42" s="64">
        <f>+'IS-PBC'!G71+'IS-PBC'!G72+'IS-PBC'!G73</f>
        <v>5387.02</v>
      </c>
      <c r="I42" s="64">
        <f>+'IS-PBC'!H71+'IS-PBC'!H72+'IS-PBC'!H73</f>
        <v>5387.02</v>
      </c>
      <c r="J42" s="64">
        <f>+'IS-PBC'!I71+'IS-PBC'!I72+'IS-PBC'!I73</f>
        <v>5387.02</v>
      </c>
      <c r="K42" s="64">
        <f>+'IS-PBC'!J71+'IS-PBC'!J72+'IS-PBC'!J73</f>
        <v>5387.02</v>
      </c>
      <c r="L42" s="64">
        <f>+'IS-PBC'!K71+'IS-PBC'!K72+'IS-PBC'!K73</f>
        <v>5387.02</v>
      </c>
      <c r="M42" s="64">
        <f>+'IS-PBC'!L71+'IS-PBC'!L72+'IS-PBC'!L73</f>
        <v>5387.02</v>
      </c>
      <c r="N42" s="64">
        <f>+'IS-PBC'!M71+'IS-PBC'!M72+'IS-PBC'!M73</f>
        <v>5387.02</v>
      </c>
      <c r="O42" s="64">
        <f t="shared" si="6"/>
        <v>56802.330000000016</v>
      </c>
      <c r="P42" s="65">
        <v>0</v>
      </c>
      <c r="Q42" s="65">
        <f t="shared" si="4"/>
        <v>56802.330000000016</v>
      </c>
      <c r="R42" s="724"/>
      <c r="S42" s="65">
        <f t="shared" si="5"/>
        <v>56802.330000000016</v>
      </c>
      <c r="T42" s="42"/>
      <c r="U42" s="131"/>
    </row>
    <row r="43" spans="1:21" ht="15" customHeight="1">
      <c r="A43" s="298">
        <v>29</v>
      </c>
      <c r="B43" s="71" t="s">
        <v>23</v>
      </c>
      <c r="C43" s="64">
        <v>0</v>
      </c>
      <c r="D43" s="64">
        <v>0</v>
      </c>
      <c r="E43" s="64">
        <v>0</v>
      </c>
      <c r="F43" s="64">
        <v>0</v>
      </c>
      <c r="G43" s="64">
        <v>0</v>
      </c>
      <c r="H43" s="64">
        <v>0</v>
      </c>
      <c r="I43" s="64">
        <v>0</v>
      </c>
      <c r="J43" s="64">
        <v>0</v>
      </c>
      <c r="K43" s="64">
        <v>0</v>
      </c>
      <c r="L43" s="64">
        <v>0</v>
      </c>
      <c r="M43" s="64">
        <v>0</v>
      </c>
      <c r="N43" s="64">
        <v>0</v>
      </c>
      <c r="O43" s="64">
        <f t="shared" si="6"/>
        <v>0</v>
      </c>
      <c r="P43" s="65">
        <f>+'Sch 3, pg 2 - Reclass'!H44</f>
        <v>0</v>
      </c>
      <c r="Q43" s="65">
        <f>O43+P43</f>
        <v>0</v>
      </c>
      <c r="R43" s="724"/>
      <c r="S43" s="65">
        <f t="shared" si="5"/>
        <v>0</v>
      </c>
      <c r="T43" s="42"/>
      <c r="U43" s="131"/>
    </row>
    <row r="44" spans="1:21" ht="15" customHeight="1">
      <c r="A44" s="298">
        <v>30</v>
      </c>
      <c r="B44" s="71" t="s">
        <v>24</v>
      </c>
      <c r="C44" s="64">
        <f>+'IS-PBC'!B76</f>
        <v>13553.69</v>
      </c>
      <c r="D44" s="64">
        <f>+'IS-PBC'!C76</f>
        <v>16027.48</v>
      </c>
      <c r="E44" s="64">
        <f>+'IS-PBC'!D76</f>
        <v>17378.5</v>
      </c>
      <c r="F44" s="64">
        <f>+'IS-PBC'!E76</f>
        <v>16024.58</v>
      </c>
      <c r="G44" s="64">
        <f>+'IS-PBC'!F76</f>
        <v>17687.400000000001</v>
      </c>
      <c r="H44" s="64">
        <f>+'IS-PBC'!G76</f>
        <v>18758.830000000002</v>
      </c>
      <c r="I44" s="64">
        <f>+'IS-PBC'!H76</f>
        <v>15938.92</v>
      </c>
      <c r="J44" s="64">
        <f>+'IS-PBC'!I76</f>
        <v>16873.3</v>
      </c>
      <c r="K44" s="64">
        <f>+'IS-PBC'!J76</f>
        <v>24054.09</v>
      </c>
      <c r="L44" s="64">
        <f>+'IS-PBC'!K76</f>
        <v>17023.73</v>
      </c>
      <c r="M44" s="64">
        <f>+'IS-PBC'!L76</f>
        <v>17467.349999999999</v>
      </c>
      <c r="N44" s="64">
        <f>+'IS-PBC'!M76</f>
        <v>20814.259999999998</v>
      </c>
      <c r="O44" s="64">
        <f t="shared" si="6"/>
        <v>211602.13</v>
      </c>
      <c r="P44" s="65">
        <f>+'Sch 3, pg 2 - Reclass'!D45</f>
        <v>-72043.729999999981</v>
      </c>
      <c r="Q44" s="65">
        <f>O44+P44</f>
        <v>139558.40000000002</v>
      </c>
      <c r="R44" s="724"/>
      <c r="S44" s="65">
        <f t="shared" si="5"/>
        <v>139558.40000000002</v>
      </c>
      <c r="T44" s="42"/>
      <c r="U44" s="131"/>
    </row>
    <row r="45" spans="1:21" ht="15" customHeight="1">
      <c r="A45" s="298">
        <v>31</v>
      </c>
      <c r="B45" s="71" t="s">
        <v>26</v>
      </c>
      <c r="C45" s="64">
        <f>+'IS-PBC'!B70</f>
        <v>17000</v>
      </c>
      <c r="D45" s="64">
        <f>+'IS-PBC'!C70</f>
        <v>17000</v>
      </c>
      <c r="E45" s="64">
        <f>+'IS-PBC'!D70</f>
        <v>17000</v>
      </c>
      <c r="F45" s="64">
        <f>+'IS-PBC'!E70</f>
        <v>17000</v>
      </c>
      <c r="G45" s="64">
        <f>+'IS-PBC'!F70</f>
        <v>17000</v>
      </c>
      <c r="H45" s="64">
        <f>+'IS-PBC'!G70</f>
        <v>17000</v>
      </c>
      <c r="I45" s="64">
        <f>+'IS-PBC'!H70</f>
        <v>17000</v>
      </c>
      <c r="J45" s="64">
        <f>+'IS-PBC'!I70</f>
        <v>17000</v>
      </c>
      <c r="K45" s="64">
        <f>+'IS-PBC'!J70</f>
        <v>17000</v>
      </c>
      <c r="L45" s="64">
        <f>+'IS-PBC'!K70</f>
        <v>17000</v>
      </c>
      <c r="M45" s="64">
        <f>+'IS-PBC'!L70</f>
        <v>17000</v>
      </c>
      <c r="N45" s="64">
        <f>+'IS-PBC'!M70</f>
        <v>17000</v>
      </c>
      <c r="O45" s="64">
        <f t="shared" si="6"/>
        <v>204000</v>
      </c>
      <c r="P45" s="65">
        <v>0</v>
      </c>
      <c r="Q45" s="65">
        <f t="shared" si="4"/>
        <v>204000</v>
      </c>
      <c r="R45" s="724"/>
      <c r="S45" s="65">
        <f t="shared" si="5"/>
        <v>204000</v>
      </c>
      <c r="T45" s="42"/>
      <c r="U45" s="131"/>
    </row>
    <row r="46" spans="1:21" ht="15" customHeight="1">
      <c r="A46" s="298">
        <v>32</v>
      </c>
      <c r="B46" s="71" t="s">
        <v>159</v>
      </c>
      <c r="C46" s="64">
        <f>+'IS-PBC'!B42+'IS-PBC'!B43+'IS-PBC'!B44+'IS-PBC'!B45+'IS-PBC'!B46+'IS-PBC'!B47+'IS-PBC'!B64-'IS-PBC'!B22</f>
        <v>4921.0599999999995</v>
      </c>
      <c r="D46" s="64">
        <f>+'IS-PBC'!C42+'IS-PBC'!C43+'IS-PBC'!C44+'IS-PBC'!C45+'IS-PBC'!C46+'IS-PBC'!C47+'IS-PBC'!C64-'IS-PBC'!C22</f>
        <v>7816.37</v>
      </c>
      <c r="E46" s="64">
        <f>+'IS-PBC'!D42+'IS-PBC'!D43+'IS-PBC'!D44+'IS-PBC'!D45+'IS-PBC'!D46+'IS-PBC'!D47+'IS-PBC'!D64-'IS-PBC'!D22</f>
        <v>7779.17</v>
      </c>
      <c r="F46" s="64">
        <f>+'IS-PBC'!E42+'IS-PBC'!E43+'IS-PBC'!E44+'IS-PBC'!E45+'IS-PBC'!E46+'IS-PBC'!E47+'IS-PBC'!E64-'IS-PBC'!E22</f>
        <v>3401.91</v>
      </c>
      <c r="G46" s="64">
        <f>+'IS-PBC'!F42+'IS-PBC'!F43+'IS-PBC'!F44+'IS-PBC'!F45+'IS-PBC'!F46+'IS-PBC'!F47+'IS-PBC'!F64-'IS-PBC'!F22</f>
        <v>3034.9700000000003</v>
      </c>
      <c r="H46" s="64">
        <f>+'IS-PBC'!G42+'IS-PBC'!G43+'IS-PBC'!G44+'IS-PBC'!G45+'IS-PBC'!G46+'IS-PBC'!G47+'IS-PBC'!G64-'IS-PBC'!G22</f>
        <v>2004.21</v>
      </c>
      <c r="I46" s="64">
        <f>+'IS-PBC'!H42+'IS-PBC'!H43+'IS-PBC'!H44+'IS-PBC'!H45+'IS-PBC'!H46+'IS-PBC'!H47+'IS-PBC'!H64-'IS-PBC'!H22</f>
        <v>3252.0099999999998</v>
      </c>
      <c r="J46" s="64">
        <f>+'IS-PBC'!I42+'IS-PBC'!I43+'IS-PBC'!I44+'IS-PBC'!I45+'IS-PBC'!I46+'IS-PBC'!I47+'IS-PBC'!I64-'IS-PBC'!I22</f>
        <v>8890.6</v>
      </c>
      <c r="K46" s="64">
        <f>+'IS-PBC'!J42+'IS-PBC'!J43+'IS-PBC'!J44+'IS-PBC'!J45+'IS-PBC'!J46+'IS-PBC'!J47+'IS-PBC'!J64-'IS-PBC'!J22</f>
        <v>892.27</v>
      </c>
      <c r="L46" s="64">
        <f>+'IS-PBC'!K42+'IS-PBC'!K43+'IS-PBC'!K44+'IS-PBC'!K45+'IS-PBC'!K46+'IS-PBC'!K47+'IS-PBC'!K64-'IS-PBC'!K22</f>
        <v>4146.3500000000004</v>
      </c>
      <c r="M46" s="64">
        <f>+'IS-PBC'!L42+'IS-PBC'!L43+'IS-PBC'!L44+'IS-PBC'!L45+'IS-PBC'!L46+'IS-PBC'!L47+'IS-PBC'!L64-'IS-PBC'!L22</f>
        <v>2099.4499999999998</v>
      </c>
      <c r="N46" s="64">
        <f>+'IS-PBC'!M42+'IS-PBC'!M43+'IS-PBC'!M44+'IS-PBC'!M45+'IS-PBC'!M46+'IS-PBC'!M47+'IS-PBC'!M64-'IS-PBC'!M22</f>
        <v>1276.9000000000001</v>
      </c>
      <c r="O46" s="64">
        <f t="shared" si="6"/>
        <v>49515.26999999999</v>
      </c>
      <c r="P46" s="65">
        <v>0</v>
      </c>
      <c r="Q46" s="65">
        <f t="shared" si="4"/>
        <v>49515.26999999999</v>
      </c>
      <c r="R46" s="724"/>
      <c r="S46" s="65">
        <f t="shared" si="5"/>
        <v>49515.26999999999</v>
      </c>
      <c r="T46" s="42"/>
      <c r="U46" s="131"/>
    </row>
    <row r="47" spans="1:21" ht="15" customHeight="1">
      <c r="A47" s="298">
        <v>33</v>
      </c>
      <c r="B47" s="71" t="s">
        <v>27</v>
      </c>
      <c r="C47" s="64">
        <f>+'IS-PBC'!B69+'IS-PBC'!B53</f>
        <v>3819.8199999999997</v>
      </c>
      <c r="D47" s="64">
        <f>+'IS-PBC'!C69+'IS-PBC'!C53</f>
        <v>4207.1900000000005</v>
      </c>
      <c r="E47" s="64">
        <f>+'IS-PBC'!D69+'IS-PBC'!D53</f>
        <v>5156.33</v>
      </c>
      <c r="F47" s="64">
        <f>+'IS-PBC'!E69+'IS-PBC'!E53</f>
        <v>5450.98</v>
      </c>
      <c r="G47" s="64">
        <f>+'IS-PBC'!F69+'IS-PBC'!F53</f>
        <v>5205.3899999999994</v>
      </c>
      <c r="H47" s="64">
        <f>+'IS-PBC'!G69+'IS-PBC'!G53</f>
        <v>4295.3999999999996</v>
      </c>
      <c r="I47" s="64">
        <f>+'IS-PBC'!H69+'IS-PBC'!H53</f>
        <v>7485.5</v>
      </c>
      <c r="J47" s="64">
        <f>+'IS-PBC'!I69+'IS-PBC'!I53</f>
        <v>5761.1900000000005</v>
      </c>
      <c r="K47" s="64">
        <f>+'IS-PBC'!J69+'IS-PBC'!J53</f>
        <v>11062.99</v>
      </c>
      <c r="L47" s="64">
        <f>+'IS-PBC'!K69+'IS-PBC'!K53</f>
        <v>4277.4399999999996</v>
      </c>
      <c r="M47" s="64">
        <f>+'IS-PBC'!L69+'IS-PBC'!L53</f>
        <v>5744.4400000000005</v>
      </c>
      <c r="N47" s="64">
        <f>+'IS-PBC'!M69+'IS-PBC'!M53</f>
        <v>4593.8900000000003</v>
      </c>
      <c r="O47" s="64">
        <f t="shared" si="6"/>
        <v>67060.560000000012</v>
      </c>
      <c r="P47" s="65">
        <v>0</v>
      </c>
      <c r="Q47" s="65">
        <f t="shared" si="4"/>
        <v>67060.560000000012</v>
      </c>
      <c r="R47" s="724"/>
      <c r="S47" s="65">
        <f t="shared" si="5"/>
        <v>67060.560000000012</v>
      </c>
      <c r="T47" s="42"/>
      <c r="U47" s="131"/>
    </row>
    <row r="48" spans="1:21" ht="15" customHeight="1">
      <c r="A48" s="298">
        <v>34</v>
      </c>
      <c r="B48" s="71" t="s">
        <v>28</v>
      </c>
      <c r="C48" s="64">
        <f>+'IS-PBC'!B129</f>
        <v>0</v>
      </c>
      <c r="D48" s="64">
        <f>+'IS-PBC'!C129</f>
        <v>593.24</v>
      </c>
      <c r="E48" s="64">
        <f>+'IS-PBC'!D129</f>
        <v>0</v>
      </c>
      <c r="F48" s="64">
        <f>+'IS-PBC'!E129</f>
        <v>0</v>
      </c>
      <c r="G48" s="64">
        <f>+'IS-PBC'!F129</f>
        <v>593.24</v>
      </c>
      <c r="H48" s="64">
        <f>+'IS-PBC'!G129</f>
        <v>0</v>
      </c>
      <c r="I48" s="64">
        <f>+'IS-PBC'!H129</f>
        <v>500</v>
      </c>
      <c r="J48" s="64">
        <f>+'IS-PBC'!I129</f>
        <v>93.24</v>
      </c>
      <c r="K48" s="64">
        <f>+'IS-PBC'!J129</f>
        <v>132</v>
      </c>
      <c r="L48" s="64">
        <f>+'IS-PBC'!K129</f>
        <v>500</v>
      </c>
      <c r="M48" s="64">
        <f>+'IS-PBC'!L129</f>
        <v>93.24</v>
      </c>
      <c r="N48" s="64">
        <f>+'IS-PBC'!M129</f>
        <v>0</v>
      </c>
      <c r="O48" s="64">
        <f t="shared" si="6"/>
        <v>2504.96</v>
      </c>
      <c r="P48" s="65">
        <v>0</v>
      </c>
      <c r="Q48" s="65">
        <f t="shared" si="4"/>
        <v>2504.96</v>
      </c>
      <c r="R48" s="724"/>
      <c r="S48" s="65">
        <f t="shared" si="5"/>
        <v>2504.96</v>
      </c>
      <c r="T48" s="42"/>
      <c r="U48" s="131"/>
    </row>
    <row r="49" spans="1:21" ht="15" customHeight="1">
      <c r="A49" s="298">
        <v>35</v>
      </c>
      <c r="B49" s="62" t="s">
        <v>29</v>
      </c>
      <c r="C49" s="64">
        <f>+'IS-PBC'!B88+'IS-PBC'!B90</f>
        <v>493.54</v>
      </c>
      <c r="D49" s="64">
        <f>+'IS-PBC'!C88+'IS-PBC'!C90</f>
        <v>379.98</v>
      </c>
      <c r="E49" s="64">
        <f>+'IS-PBC'!D88+'IS-PBC'!D90</f>
        <v>643.02</v>
      </c>
      <c r="F49" s="64">
        <f>+'IS-PBC'!E88+'IS-PBC'!E90</f>
        <v>703.37</v>
      </c>
      <c r="G49" s="64">
        <f>+'IS-PBC'!F88+'IS-PBC'!F90</f>
        <v>673.21</v>
      </c>
      <c r="H49" s="65">
        <f>+'IS-PBC'!G88+'IS-PBC'!G90</f>
        <v>726.48</v>
      </c>
      <c r="I49" s="64">
        <f>+'IS-PBC'!H88+'IS-PBC'!H90</f>
        <v>1797.14</v>
      </c>
      <c r="J49" s="64">
        <f>+'IS-PBC'!I88+'IS-PBC'!I90</f>
        <v>1551.38</v>
      </c>
      <c r="K49" s="64">
        <f>+'IS-PBC'!J88+'IS-PBC'!J90</f>
        <v>1501.99</v>
      </c>
      <c r="L49" s="64">
        <f>+'IS-PBC'!K88+'IS-PBC'!K90</f>
        <v>2117.37</v>
      </c>
      <c r="M49" s="64">
        <f>+'IS-PBC'!L88+'IS-PBC'!L90</f>
        <v>2227.92</v>
      </c>
      <c r="N49" s="64">
        <f>+'IS-PBC'!M88+'IS-PBC'!M90</f>
        <v>2192.9699999999998</v>
      </c>
      <c r="O49" s="64">
        <f t="shared" si="6"/>
        <v>15008.369999999999</v>
      </c>
      <c r="P49" s="65">
        <v>0</v>
      </c>
      <c r="Q49" s="65">
        <f t="shared" si="4"/>
        <v>15008.369999999999</v>
      </c>
      <c r="R49" s="724"/>
      <c r="S49" s="65">
        <f t="shared" si="5"/>
        <v>15008.369999999999</v>
      </c>
      <c r="T49" s="42"/>
      <c r="U49" s="131"/>
    </row>
    <row r="50" spans="1:21" ht="15" customHeight="1">
      <c r="A50" s="298">
        <v>36</v>
      </c>
      <c r="B50" s="62" t="s">
        <v>18</v>
      </c>
      <c r="C50" s="64">
        <f>+'IS-PBC'!B109+'IS-PBC'!B110+'IS-PBC'!B125</f>
        <v>118.41</v>
      </c>
      <c r="D50" s="64">
        <f>+'IS-PBC'!C109+'IS-PBC'!C110+'IS-PBC'!C125</f>
        <v>90.41</v>
      </c>
      <c r="E50" s="64">
        <f>+'IS-PBC'!D109+'IS-PBC'!D110+'IS-PBC'!D125</f>
        <v>1910.3</v>
      </c>
      <c r="F50" s="64">
        <f>+'IS-PBC'!E109+'IS-PBC'!E110+'IS-PBC'!E125</f>
        <v>1929.14</v>
      </c>
      <c r="G50" s="64">
        <f>+'IS-PBC'!F109+'IS-PBC'!F110+'IS-PBC'!F125</f>
        <v>0</v>
      </c>
      <c r="H50" s="64">
        <f>+'IS-PBC'!G109+'IS-PBC'!G110+'IS-PBC'!G125</f>
        <v>0</v>
      </c>
      <c r="I50" s="64">
        <f>+'IS-PBC'!H109+'IS-PBC'!H110+'IS-PBC'!H125</f>
        <v>960.74</v>
      </c>
      <c r="J50" s="64">
        <f>+'IS-PBC'!I109+'IS-PBC'!I110+'IS-PBC'!I125</f>
        <v>277.68</v>
      </c>
      <c r="K50" s="64">
        <f>+'IS-PBC'!J109+'IS-PBC'!J110+'IS-PBC'!J125</f>
        <v>2017.38</v>
      </c>
      <c r="L50" s="64">
        <f>+'IS-PBC'!K109+'IS-PBC'!K110+'IS-PBC'!K125</f>
        <v>6442.9900000000007</v>
      </c>
      <c r="M50" s="64">
        <f>+'IS-PBC'!L109+'IS-PBC'!L110+'IS-PBC'!L125</f>
        <v>2845.62</v>
      </c>
      <c r="N50" s="64">
        <f>+'IS-PBC'!M109+'IS-PBC'!M110+'IS-PBC'!M125</f>
        <v>2050.9299999999998</v>
      </c>
      <c r="O50" s="64">
        <f t="shared" si="6"/>
        <v>18643.600000000002</v>
      </c>
      <c r="P50" s="65">
        <v>0</v>
      </c>
      <c r="Q50" s="65">
        <f t="shared" si="4"/>
        <v>18643.600000000002</v>
      </c>
      <c r="R50" s="724"/>
      <c r="S50" s="65">
        <f t="shared" si="5"/>
        <v>18643.600000000002</v>
      </c>
      <c r="T50" s="42"/>
      <c r="U50" s="131"/>
    </row>
    <row r="51" spans="1:21" ht="15" customHeight="1">
      <c r="A51" s="298">
        <v>37</v>
      </c>
      <c r="B51" s="62" t="s">
        <v>30</v>
      </c>
      <c r="C51" s="64">
        <v>0</v>
      </c>
      <c r="D51" s="64">
        <v>0</v>
      </c>
      <c r="E51" s="64">
        <v>0</v>
      </c>
      <c r="F51" s="64">
        <v>0</v>
      </c>
      <c r="G51" s="64">
        <v>0</v>
      </c>
      <c r="H51" s="65">
        <v>0</v>
      </c>
      <c r="I51" s="64">
        <v>0</v>
      </c>
      <c r="J51" s="64">
        <v>0</v>
      </c>
      <c r="K51" s="64">
        <v>0</v>
      </c>
      <c r="L51" s="64">
        <v>0</v>
      </c>
      <c r="M51" s="64">
        <v>0</v>
      </c>
      <c r="N51" s="64">
        <v>0</v>
      </c>
      <c r="O51" s="64">
        <f t="shared" si="6"/>
        <v>0</v>
      </c>
      <c r="P51" s="65">
        <v>0</v>
      </c>
      <c r="Q51" s="65">
        <f t="shared" si="4"/>
        <v>0</v>
      </c>
      <c r="R51" s="724"/>
      <c r="S51" s="65">
        <f t="shared" si="5"/>
        <v>0</v>
      </c>
      <c r="T51" s="42"/>
      <c r="U51" s="131"/>
    </row>
    <row r="52" spans="1:21" ht="15" customHeight="1">
      <c r="A52" s="298">
        <v>38</v>
      </c>
      <c r="B52" s="62" t="s">
        <v>85</v>
      </c>
      <c r="C52" s="64">
        <f>+'IS-PBC'!B66</f>
        <v>983</v>
      </c>
      <c r="D52" s="64">
        <f>+'IS-PBC'!C66</f>
        <v>2312.4</v>
      </c>
      <c r="E52" s="64">
        <f>+'IS-PBC'!D66</f>
        <v>2257.6</v>
      </c>
      <c r="F52" s="64">
        <f>+'IS-PBC'!E66</f>
        <v>645</v>
      </c>
      <c r="G52" s="64">
        <f>+'IS-PBC'!F66</f>
        <v>580.9</v>
      </c>
      <c r="H52" s="65">
        <f>+'IS-PBC'!G66</f>
        <v>0</v>
      </c>
      <c r="I52" s="64">
        <f>+'IS-PBC'!H66</f>
        <v>164.5</v>
      </c>
      <c r="J52" s="64">
        <f>+'IS-PBC'!I66</f>
        <v>465.4</v>
      </c>
      <c r="K52" s="64">
        <f>+'IS-PBC'!J66</f>
        <v>198.2</v>
      </c>
      <c r="L52" s="64">
        <f>+'IS-PBC'!K66</f>
        <v>775</v>
      </c>
      <c r="M52" s="64">
        <f>+'IS-PBC'!L66</f>
        <v>2538.6</v>
      </c>
      <c r="N52" s="64">
        <f>+'IS-PBC'!M66</f>
        <v>1896.3</v>
      </c>
      <c r="O52" s="64">
        <f t="shared" si="6"/>
        <v>12816.9</v>
      </c>
      <c r="P52" s="65">
        <v>0</v>
      </c>
      <c r="Q52" s="65">
        <f t="shared" si="4"/>
        <v>12816.9</v>
      </c>
      <c r="R52" s="724"/>
      <c r="S52" s="65">
        <f t="shared" si="5"/>
        <v>12816.9</v>
      </c>
      <c r="T52" s="42"/>
      <c r="U52" s="131"/>
    </row>
    <row r="53" spans="1:21" ht="15" customHeight="1">
      <c r="A53" s="298">
        <v>39</v>
      </c>
      <c r="B53" s="62" t="s">
        <v>89</v>
      </c>
      <c r="C53" s="64">
        <f>+'IS-PBC'!B77+'IS-PBC'!B157</f>
        <v>129.80000000000001</v>
      </c>
      <c r="D53" s="64">
        <f>+'IS-PBC'!C77+'IS-PBC'!C157</f>
        <v>224.4</v>
      </c>
      <c r="E53" s="64">
        <f>+'IS-PBC'!D77+'IS-PBC'!D157</f>
        <v>0</v>
      </c>
      <c r="F53" s="64">
        <f>+'IS-PBC'!E77+'IS-PBC'!E157</f>
        <v>0</v>
      </c>
      <c r="G53" s="64">
        <f>+'IS-PBC'!F77+'IS-PBC'!F157</f>
        <v>0</v>
      </c>
      <c r="H53" s="65">
        <f>+'IS-PBC'!G77+'IS-PBC'!G157</f>
        <v>2587.5</v>
      </c>
      <c r="I53" s="64">
        <f>+'IS-PBC'!H77+'IS-PBC'!H157</f>
        <v>296.39999999999998</v>
      </c>
      <c r="J53" s="64">
        <f>+'IS-PBC'!I77+'IS-PBC'!I157</f>
        <v>0</v>
      </c>
      <c r="K53" s="64">
        <f>+'IS-PBC'!J77+'IS-PBC'!J157</f>
        <v>0</v>
      </c>
      <c r="L53" s="64">
        <f>+'IS-PBC'!K77+'IS-PBC'!K157</f>
        <v>0</v>
      </c>
      <c r="M53" s="64">
        <f>+'IS-PBC'!L77+'IS-PBC'!L157</f>
        <v>0</v>
      </c>
      <c r="N53" s="64">
        <f>+'IS-PBC'!M77+'IS-PBC'!M157</f>
        <v>762.5</v>
      </c>
      <c r="O53" s="64">
        <f t="shared" si="6"/>
        <v>4000.6</v>
      </c>
      <c r="P53" s="65">
        <v>0</v>
      </c>
      <c r="Q53" s="65">
        <f t="shared" si="4"/>
        <v>4000.6</v>
      </c>
      <c r="R53" s="724"/>
      <c r="S53" s="65">
        <f t="shared" si="5"/>
        <v>4000.6</v>
      </c>
      <c r="T53" s="42"/>
      <c r="U53" s="131"/>
    </row>
    <row r="54" spans="1:21" ht="15" customHeight="1">
      <c r="A54" s="298">
        <v>40</v>
      </c>
      <c r="B54" s="62" t="s">
        <v>31</v>
      </c>
      <c r="C54" s="64">
        <f>+'IS-PBC'!B137</f>
        <v>20268.18</v>
      </c>
      <c r="D54" s="64">
        <f>+'IS-PBC'!C137</f>
        <v>0</v>
      </c>
      <c r="E54" s="64">
        <f>+'IS-PBC'!D137</f>
        <v>0</v>
      </c>
      <c r="F54" s="64">
        <f>+'IS-PBC'!E137</f>
        <v>0</v>
      </c>
      <c r="G54" s="64">
        <f>+'IS-PBC'!F137</f>
        <v>0</v>
      </c>
      <c r="H54" s="65">
        <f>+'IS-PBC'!G137</f>
        <v>0</v>
      </c>
      <c r="I54" s="64">
        <f>+'IS-PBC'!H137</f>
        <v>0</v>
      </c>
      <c r="J54" s="64">
        <f>+'IS-PBC'!I137</f>
        <v>0</v>
      </c>
      <c r="K54" s="64">
        <f>+'IS-PBC'!J137</f>
        <v>0</v>
      </c>
      <c r="L54" s="64">
        <f>+'IS-PBC'!K137</f>
        <v>0</v>
      </c>
      <c r="M54" s="64">
        <f>+'IS-PBC'!L137</f>
        <v>0</v>
      </c>
      <c r="N54" s="64">
        <f>+'IS-PBC'!M137</f>
        <v>0</v>
      </c>
      <c r="O54" s="64">
        <f t="shared" si="6"/>
        <v>20268.18</v>
      </c>
      <c r="P54" s="65">
        <v>0</v>
      </c>
      <c r="Q54" s="65">
        <f t="shared" si="4"/>
        <v>20268.18</v>
      </c>
      <c r="R54" s="724"/>
      <c r="S54" s="65">
        <f t="shared" si="5"/>
        <v>20268.18</v>
      </c>
      <c r="T54" s="42"/>
      <c r="U54" s="131"/>
    </row>
    <row r="55" spans="1:21" ht="15" customHeight="1">
      <c r="A55" s="298">
        <v>41</v>
      </c>
      <c r="B55" s="62" t="s">
        <v>32</v>
      </c>
      <c r="C55" s="64">
        <f>+'IS-PBC'!B127</f>
        <v>1449.59</v>
      </c>
      <c r="D55" s="64">
        <f>+'IS-PBC'!C127</f>
        <v>0</v>
      </c>
      <c r="E55" s="64">
        <f>+'IS-PBC'!D127</f>
        <v>1855.19</v>
      </c>
      <c r="F55" s="64">
        <f>+'IS-PBC'!E127</f>
        <v>0</v>
      </c>
      <c r="G55" s="64">
        <f>+'IS-PBC'!F127</f>
        <v>1633.13</v>
      </c>
      <c r="H55" s="65">
        <f>+'IS-PBC'!G127</f>
        <v>0</v>
      </c>
      <c r="I55" s="64">
        <f>+'IS-PBC'!H127</f>
        <v>1598.94</v>
      </c>
      <c r="J55" s="64">
        <f>+'IS-PBC'!I127</f>
        <v>0</v>
      </c>
      <c r="K55" s="64">
        <f>+'IS-PBC'!J127</f>
        <v>1565.37</v>
      </c>
      <c r="L55" s="64">
        <f>+'IS-PBC'!K127</f>
        <v>0</v>
      </c>
      <c r="M55" s="64">
        <f>+'IS-PBC'!L127</f>
        <v>1449.03</v>
      </c>
      <c r="N55" s="64">
        <f>+'IS-PBC'!M127</f>
        <v>0</v>
      </c>
      <c r="O55" s="64">
        <f t="shared" si="6"/>
        <v>9551.25</v>
      </c>
      <c r="P55" s="65">
        <v>0</v>
      </c>
      <c r="Q55" s="65">
        <f t="shared" si="4"/>
        <v>9551.25</v>
      </c>
      <c r="R55" s="724"/>
      <c r="S55" s="65">
        <f t="shared" si="5"/>
        <v>9551.25</v>
      </c>
      <c r="T55" s="42"/>
      <c r="U55" s="131"/>
    </row>
    <row r="56" spans="1:21" ht="15" customHeight="1">
      <c r="A56" s="298">
        <v>42</v>
      </c>
      <c r="B56" s="62" t="s">
        <v>155</v>
      </c>
      <c r="C56" s="64">
        <f>+'IS-PBC'!B78</f>
        <v>998.27</v>
      </c>
      <c r="D56" s="64">
        <f>+'IS-PBC'!C78</f>
        <v>1004.5</v>
      </c>
      <c r="E56" s="64">
        <f>+'IS-PBC'!D78</f>
        <v>1001.38</v>
      </c>
      <c r="F56" s="64">
        <f>+'IS-PBC'!E78</f>
        <v>1005.59</v>
      </c>
      <c r="G56" s="64">
        <f>+'IS-PBC'!F78</f>
        <v>1089.3499999999999</v>
      </c>
      <c r="H56" s="65">
        <f>+'IS-PBC'!G78</f>
        <v>1033.2</v>
      </c>
      <c r="I56" s="64">
        <f>+'IS-PBC'!H78</f>
        <v>1077.95</v>
      </c>
      <c r="J56" s="64">
        <f>+'IS-PBC'!I78</f>
        <v>1523.44</v>
      </c>
      <c r="K56" s="64">
        <f>+'IS-PBC'!J78</f>
        <v>363.86</v>
      </c>
      <c r="L56" s="64">
        <f>+'IS-PBC'!K78</f>
        <v>664.65</v>
      </c>
      <c r="M56" s="64">
        <f>+'IS-PBC'!L78</f>
        <v>538.52</v>
      </c>
      <c r="N56" s="64">
        <f>+'IS-PBC'!M78</f>
        <v>1195.74</v>
      </c>
      <c r="O56" s="64">
        <f t="shared" si="6"/>
        <v>11496.45</v>
      </c>
      <c r="P56" s="65">
        <v>0</v>
      </c>
      <c r="Q56" s="65">
        <f t="shared" si="4"/>
        <v>11496.45</v>
      </c>
      <c r="R56" s="724"/>
      <c r="S56" s="65">
        <f t="shared" si="5"/>
        <v>11496.45</v>
      </c>
      <c r="T56" s="42"/>
      <c r="U56" s="131"/>
    </row>
    <row r="57" spans="1:21" ht="15" customHeight="1">
      <c r="A57" s="298">
        <v>43</v>
      </c>
      <c r="B57" s="62" t="s">
        <v>33</v>
      </c>
      <c r="C57" s="64">
        <f>+'IS-PBC'!B121</f>
        <v>1160.5</v>
      </c>
      <c r="D57" s="64">
        <f>+'IS-PBC'!C121</f>
        <v>1460.75</v>
      </c>
      <c r="E57" s="64">
        <f>+'IS-PBC'!D121</f>
        <v>0</v>
      </c>
      <c r="F57" s="64">
        <f>+'IS-PBC'!E121</f>
        <v>2324.7800000000002</v>
      </c>
      <c r="G57" s="64">
        <f>+'IS-PBC'!F121</f>
        <v>237.26</v>
      </c>
      <c r="H57" s="65">
        <f>+'IS-PBC'!G121</f>
        <v>1091.3499999999999</v>
      </c>
      <c r="I57" s="64">
        <f>+'IS-PBC'!H121</f>
        <v>1522.8</v>
      </c>
      <c r="J57" s="64">
        <f>+'IS-PBC'!I121</f>
        <v>1081.8800000000001</v>
      </c>
      <c r="K57" s="64">
        <f>+'IS-PBC'!J121</f>
        <v>884.82</v>
      </c>
      <c r="L57" s="64">
        <f>+'IS-PBC'!K121</f>
        <v>826.52</v>
      </c>
      <c r="M57" s="64">
        <f>+'IS-PBC'!L121</f>
        <v>1000.76</v>
      </c>
      <c r="N57" s="64">
        <f>+'IS-PBC'!M121</f>
        <v>928.38</v>
      </c>
      <c r="O57" s="64">
        <f>SUM(C57:N57)</f>
        <v>12519.800000000001</v>
      </c>
      <c r="P57" s="65">
        <v>0</v>
      </c>
      <c r="Q57" s="65">
        <f t="shared" si="4"/>
        <v>12519.800000000001</v>
      </c>
      <c r="R57" s="724"/>
      <c r="S57" s="65">
        <f t="shared" si="5"/>
        <v>12519.800000000001</v>
      </c>
      <c r="T57" s="42"/>
      <c r="U57" s="131"/>
    </row>
    <row r="58" spans="1:21" ht="15" customHeight="1">
      <c r="A58" s="298">
        <v>44</v>
      </c>
      <c r="B58" s="62" t="s">
        <v>34</v>
      </c>
      <c r="C58" s="64">
        <f>+'IS-PBC'!B108</f>
        <v>239.68</v>
      </c>
      <c r="D58" s="64">
        <f>+'IS-PBC'!C108</f>
        <v>299.60000000000002</v>
      </c>
      <c r="E58" s="64">
        <f>+'IS-PBC'!D108</f>
        <v>239.68</v>
      </c>
      <c r="F58" s="64">
        <f>+'IS-PBC'!E108</f>
        <v>284.8</v>
      </c>
      <c r="G58" s="64">
        <f>+'IS-PBC'!F108</f>
        <v>374.8</v>
      </c>
      <c r="H58" s="65">
        <f>+'IS-PBC'!G108</f>
        <v>327.73</v>
      </c>
      <c r="I58" s="64">
        <f>+'IS-PBC'!H108</f>
        <v>309.41000000000003</v>
      </c>
      <c r="J58" s="64">
        <f>+'IS-PBC'!I108</f>
        <v>581.74</v>
      </c>
      <c r="K58" s="64">
        <f>+'IS-PBC'!J108</f>
        <v>376.78</v>
      </c>
      <c r="L58" s="64">
        <f>+'IS-PBC'!K108</f>
        <v>499.11</v>
      </c>
      <c r="M58" s="64">
        <f>+'IS-PBC'!L108</f>
        <v>351.17</v>
      </c>
      <c r="N58" s="64">
        <f>+'IS-PBC'!M108</f>
        <v>441.09</v>
      </c>
      <c r="O58" s="64">
        <f t="shared" si="6"/>
        <v>4325.5899999999992</v>
      </c>
      <c r="P58" s="65">
        <v>0</v>
      </c>
      <c r="Q58" s="65">
        <f t="shared" ref="Q58:Q86" si="7">O58+P58</f>
        <v>4325.5899999999992</v>
      </c>
      <c r="R58" s="724"/>
      <c r="S58" s="65">
        <f t="shared" si="5"/>
        <v>4325.5899999999992</v>
      </c>
      <c r="T58" s="42"/>
      <c r="U58" s="131"/>
    </row>
    <row r="59" spans="1:21" ht="15" customHeight="1">
      <c r="A59" s="298">
        <v>45</v>
      </c>
      <c r="B59" s="62" t="s">
        <v>106</v>
      </c>
      <c r="C59" s="64">
        <f>+'IS-PBC'!B87+'IS-PBC'!B124+'IS-PBC'!B153+'IS-PBC'!B155</f>
        <v>0</v>
      </c>
      <c r="D59" s="64">
        <f>+'IS-PBC'!C87+'IS-PBC'!C124+'IS-PBC'!C153+'IS-PBC'!C155</f>
        <v>0</v>
      </c>
      <c r="E59" s="64">
        <f>+'IS-PBC'!D87+'IS-PBC'!D124+'IS-PBC'!D153+'IS-PBC'!D155</f>
        <v>0</v>
      </c>
      <c r="F59" s="64">
        <f>+'IS-PBC'!E87+'IS-PBC'!E124+'IS-PBC'!E153+'IS-PBC'!E155</f>
        <v>0</v>
      </c>
      <c r="G59" s="64">
        <f>+'IS-PBC'!F87+'IS-PBC'!F124+'IS-PBC'!F153+'IS-PBC'!F155</f>
        <v>0</v>
      </c>
      <c r="H59" s="64">
        <f>+'IS-PBC'!G87+'IS-PBC'!G124+'IS-PBC'!G153+'IS-PBC'!G155</f>
        <v>100</v>
      </c>
      <c r="I59" s="64">
        <f>+'IS-PBC'!H87+'IS-PBC'!H124+'IS-PBC'!H153+'IS-PBC'!H155</f>
        <v>-300</v>
      </c>
      <c r="J59" s="64">
        <f>+'IS-PBC'!I87+'IS-PBC'!I124+'IS-PBC'!I153+'IS-PBC'!I155</f>
        <v>150</v>
      </c>
      <c r="K59" s="64">
        <f>+'IS-PBC'!J87+'IS-PBC'!J124+'IS-PBC'!J153+'IS-PBC'!J155</f>
        <v>150</v>
      </c>
      <c r="L59" s="64">
        <f>+'IS-PBC'!K87+'IS-PBC'!K124+'IS-PBC'!K153+'IS-PBC'!K155</f>
        <v>0</v>
      </c>
      <c r="M59" s="64">
        <f>+'IS-PBC'!L87+'IS-PBC'!L124+'IS-PBC'!L153+'IS-PBC'!L155</f>
        <v>-854.02</v>
      </c>
      <c r="N59" s="64">
        <f>+'IS-PBC'!M87+'IS-PBC'!M124+'IS-PBC'!M153+'IS-PBC'!M155</f>
        <v>854.02</v>
      </c>
      <c r="O59" s="64">
        <f t="shared" si="6"/>
        <v>100</v>
      </c>
      <c r="P59" s="65">
        <v>0</v>
      </c>
      <c r="Q59" s="65">
        <f t="shared" si="7"/>
        <v>100</v>
      </c>
      <c r="R59" s="724"/>
      <c r="S59" s="65">
        <f t="shared" si="5"/>
        <v>100</v>
      </c>
      <c r="T59" s="42"/>
      <c r="U59" s="131"/>
    </row>
    <row r="60" spans="1:21" ht="15" customHeight="1">
      <c r="A60" s="298">
        <v>46</v>
      </c>
      <c r="B60" s="62" t="s">
        <v>371</v>
      </c>
      <c r="C60" s="64">
        <f>+'IS-PBC'!B79</f>
        <v>1070</v>
      </c>
      <c r="D60" s="64">
        <f>+'IS-PBC'!C79</f>
        <v>1070</v>
      </c>
      <c r="E60" s="64">
        <f>+'IS-PBC'!D79</f>
        <v>1070</v>
      </c>
      <c r="F60" s="64">
        <f>+'IS-PBC'!E79</f>
        <v>1070</v>
      </c>
      <c r="G60" s="64">
        <f>+'IS-PBC'!F79</f>
        <v>1070</v>
      </c>
      <c r="H60" s="65">
        <f>+'IS-PBC'!G79</f>
        <v>1070</v>
      </c>
      <c r="I60" s="64">
        <f>+'IS-PBC'!H79</f>
        <v>1070</v>
      </c>
      <c r="J60" s="64">
        <f>+'IS-PBC'!I79</f>
        <v>2070</v>
      </c>
      <c r="K60" s="64">
        <f>+'IS-PBC'!J79</f>
        <v>-727.6</v>
      </c>
      <c r="L60" s="64">
        <f>+'IS-PBC'!K79</f>
        <v>1070</v>
      </c>
      <c r="M60" s="64">
        <f>+'IS-PBC'!L79</f>
        <v>1070</v>
      </c>
      <c r="N60" s="64">
        <f>+'IS-PBC'!M79</f>
        <v>1070</v>
      </c>
      <c r="O60" s="64">
        <f t="shared" si="6"/>
        <v>12042.4</v>
      </c>
      <c r="P60" s="65">
        <v>0</v>
      </c>
      <c r="Q60" s="65">
        <f t="shared" si="7"/>
        <v>12042.4</v>
      </c>
      <c r="R60" s="724"/>
      <c r="S60" s="65">
        <f t="shared" si="5"/>
        <v>12042.4</v>
      </c>
      <c r="T60" s="42"/>
      <c r="U60" s="131"/>
    </row>
    <row r="61" spans="1:21" ht="15" customHeight="1">
      <c r="A61" s="298">
        <v>47</v>
      </c>
      <c r="B61" s="62" t="s">
        <v>160</v>
      </c>
      <c r="C61" s="64">
        <f>+'IS-PBC'!B80+'IS-PBC'!B81</f>
        <v>350</v>
      </c>
      <c r="D61" s="64">
        <f>+'IS-PBC'!C80+'IS-PBC'!C81</f>
        <v>350</v>
      </c>
      <c r="E61" s="64">
        <f>+'IS-PBC'!D80+'IS-PBC'!D81</f>
        <v>350</v>
      </c>
      <c r="F61" s="64">
        <f>+'IS-PBC'!E80+'IS-PBC'!E81</f>
        <v>350</v>
      </c>
      <c r="G61" s="64">
        <f>+'IS-PBC'!F80+'IS-PBC'!F81</f>
        <v>350</v>
      </c>
      <c r="H61" s="65">
        <f>+'IS-PBC'!G80+'IS-PBC'!G81</f>
        <v>350</v>
      </c>
      <c r="I61" s="64">
        <f>+'IS-PBC'!H80+'IS-PBC'!H81</f>
        <v>350</v>
      </c>
      <c r="J61" s="64">
        <f>+'IS-PBC'!I80+'IS-PBC'!I81</f>
        <v>350</v>
      </c>
      <c r="K61" s="64">
        <f>+'IS-PBC'!J80+'IS-PBC'!J81</f>
        <v>2147.6</v>
      </c>
      <c r="L61" s="64">
        <f>+'IS-PBC'!K80+'IS-PBC'!K81</f>
        <v>845</v>
      </c>
      <c r="M61" s="64">
        <f>+'IS-PBC'!L80+'IS-PBC'!L81</f>
        <v>350</v>
      </c>
      <c r="N61" s="64">
        <f>+'IS-PBC'!M80+'IS-PBC'!M81</f>
        <v>350</v>
      </c>
      <c r="O61" s="64">
        <f t="shared" si="6"/>
        <v>6492.6</v>
      </c>
      <c r="P61" s="65">
        <v>0</v>
      </c>
      <c r="Q61" s="65">
        <f t="shared" si="7"/>
        <v>6492.6</v>
      </c>
      <c r="R61" s="724"/>
      <c r="S61" s="65">
        <f t="shared" si="5"/>
        <v>6492.6</v>
      </c>
      <c r="T61" s="42"/>
      <c r="U61" s="131"/>
    </row>
    <row r="62" spans="1:21" ht="15" customHeight="1">
      <c r="A62" s="298">
        <v>48</v>
      </c>
      <c r="B62" s="62" t="s">
        <v>35</v>
      </c>
      <c r="C62" s="64">
        <f>+'IS-PBC'!B83+'IS-PBC'!B84+'IS-PBC'!B86</f>
        <v>0</v>
      </c>
      <c r="D62" s="64">
        <f>+'IS-PBC'!C83+'IS-PBC'!C84+'IS-PBC'!C86</f>
        <v>1084.81</v>
      </c>
      <c r="E62" s="64">
        <f>+'IS-PBC'!D83+'IS-PBC'!D84+'IS-PBC'!D86</f>
        <v>0</v>
      </c>
      <c r="F62" s="64">
        <f>+'IS-PBC'!E83+'IS-PBC'!E84+'IS-PBC'!E86</f>
        <v>2129.8000000000002</v>
      </c>
      <c r="G62" s="64">
        <f>+'IS-PBC'!F83+'IS-PBC'!F84+'IS-PBC'!F86</f>
        <v>0</v>
      </c>
      <c r="H62" s="65">
        <f>+'IS-PBC'!G83+'IS-PBC'!G84+'IS-PBC'!G86</f>
        <v>0</v>
      </c>
      <c r="I62" s="64">
        <f>+'IS-PBC'!H83+'IS-PBC'!H84+'IS-PBC'!H86</f>
        <v>1248.1199999999999</v>
      </c>
      <c r="J62" s="64">
        <f>+'IS-PBC'!I83+'IS-PBC'!I84+'IS-PBC'!I86</f>
        <v>0</v>
      </c>
      <c r="K62" s="64">
        <f>+'IS-PBC'!J83+'IS-PBC'!J84+'IS-PBC'!J86</f>
        <v>3246.62</v>
      </c>
      <c r="L62" s="64">
        <f>+'IS-PBC'!K83+'IS-PBC'!K84+'IS-PBC'!K86</f>
        <v>1991.76</v>
      </c>
      <c r="M62" s="64">
        <f>+'IS-PBC'!L83+'IS-PBC'!L84+'IS-PBC'!L86</f>
        <v>387.56</v>
      </c>
      <c r="N62" s="64">
        <f>+'IS-PBC'!M83+'IS-PBC'!M84+'IS-PBC'!M86</f>
        <v>0</v>
      </c>
      <c r="O62" s="64">
        <f t="shared" si="6"/>
        <v>10088.669999999998</v>
      </c>
      <c r="P62" s="65">
        <v>0</v>
      </c>
      <c r="Q62" s="65">
        <f t="shared" si="7"/>
        <v>10088.669999999998</v>
      </c>
      <c r="R62" s="724"/>
      <c r="S62" s="65">
        <f t="shared" si="5"/>
        <v>10088.669999999998</v>
      </c>
      <c r="T62" s="42"/>
      <c r="U62" s="131"/>
    </row>
    <row r="63" spans="1:21" ht="15" customHeight="1">
      <c r="A63" s="298">
        <v>49</v>
      </c>
      <c r="B63" s="62" t="s">
        <v>36</v>
      </c>
      <c r="C63" s="64">
        <f>+'IS-PBC'!B97</f>
        <v>0</v>
      </c>
      <c r="D63" s="64">
        <f>+'IS-PBC'!C97</f>
        <v>1755</v>
      </c>
      <c r="E63" s="64">
        <f>+'IS-PBC'!D97</f>
        <v>0</v>
      </c>
      <c r="F63" s="64">
        <f>+'IS-PBC'!E97</f>
        <v>0</v>
      </c>
      <c r="G63" s="64">
        <f>+'IS-PBC'!F97</f>
        <v>0</v>
      </c>
      <c r="H63" s="65">
        <f>+'IS-PBC'!G97</f>
        <v>0</v>
      </c>
      <c r="I63" s="64">
        <f>+'IS-PBC'!H97</f>
        <v>640</v>
      </c>
      <c r="J63" s="64">
        <f>+'IS-PBC'!I97</f>
        <v>0</v>
      </c>
      <c r="K63" s="64">
        <f>+'IS-PBC'!J97</f>
        <v>3424.63</v>
      </c>
      <c r="L63" s="64">
        <f>+'IS-PBC'!K97</f>
        <v>0</v>
      </c>
      <c r="M63" s="64">
        <f>+'IS-PBC'!L97</f>
        <v>0</v>
      </c>
      <c r="N63" s="64">
        <f>+'IS-PBC'!M97</f>
        <v>0</v>
      </c>
      <c r="O63" s="64">
        <f t="shared" si="6"/>
        <v>5819.63</v>
      </c>
      <c r="P63" s="65">
        <v>0</v>
      </c>
      <c r="Q63" s="65">
        <f t="shared" si="7"/>
        <v>5819.63</v>
      </c>
      <c r="R63" s="724"/>
      <c r="S63" s="65">
        <f t="shared" si="5"/>
        <v>5819.63</v>
      </c>
      <c r="T63" s="42"/>
      <c r="U63" s="131"/>
    </row>
    <row r="64" spans="1:21" ht="15" customHeight="1">
      <c r="A64" s="298">
        <v>50</v>
      </c>
      <c r="B64" s="62" t="s">
        <v>370</v>
      </c>
      <c r="C64" s="64">
        <f>+'IS-PBC'!B85+'IS-PBC'!B92</f>
        <v>0</v>
      </c>
      <c r="D64" s="64">
        <f>+'IS-PBC'!C85+'IS-PBC'!C92</f>
        <v>441.12</v>
      </c>
      <c r="E64" s="64">
        <f>+'IS-PBC'!D85+'IS-PBC'!D92</f>
        <v>0</v>
      </c>
      <c r="F64" s="64">
        <f>+'IS-PBC'!E85+'IS-PBC'!E92</f>
        <v>154.74</v>
      </c>
      <c r="G64" s="64">
        <f>+'IS-PBC'!F85+'IS-PBC'!F92</f>
        <v>590.91</v>
      </c>
      <c r="H64" s="65">
        <f>+'IS-PBC'!G85+'IS-PBC'!G92</f>
        <v>0</v>
      </c>
      <c r="I64" s="64">
        <f>+'IS-PBC'!H85+'IS-PBC'!H92</f>
        <v>23.38</v>
      </c>
      <c r="J64" s="64">
        <f>+'IS-PBC'!I85+'IS-PBC'!I92</f>
        <v>0</v>
      </c>
      <c r="K64" s="64">
        <f>+'IS-PBC'!J85+'IS-PBC'!J92</f>
        <v>0</v>
      </c>
      <c r="L64" s="64">
        <f>+'IS-PBC'!K85+'IS-PBC'!K92</f>
        <v>0</v>
      </c>
      <c r="M64" s="64">
        <f>+'IS-PBC'!L85+'IS-PBC'!L92</f>
        <v>410.78</v>
      </c>
      <c r="N64" s="64">
        <f>+'IS-PBC'!M85+'IS-PBC'!M92</f>
        <v>356.11</v>
      </c>
      <c r="O64" s="64">
        <f t="shared" si="6"/>
        <v>1977.04</v>
      </c>
      <c r="P64" s="65">
        <v>0</v>
      </c>
      <c r="Q64" s="65">
        <f t="shared" si="7"/>
        <v>1977.04</v>
      </c>
      <c r="R64" s="724"/>
      <c r="S64" s="65">
        <f t="shared" si="5"/>
        <v>1977.04</v>
      </c>
      <c r="T64" s="42"/>
      <c r="U64" s="131"/>
    </row>
    <row r="65" spans="1:21" ht="15" customHeight="1">
      <c r="A65" s="298">
        <v>51</v>
      </c>
      <c r="B65" s="62" t="s">
        <v>37</v>
      </c>
      <c r="C65" s="64">
        <f>+'IS-PBC'!B67</f>
        <v>0</v>
      </c>
      <c r="D65" s="64">
        <f>+'IS-PBC'!C67</f>
        <v>0</v>
      </c>
      <c r="E65" s="64">
        <f>+'IS-PBC'!D67</f>
        <v>0</v>
      </c>
      <c r="F65" s="64">
        <f>+'IS-PBC'!E67</f>
        <v>0</v>
      </c>
      <c r="G65" s="64">
        <f>+'IS-PBC'!F67</f>
        <v>450</v>
      </c>
      <c r="H65" s="65">
        <f>+'IS-PBC'!G67</f>
        <v>0</v>
      </c>
      <c r="I65" s="64">
        <f>+'IS-PBC'!H67</f>
        <v>0</v>
      </c>
      <c r="J65" s="64">
        <f>+'IS-PBC'!I67</f>
        <v>0</v>
      </c>
      <c r="K65" s="64">
        <f>+'IS-PBC'!J67</f>
        <v>0</v>
      </c>
      <c r="L65" s="64">
        <f>+'IS-PBC'!K67</f>
        <v>0</v>
      </c>
      <c r="M65" s="64">
        <f>+'IS-PBC'!L67</f>
        <v>0</v>
      </c>
      <c r="N65" s="64">
        <f>+'IS-PBC'!M67</f>
        <v>450</v>
      </c>
      <c r="O65" s="64">
        <f t="shared" si="6"/>
        <v>900</v>
      </c>
      <c r="P65" s="65">
        <v>0</v>
      </c>
      <c r="Q65" s="65">
        <f t="shared" si="7"/>
        <v>900</v>
      </c>
      <c r="R65" s="724"/>
      <c r="S65" s="65">
        <f t="shared" si="5"/>
        <v>900</v>
      </c>
      <c r="T65" s="42"/>
      <c r="U65" s="131"/>
    </row>
    <row r="66" spans="1:21" ht="15" customHeight="1">
      <c r="A66" s="298">
        <v>52</v>
      </c>
      <c r="B66" s="62" t="s">
        <v>38</v>
      </c>
      <c r="C66" s="64">
        <f>+'IS-PBC'!B131</f>
        <v>250.5</v>
      </c>
      <c r="D66" s="64">
        <f>+'IS-PBC'!C131</f>
        <v>830.75</v>
      </c>
      <c r="E66" s="64">
        <f>+'IS-PBC'!D131</f>
        <v>908.75</v>
      </c>
      <c r="F66" s="64">
        <f>+'IS-PBC'!E131</f>
        <v>0</v>
      </c>
      <c r="G66" s="64">
        <f>+'IS-PBC'!F131</f>
        <v>68.75</v>
      </c>
      <c r="H66" s="65">
        <f>+'IS-PBC'!G131</f>
        <v>0</v>
      </c>
      <c r="I66" s="64">
        <f>+'IS-PBC'!H131</f>
        <v>2615.5</v>
      </c>
      <c r="J66" s="64">
        <f>+'IS-PBC'!I131</f>
        <v>-1930</v>
      </c>
      <c r="K66" s="64">
        <f>+'IS-PBC'!J131</f>
        <v>1005</v>
      </c>
      <c r="L66" s="64">
        <f>+'IS-PBC'!K131</f>
        <v>971</v>
      </c>
      <c r="M66" s="64">
        <f>+'IS-PBC'!L131</f>
        <v>850</v>
      </c>
      <c r="N66" s="64">
        <f>+'IS-PBC'!M131</f>
        <v>0</v>
      </c>
      <c r="O66" s="64">
        <f t="shared" si="6"/>
        <v>5570.25</v>
      </c>
      <c r="P66" s="65">
        <v>0</v>
      </c>
      <c r="Q66" s="65">
        <f t="shared" si="7"/>
        <v>5570.25</v>
      </c>
      <c r="R66" s="724"/>
      <c r="S66" s="65">
        <f t="shared" si="5"/>
        <v>5570.25</v>
      </c>
      <c r="T66" s="42"/>
      <c r="U66" s="131"/>
    </row>
    <row r="67" spans="1:21" ht="15" customHeight="1">
      <c r="A67" s="298">
        <v>53</v>
      </c>
      <c r="B67" s="62" t="s">
        <v>442</v>
      </c>
      <c r="C67" s="64">
        <v>0</v>
      </c>
      <c r="D67" s="64">
        <v>0</v>
      </c>
      <c r="E67" s="64">
        <v>0</v>
      </c>
      <c r="F67" s="64">
        <v>0</v>
      </c>
      <c r="G67" s="64">
        <v>0</v>
      </c>
      <c r="H67" s="65">
        <v>0</v>
      </c>
      <c r="I67" s="64">
        <v>0</v>
      </c>
      <c r="J67" s="64">
        <v>0</v>
      </c>
      <c r="K67" s="64">
        <v>0</v>
      </c>
      <c r="L67" s="64">
        <v>0</v>
      </c>
      <c r="M67" s="64">
        <v>0</v>
      </c>
      <c r="N67" s="64">
        <v>0</v>
      </c>
      <c r="O67" s="64">
        <f>SUM(C67:N67)</f>
        <v>0</v>
      </c>
      <c r="P67" s="65">
        <v>0</v>
      </c>
      <c r="Q67" s="65">
        <f>O67+P67</f>
        <v>0</v>
      </c>
      <c r="R67" s="724"/>
      <c r="S67" s="65">
        <f t="shared" si="5"/>
        <v>0</v>
      </c>
      <c r="T67" s="42"/>
      <c r="U67" s="131"/>
    </row>
    <row r="68" spans="1:21" ht="15" customHeight="1">
      <c r="A68" s="298">
        <v>54</v>
      </c>
      <c r="B68" s="62" t="s">
        <v>119</v>
      </c>
      <c r="C68" s="64">
        <f>+'IS-PBC'!B82</f>
        <v>1067.31</v>
      </c>
      <c r="D68" s="64">
        <f>+'IS-PBC'!C82</f>
        <v>55.5</v>
      </c>
      <c r="E68" s="64">
        <f>+'IS-PBC'!D82</f>
        <v>0</v>
      </c>
      <c r="F68" s="64">
        <f>+'IS-PBC'!E82</f>
        <v>1090.8599999999999</v>
      </c>
      <c r="G68" s="64">
        <f>+'IS-PBC'!F82</f>
        <v>71</v>
      </c>
      <c r="H68" s="65">
        <f>+'IS-PBC'!G82</f>
        <v>0</v>
      </c>
      <c r="I68" s="64">
        <f>+'IS-PBC'!H82</f>
        <v>1095.46</v>
      </c>
      <c r="J68" s="64">
        <f>+'IS-PBC'!I82</f>
        <v>0</v>
      </c>
      <c r="K68" s="64">
        <f>+'IS-PBC'!J82</f>
        <v>0</v>
      </c>
      <c r="L68" s="64">
        <f>+'IS-PBC'!K82</f>
        <v>1950.51</v>
      </c>
      <c r="M68" s="64">
        <f>+'IS-PBC'!L82</f>
        <v>0</v>
      </c>
      <c r="N68" s="64">
        <f>+'IS-PBC'!M82</f>
        <v>12.6</v>
      </c>
      <c r="O68" s="64">
        <f t="shared" si="6"/>
        <v>5343.2400000000007</v>
      </c>
      <c r="P68" s="65">
        <v>0</v>
      </c>
      <c r="Q68" s="65">
        <f t="shared" si="7"/>
        <v>5343.2400000000007</v>
      </c>
      <c r="R68" s="724"/>
      <c r="S68" s="65">
        <f t="shared" si="5"/>
        <v>5343.2400000000007</v>
      </c>
      <c r="T68" s="42"/>
      <c r="U68" s="131"/>
    </row>
    <row r="69" spans="1:21" ht="15" customHeight="1">
      <c r="A69" s="298">
        <v>55</v>
      </c>
      <c r="B69" s="62" t="s">
        <v>39</v>
      </c>
      <c r="C69" s="64">
        <f>+'IS-PBC'!B148</f>
        <v>0</v>
      </c>
      <c r="D69" s="64">
        <f>+'IS-PBC'!C148</f>
        <v>0</v>
      </c>
      <c r="E69" s="64">
        <f>+'IS-PBC'!D148</f>
        <v>250</v>
      </c>
      <c r="F69" s="64">
        <f>+'IS-PBC'!E148</f>
        <v>0</v>
      </c>
      <c r="G69" s="64">
        <f>+'IS-PBC'!F148</f>
        <v>0</v>
      </c>
      <c r="H69" s="65">
        <f>+'IS-PBC'!G148</f>
        <v>0</v>
      </c>
      <c r="I69" s="64">
        <f>+'IS-PBC'!H148</f>
        <v>0</v>
      </c>
      <c r="J69" s="64">
        <f>+'IS-PBC'!I148</f>
        <v>0</v>
      </c>
      <c r="K69" s="64">
        <f>+'IS-PBC'!J148</f>
        <v>0</v>
      </c>
      <c r="L69" s="64">
        <f>+'IS-PBC'!K148</f>
        <v>500</v>
      </c>
      <c r="M69" s="64">
        <f>+'IS-PBC'!L148</f>
        <v>0</v>
      </c>
      <c r="N69" s="64">
        <f>+'IS-PBC'!M148</f>
        <v>300</v>
      </c>
      <c r="O69" s="64">
        <f t="shared" si="6"/>
        <v>1050</v>
      </c>
      <c r="P69" s="65">
        <v>0</v>
      </c>
      <c r="Q69" s="65">
        <f t="shared" si="7"/>
        <v>1050</v>
      </c>
      <c r="R69" s="724"/>
      <c r="S69" s="65">
        <f t="shared" si="5"/>
        <v>1050</v>
      </c>
      <c r="T69" s="42"/>
      <c r="U69" s="131"/>
    </row>
    <row r="70" spans="1:21" ht="15" customHeight="1">
      <c r="A70" s="298">
        <v>56</v>
      </c>
      <c r="B70" s="62" t="s">
        <v>40</v>
      </c>
      <c r="C70" s="64">
        <f>+'IS-PBC'!B135+'IS-PBC'!B136</f>
        <v>5383.52</v>
      </c>
      <c r="D70" s="64">
        <f>+'IS-PBC'!C135+'IS-PBC'!C136</f>
        <v>5646.36</v>
      </c>
      <c r="E70" s="64">
        <f>+'IS-PBC'!D135+'IS-PBC'!D136</f>
        <v>5491.64</v>
      </c>
      <c r="F70" s="64">
        <f>+'IS-PBC'!E135+'IS-PBC'!E136</f>
        <v>5770.29</v>
      </c>
      <c r="G70" s="64">
        <f>+'IS-PBC'!F135+'IS-PBC'!F136</f>
        <v>5380.02</v>
      </c>
      <c r="H70" s="65">
        <f>+'IS-PBC'!G135+'IS-PBC'!G136</f>
        <v>5475.93</v>
      </c>
      <c r="I70" s="64">
        <f>+'IS-PBC'!H135+'IS-PBC'!H136</f>
        <v>5708.62</v>
      </c>
      <c r="J70" s="64">
        <f>+'IS-PBC'!I135+'IS-PBC'!I136</f>
        <v>5161.8</v>
      </c>
      <c r="K70" s="64">
        <f>+'IS-PBC'!J135+'IS-PBC'!J136</f>
        <v>4948.68</v>
      </c>
      <c r="L70" s="64">
        <f>+'IS-PBC'!K135+'IS-PBC'!K136</f>
        <v>5281.65</v>
      </c>
      <c r="M70" s="64">
        <f>+'IS-PBC'!L135+'IS-PBC'!L136</f>
        <v>5140.3599999999997</v>
      </c>
      <c r="N70" s="64">
        <f>+'IS-PBC'!M135+'IS-PBC'!M136</f>
        <v>5344.65</v>
      </c>
      <c r="O70" s="64">
        <f t="shared" si="6"/>
        <v>64733.520000000011</v>
      </c>
      <c r="P70" s="65">
        <v>0</v>
      </c>
      <c r="Q70" s="65">
        <f t="shared" si="7"/>
        <v>64733.520000000011</v>
      </c>
      <c r="R70" s="724"/>
      <c r="S70" s="65">
        <f t="shared" si="5"/>
        <v>64733.520000000011</v>
      </c>
      <c r="T70" s="42"/>
      <c r="U70" s="131"/>
    </row>
    <row r="71" spans="1:21" ht="15" customHeight="1">
      <c r="A71" s="298">
        <v>57</v>
      </c>
      <c r="B71" s="71" t="s">
        <v>41</v>
      </c>
      <c r="C71" s="64">
        <f>+'IS-PBC'!B141+'IS-PBC'!B142+'IS-PBC'!B149+'IS-PBC'!B150</f>
        <v>17200</v>
      </c>
      <c r="D71" s="64">
        <f>+'IS-PBC'!C141+'IS-PBC'!C142+'IS-PBC'!C149+'IS-PBC'!C150</f>
        <v>17200</v>
      </c>
      <c r="E71" s="64">
        <f>+'IS-PBC'!D141+'IS-PBC'!D142+'IS-PBC'!D149+'IS-PBC'!D150</f>
        <v>17200</v>
      </c>
      <c r="F71" s="64">
        <f>+'IS-PBC'!E141+'IS-PBC'!E142+'IS-PBC'!E149+'IS-PBC'!E150</f>
        <v>17200</v>
      </c>
      <c r="G71" s="64">
        <f>+'IS-PBC'!F141+'IS-PBC'!F142+'IS-PBC'!F149+'IS-PBC'!F150</f>
        <v>17200</v>
      </c>
      <c r="H71" s="64">
        <f>+'IS-PBC'!G141+'IS-PBC'!G142+'IS-PBC'!G149+'IS-PBC'!G150</f>
        <v>17200</v>
      </c>
      <c r="I71" s="64">
        <f>+'IS-PBC'!H141+'IS-PBC'!H142+'IS-PBC'!H149+'IS-PBC'!H150</f>
        <v>17200</v>
      </c>
      <c r="J71" s="64">
        <f>+'IS-PBC'!I141+'IS-PBC'!I142+'IS-PBC'!I149+'IS-PBC'!I150</f>
        <v>17200</v>
      </c>
      <c r="K71" s="64">
        <f>+'IS-PBC'!J141+'IS-PBC'!J142+'IS-PBC'!J149+'IS-PBC'!J150</f>
        <v>17200</v>
      </c>
      <c r="L71" s="64">
        <f>+'IS-PBC'!K141+'IS-PBC'!K142+'IS-PBC'!K149+'IS-PBC'!K150</f>
        <v>17200</v>
      </c>
      <c r="M71" s="64">
        <f>+'IS-PBC'!L141+'IS-PBC'!L142+'IS-PBC'!L149+'IS-PBC'!L150</f>
        <v>17200</v>
      </c>
      <c r="N71" s="64">
        <f>+'IS-PBC'!M141+'IS-PBC'!M142+'IS-PBC'!M149+'IS-PBC'!M150</f>
        <v>17200</v>
      </c>
      <c r="O71" s="64">
        <f t="shared" si="6"/>
        <v>206400</v>
      </c>
      <c r="P71" s="65">
        <v>0</v>
      </c>
      <c r="Q71" s="65">
        <f t="shared" si="7"/>
        <v>206400</v>
      </c>
      <c r="R71" s="724"/>
      <c r="S71" s="65">
        <f t="shared" si="5"/>
        <v>206400</v>
      </c>
      <c r="T71" s="42"/>
      <c r="U71" s="131"/>
    </row>
    <row r="72" spans="1:21" ht="15" customHeight="1">
      <c r="A72" s="298">
        <v>58</v>
      </c>
      <c r="B72" s="62" t="s">
        <v>42</v>
      </c>
      <c r="C72" s="64">
        <f>+'IS-PBC'!B107</f>
        <v>567.16</v>
      </c>
      <c r="D72" s="64">
        <f>+'IS-PBC'!C107</f>
        <v>306.23</v>
      </c>
      <c r="E72" s="64">
        <f>+'IS-PBC'!D107</f>
        <v>736.93</v>
      </c>
      <c r="F72" s="64">
        <f>+'IS-PBC'!E107</f>
        <v>270.87</v>
      </c>
      <c r="G72" s="64">
        <f>+'IS-PBC'!F107</f>
        <v>270.27</v>
      </c>
      <c r="H72" s="65">
        <f>+'IS-PBC'!G107</f>
        <v>816.83</v>
      </c>
      <c r="I72" s="64">
        <f>+'IS-PBC'!H107</f>
        <v>1803.68</v>
      </c>
      <c r="J72" s="64">
        <f>+'IS-PBC'!I107</f>
        <v>544.66</v>
      </c>
      <c r="K72" s="64">
        <f>+'IS-PBC'!J107</f>
        <v>1368.2</v>
      </c>
      <c r="L72" s="64">
        <f>+'IS-PBC'!K107</f>
        <v>382.28</v>
      </c>
      <c r="M72" s="64">
        <f>+'IS-PBC'!L107</f>
        <v>3569.11</v>
      </c>
      <c r="N72" s="64">
        <f>+'IS-PBC'!M107</f>
        <v>2880.48</v>
      </c>
      <c r="O72" s="64">
        <f t="shared" si="6"/>
        <v>13516.699999999999</v>
      </c>
      <c r="P72" s="65">
        <v>0</v>
      </c>
      <c r="Q72" s="65">
        <f t="shared" si="7"/>
        <v>13516.699999999999</v>
      </c>
      <c r="R72" s="724"/>
      <c r="S72" s="65">
        <f t="shared" si="5"/>
        <v>13516.699999999999</v>
      </c>
      <c r="T72" s="42"/>
      <c r="U72" s="131"/>
    </row>
    <row r="73" spans="1:21" ht="15" customHeight="1">
      <c r="A73" s="298">
        <v>59</v>
      </c>
      <c r="B73" s="62" t="s">
        <v>369</v>
      </c>
      <c r="C73" s="64">
        <f>+'IS-PBC'!B74+'IS-PBC'!B130+'IS-PBC'!B158</f>
        <v>0</v>
      </c>
      <c r="D73" s="64">
        <f>+'IS-PBC'!C74+'IS-PBC'!C130+'IS-PBC'!C158</f>
        <v>0</v>
      </c>
      <c r="E73" s="64">
        <f>+'IS-PBC'!D74+'IS-PBC'!D130+'IS-PBC'!D158</f>
        <v>10886.48</v>
      </c>
      <c r="F73" s="64">
        <f>+'IS-PBC'!E74+'IS-PBC'!E130+'IS-PBC'!E158</f>
        <v>0</v>
      </c>
      <c r="G73" s="64">
        <f>+'IS-PBC'!F74+'IS-PBC'!F130+'IS-PBC'!F158</f>
        <v>0</v>
      </c>
      <c r="H73" s="65">
        <f>+'IS-PBC'!G74+'IS-PBC'!G130+'IS-PBC'!G158</f>
        <v>19053.900000000001</v>
      </c>
      <c r="I73" s="64">
        <f>+'IS-PBC'!H74+'IS-PBC'!H130+'IS-PBC'!H158</f>
        <v>0</v>
      </c>
      <c r="J73" s="64">
        <f>+'IS-PBC'!I74+'IS-PBC'!I130+'IS-PBC'!I158</f>
        <v>0</v>
      </c>
      <c r="K73" s="64">
        <f>+'IS-PBC'!J74+'IS-PBC'!J130+'IS-PBC'!J158</f>
        <v>19863.79</v>
      </c>
      <c r="L73" s="64">
        <f>+'IS-PBC'!K74+'IS-PBC'!K130+'IS-PBC'!K158</f>
        <v>0</v>
      </c>
      <c r="M73" s="64">
        <f>+'IS-PBC'!L74+'IS-PBC'!L130+'IS-PBC'!L158</f>
        <v>0</v>
      </c>
      <c r="N73" s="64">
        <f>+'IS-PBC'!M74+'IS-PBC'!M130+'IS-PBC'!M158</f>
        <v>22055.279999999999</v>
      </c>
      <c r="O73" s="64">
        <f t="shared" si="6"/>
        <v>71859.45</v>
      </c>
      <c r="P73" s="65">
        <v>0</v>
      </c>
      <c r="Q73" s="65">
        <f t="shared" si="7"/>
        <v>71859.45</v>
      </c>
      <c r="R73" s="724"/>
      <c r="S73" s="65">
        <f t="shared" si="5"/>
        <v>71859.45</v>
      </c>
      <c r="T73" s="42"/>
      <c r="U73" s="131"/>
    </row>
    <row r="74" spans="1:21" ht="15" customHeight="1">
      <c r="A74" s="298">
        <v>60</v>
      </c>
      <c r="B74" s="62" t="s">
        <v>79</v>
      </c>
      <c r="C74" s="64">
        <f>+'IS-PBC'!B133+'IS-PBC'!B134+'IS-PBC'!B138+'IS-PBC'!B139</f>
        <v>5809.5</v>
      </c>
      <c r="D74" s="64">
        <f>+'IS-PBC'!C133+'IS-PBC'!C134+'IS-PBC'!C138+'IS-PBC'!C139</f>
        <v>6104.4900000000007</v>
      </c>
      <c r="E74" s="64">
        <f>+'IS-PBC'!D133+'IS-PBC'!D134+'IS-PBC'!D138+'IS-PBC'!D139</f>
        <v>7129.84</v>
      </c>
      <c r="F74" s="64">
        <f>+'IS-PBC'!E133+'IS-PBC'!E134+'IS-PBC'!E138+'IS-PBC'!E139</f>
        <v>6372.34</v>
      </c>
      <c r="G74" s="64">
        <f>+'IS-PBC'!F133+'IS-PBC'!F134+'IS-PBC'!F138+'IS-PBC'!F139</f>
        <v>6488.9800000000005</v>
      </c>
      <c r="H74" s="65">
        <f>+'IS-PBC'!G133+'IS-PBC'!G134+'IS-PBC'!G138+'IS-PBC'!G139</f>
        <v>6755.59</v>
      </c>
      <c r="I74" s="64">
        <f>+'IS-PBC'!H133+'IS-PBC'!H134+'IS-PBC'!H138+'IS-PBC'!H139</f>
        <v>6216.08</v>
      </c>
      <c r="J74" s="64">
        <f>+'IS-PBC'!I133+'IS-PBC'!I134+'IS-PBC'!I138+'IS-PBC'!I139</f>
        <v>6600.79</v>
      </c>
      <c r="K74" s="64">
        <f>+'IS-PBC'!J133+'IS-PBC'!J134+'IS-PBC'!J138+'IS-PBC'!J139</f>
        <v>8128.14</v>
      </c>
      <c r="L74" s="64">
        <f>+'IS-PBC'!K133+'IS-PBC'!K134+'IS-PBC'!K138+'IS-PBC'!K139</f>
        <v>7349.9699999999993</v>
      </c>
      <c r="M74" s="64">
        <f>+'IS-PBC'!L133+'IS-PBC'!L134+'IS-PBC'!L138+'IS-PBC'!L139</f>
        <v>6981.89</v>
      </c>
      <c r="N74" s="64">
        <f>+'IS-PBC'!M133+'IS-PBC'!M134+'IS-PBC'!M138+'IS-PBC'!M139</f>
        <v>9129.8599999999988</v>
      </c>
      <c r="O74" s="64">
        <f t="shared" si="6"/>
        <v>83067.47</v>
      </c>
      <c r="P74" s="65">
        <v>0</v>
      </c>
      <c r="Q74" s="65">
        <f t="shared" si="7"/>
        <v>83067.47</v>
      </c>
      <c r="R74" s="724"/>
      <c r="S74" s="65">
        <f t="shared" si="5"/>
        <v>83067.47</v>
      </c>
      <c r="T74" s="42"/>
      <c r="U74" s="131"/>
    </row>
    <row r="75" spans="1:21" ht="15" customHeight="1">
      <c r="A75" s="298">
        <v>61</v>
      </c>
      <c r="B75" s="62" t="s">
        <v>308</v>
      </c>
      <c r="C75" s="64">
        <f>+'IS-PBC'!B98+'IS-PBC'!B99+'IS-PBC'!B143+'IS-PBC'!B152+'IS-PBC'!B123</f>
        <v>1400</v>
      </c>
      <c r="D75" s="64">
        <f>+'IS-PBC'!C98+'IS-PBC'!C99+'IS-PBC'!C143+'IS-PBC'!C152+'IS-PBC'!C123</f>
        <v>1415</v>
      </c>
      <c r="E75" s="64">
        <f>+'IS-PBC'!D98+'IS-PBC'!D99+'IS-PBC'!D143+'IS-PBC'!D152+'IS-PBC'!D123</f>
        <v>1200</v>
      </c>
      <c r="F75" s="64">
        <f>+'IS-PBC'!E98+'IS-PBC'!E99+'IS-PBC'!E143+'IS-PBC'!E152+'IS-PBC'!E123</f>
        <v>1715</v>
      </c>
      <c r="G75" s="64">
        <f>+'IS-PBC'!F98+'IS-PBC'!F99+'IS-PBC'!F143+'IS-PBC'!F152+'IS-PBC'!F123</f>
        <v>1116.54</v>
      </c>
      <c r="H75" s="65">
        <f>+'IS-PBC'!G98+'IS-PBC'!G99+'IS-PBC'!G143+'IS-PBC'!G152+'IS-PBC'!G123</f>
        <v>1105</v>
      </c>
      <c r="I75" s="64">
        <f>+'IS-PBC'!H98+'IS-PBC'!H99+'IS-PBC'!H143+'IS-PBC'!H152+'IS-PBC'!H123</f>
        <v>1397.51</v>
      </c>
      <c r="J75" s="64">
        <f>+'IS-PBC'!I98+'IS-PBC'!I99+'IS-PBC'!I143+'IS-PBC'!I152+'IS-PBC'!I123</f>
        <v>1200</v>
      </c>
      <c r="K75" s="64">
        <f>+'IS-PBC'!J98+'IS-PBC'!J99+'IS-PBC'!J143+'IS-PBC'!J152+'IS-PBC'!J123</f>
        <v>2779.46</v>
      </c>
      <c r="L75" s="64">
        <f>+'IS-PBC'!K98+'IS-PBC'!K99+'IS-PBC'!K143+'IS-PBC'!K152+'IS-PBC'!K123</f>
        <v>1438.32</v>
      </c>
      <c r="M75" s="64">
        <f>+'IS-PBC'!L98+'IS-PBC'!L99+'IS-PBC'!L143+'IS-PBC'!L152+'IS-PBC'!L123</f>
        <v>2298.58</v>
      </c>
      <c r="N75" s="64">
        <f>+'IS-PBC'!M98+'IS-PBC'!M99+'IS-PBC'!M143+'IS-PBC'!M152+'IS-PBC'!M123</f>
        <v>1305</v>
      </c>
      <c r="O75" s="64">
        <f t="shared" si="6"/>
        <v>18370.409999999996</v>
      </c>
      <c r="P75" s="65">
        <v>0</v>
      </c>
      <c r="Q75" s="65">
        <f t="shared" si="7"/>
        <v>18370.409999999996</v>
      </c>
      <c r="R75" s="724"/>
      <c r="S75" s="65">
        <f t="shared" si="5"/>
        <v>18370.409999999996</v>
      </c>
      <c r="T75" s="42"/>
      <c r="U75" s="131"/>
    </row>
    <row r="76" spans="1:21" ht="15" customHeight="1">
      <c r="A76" s="298">
        <v>62</v>
      </c>
      <c r="B76" s="62" t="s">
        <v>368</v>
      </c>
      <c r="C76" s="64">
        <f>+'IS-PBC'!B112</f>
        <v>86.7</v>
      </c>
      <c r="D76" s="64">
        <f>+'IS-PBC'!C112</f>
        <v>86.7</v>
      </c>
      <c r="E76" s="64">
        <f>+'IS-PBC'!D112</f>
        <v>86.7</v>
      </c>
      <c r="F76" s="64">
        <f>+'IS-PBC'!E112</f>
        <v>86.7</v>
      </c>
      <c r="G76" s="64">
        <f>+'IS-PBC'!F112</f>
        <v>86.7</v>
      </c>
      <c r="H76" s="65">
        <f>+'IS-PBC'!G112</f>
        <v>86.7</v>
      </c>
      <c r="I76" s="64">
        <f>+'IS-PBC'!H112</f>
        <v>86.7</v>
      </c>
      <c r="J76" s="64">
        <f>+'IS-PBC'!I112</f>
        <v>86.7</v>
      </c>
      <c r="K76" s="64">
        <f>+'IS-PBC'!J112</f>
        <v>86.7</v>
      </c>
      <c r="L76" s="64">
        <f>+'IS-PBC'!K112</f>
        <v>86.7</v>
      </c>
      <c r="M76" s="64">
        <f>+'IS-PBC'!L112</f>
        <v>66.3</v>
      </c>
      <c r="N76" s="64">
        <f>+'IS-PBC'!M112</f>
        <v>76.5</v>
      </c>
      <c r="O76" s="64">
        <f t="shared" si="6"/>
        <v>1009.8000000000002</v>
      </c>
      <c r="P76" s="65">
        <v>0</v>
      </c>
      <c r="Q76" s="65">
        <f t="shared" si="7"/>
        <v>1009.8000000000002</v>
      </c>
      <c r="R76" s="724"/>
      <c r="S76" s="65">
        <f t="shared" si="5"/>
        <v>1009.8000000000002</v>
      </c>
      <c r="T76" s="42"/>
      <c r="U76" s="131"/>
    </row>
    <row r="77" spans="1:21" ht="15" customHeight="1">
      <c r="A77" s="298">
        <v>63</v>
      </c>
      <c r="B77" s="62" t="s">
        <v>125</v>
      </c>
      <c r="C77" s="64">
        <f>+'IS-PBC'!B113</f>
        <v>154.38</v>
      </c>
      <c r="D77" s="64">
        <f>+'IS-PBC'!C113</f>
        <v>154.38</v>
      </c>
      <c r="E77" s="64">
        <f>+'IS-PBC'!D113</f>
        <v>154.38</v>
      </c>
      <c r="F77" s="64">
        <f>+'IS-PBC'!E113</f>
        <v>154.38</v>
      </c>
      <c r="G77" s="64">
        <f>+'IS-PBC'!F113</f>
        <v>154.38</v>
      </c>
      <c r="H77" s="65">
        <f>+'IS-PBC'!G113</f>
        <v>154.38</v>
      </c>
      <c r="I77" s="64">
        <f>+'IS-PBC'!H113</f>
        <v>154.38</v>
      </c>
      <c r="J77" s="64">
        <f>+'IS-PBC'!I113</f>
        <v>154.38</v>
      </c>
      <c r="K77" s="64">
        <f>+'IS-PBC'!J113</f>
        <v>0</v>
      </c>
      <c r="L77" s="64">
        <f>+'IS-PBC'!K113</f>
        <v>308.76</v>
      </c>
      <c r="M77" s="64">
        <f>+'IS-PBC'!L113</f>
        <v>154.38</v>
      </c>
      <c r="N77" s="64">
        <f>+'IS-PBC'!M113</f>
        <v>154.38</v>
      </c>
      <c r="O77" s="64">
        <f t="shared" si="6"/>
        <v>1852.56</v>
      </c>
      <c r="P77" s="65">
        <v>0</v>
      </c>
      <c r="Q77" s="65">
        <f t="shared" si="7"/>
        <v>1852.56</v>
      </c>
      <c r="R77" s="724"/>
      <c r="S77" s="65">
        <f t="shared" si="5"/>
        <v>1852.56</v>
      </c>
      <c r="T77" s="42"/>
      <c r="U77" s="131"/>
    </row>
    <row r="78" spans="1:21" ht="15" customHeight="1">
      <c r="A78" s="298">
        <v>64</v>
      </c>
      <c r="B78" s="62" t="s">
        <v>80</v>
      </c>
      <c r="C78" s="64">
        <f>+'IS-PBC'!B114+'IS-PBC'!B115+'IS-PBC'!B116+'IS-PBC'!B117+'IS-PBC'!B118+'IS-PBC'!B122</f>
        <v>11868.25</v>
      </c>
      <c r="D78" s="64">
        <f>+'IS-PBC'!C114+'IS-PBC'!C115+'IS-PBC'!C116+'IS-PBC'!C117+'IS-PBC'!C118+'IS-PBC'!C122</f>
        <v>13269.68</v>
      </c>
      <c r="E78" s="64">
        <f>+'IS-PBC'!D114+'IS-PBC'!D115+'IS-PBC'!D116+'IS-PBC'!D117+'IS-PBC'!D118+'IS-PBC'!D122</f>
        <v>11365.550000000001</v>
      </c>
      <c r="F78" s="64">
        <f>+'IS-PBC'!E114+'IS-PBC'!E115+'IS-PBC'!E116+'IS-PBC'!E117+'IS-PBC'!E118+'IS-PBC'!E122</f>
        <v>10698.380000000001</v>
      </c>
      <c r="G78" s="64">
        <f>+'IS-PBC'!F114+'IS-PBC'!F115+'IS-PBC'!F116+'IS-PBC'!F117+'IS-PBC'!F118+'IS-PBC'!F122</f>
        <v>10441.58</v>
      </c>
      <c r="H78" s="65">
        <f>+'IS-PBC'!G114+'IS-PBC'!G115+'IS-PBC'!G116+'IS-PBC'!G117+'IS-PBC'!G118+'IS-PBC'!G122</f>
        <v>11327.65</v>
      </c>
      <c r="I78" s="64">
        <f>+'IS-PBC'!H114+'IS-PBC'!H115+'IS-PBC'!H116+'IS-PBC'!H117+'IS-PBC'!H118+'IS-PBC'!H122</f>
        <v>10586.86</v>
      </c>
      <c r="J78" s="64">
        <f>+'IS-PBC'!I114+'IS-PBC'!I115+'IS-PBC'!I116+'IS-PBC'!I117+'IS-PBC'!I118+'IS-PBC'!I122</f>
        <v>10858.480000000001</v>
      </c>
      <c r="K78" s="64">
        <f>+'IS-PBC'!J114+'IS-PBC'!J115+'IS-PBC'!J116+'IS-PBC'!J117+'IS-PBC'!J118+'IS-PBC'!J122</f>
        <v>-2639.13</v>
      </c>
      <c r="L78" s="64">
        <f>+'IS-PBC'!K114+'IS-PBC'!K115+'IS-PBC'!K116+'IS-PBC'!K117+'IS-PBC'!K118+'IS-PBC'!K122</f>
        <v>26485.52</v>
      </c>
      <c r="M78" s="64">
        <f>+'IS-PBC'!L114+'IS-PBC'!L115+'IS-PBC'!L116+'IS-PBC'!L117+'IS-PBC'!L118+'IS-PBC'!L122</f>
        <v>12390.289999999999</v>
      </c>
      <c r="N78" s="64">
        <f>+'IS-PBC'!M114+'IS-PBC'!M115+'IS-PBC'!M116+'IS-PBC'!M117+'IS-PBC'!M118+'IS-PBC'!M122</f>
        <v>12147.550000000001</v>
      </c>
      <c r="O78" s="64">
        <f t="shared" si="6"/>
        <v>138800.65999999997</v>
      </c>
      <c r="P78" s="65">
        <v>0</v>
      </c>
      <c r="Q78" s="65">
        <f t="shared" si="7"/>
        <v>138800.65999999997</v>
      </c>
      <c r="R78" s="724"/>
      <c r="S78" s="65">
        <f t="shared" si="5"/>
        <v>138800.65999999997</v>
      </c>
      <c r="T78" s="42"/>
      <c r="U78" s="131"/>
    </row>
    <row r="79" spans="1:21" ht="15" customHeight="1">
      <c r="A79" s="298">
        <v>65</v>
      </c>
      <c r="B79" s="62" t="s">
        <v>43</v>
      </c>
      <c r="C79" s="64">
        <f>+'IS-PBC'!B132</f>
        <v>7154.78</v>
      </c>
      <c r="D79" s="64">
        <f>+'IS-PBC'!C132</f>
        <v>0</v>
      </c>
      <c r="E79" s="64">
        <f>+'IS-PBC'!D132</f>
        <v>0</v>
      </c>
      <c r="F79" s="64">
        <f>+'IS-PBC'!E132</f>
        <v>0</v>
      </c>
      <c r="G79" s="64">
        <f>+'IS-PBC'!F132</f>
        <v>0</v>
      </c>
      <c r="H79" s="65">
        <f>+'IS-PBC'!G132</f>
        <v>0</v>
      </c>
      <c r="I79" s="64">
        <f>+'IS-PBC'!H132</f>
        <v>7121.02</v>
      </c>
      <c r="J79" s="64">
        <f>+'IS-PBC'!I132</f>
        <v>0</v>
      </c>
      <c r="K79" s="64">
        <f>+'IS-PBC'!J132</f>
        <v>0</v>
      </c>
      <c r="L79" s="64">
        <f>+'IS-PBC'!K132</f>
        <v>0</v>
      </c>
      <c r="M79" s="64">
        <f>+'IS-PBC'!L132</f>
        <v>0</v>
      </c>
      <c r="N79" s="64">
        <f>+'IS-PBC'!M132</f>
        <v>0</v>
      </c>
      <c r="O79" s="64">
        <f t="shared" si="6"/>
        <v>14275.8</v>
      </c>
      <c r="P79" s="65">
        <v>0</v>
      </c>
      <c r="Q79" s="65">
        <f t="shared" si="7"/>
        <v>14275.8</v>
      </c>
      <c r="R79" s="724"/>
      <c r="S79" s="65">
        <f t="shared" si="5"/>
        <v>14275.8</v>
      </c>
      <c r="T79" s="42"/>
      <c r="U79" s="131"/>
    </row>
    <row r="80" spans="1:21" ht="15" customHeight="1">
      <c r="A80" s="298">
        <v>66</v>
      </c>
      <c r="B80" s="62" t="s">
        <v>44</v>
      </c>
      <c r="C80" s="64">
        <f>+'IS-PBC'!B94</f>
        <v>866</v>
      </c>
      <c r="D80" s="64">
        <f>+'IS-PBC'!C94</f>
        <v>0</v>
      </c>
      <c r="E80" s="64">
        <f>+'IS-PBC'!D94</f>
        <v>93</v>
      </c>
      <c r="F80" s="64">
        <f>+'IS-PBC'!E94</f>
        <v>0</v>
      </c>
      <c r="G80" s="64">
        <f>+'IS-PBC'!F94</f>
        <v>166</v>
      </c>
      <c r="H80" s="65">
        <f>+'IS-PBC'!G94</f>
        <v>190</v>
      </c>
      <c r="I80" s="64">
        <f>+'IS-PBC'!H94</f>
        <v>103</v>
      </c>
      <c r="J80" s="64">
        <f>+'IS-PBC'!I94</f>
        <v>111</v>
      </c>
      <c r="K80" s="64">
        <f>+'IS-PBC'!J94</f>
        <v>44</v>
      </c>
      <c r="L80" s="64">
        <f>+'IS-PBC'!K94</f>
        <v>268</v>
      </c>
      <c r="M80" s="64">
        <f>+'IS-PBC'!L94</f>
        <v>460</v>
      </c>
      <c r="N80" s="64">
        <f>+'IS-PBC'!M94</f>
        <v>0</v>
      </c>
      <c r="O80" s="64">
        <f t="shared" si="6"/>
        <v>2301</v>
      </c>
      <c r="P80" s="65">
        <v>0</v>
      </c>
      <c r="Q80" s="65">
        <f t="shared" si="7"/>
        <v>2301</v>
      </c>
      <c r="R80" s="724"/>
      <c r="S80" s="65">
        <f t="shared" si="5"/>
        <v>2301</v>
      </c>
      <c r="T80" s="42"/>
      <c r="U80" s="131"/>
    </row>
    <row r="81" spans="1:29" ht="15" customHeight="1">
      <c r="A81" s="298">
        <v>67</v>
      </c>
      <c r="B81" s="62" t="s">
        <v>81</v>
      </c>
      <c r="C81" s="64">
        <f>+'IS-PBC'!B140</f>
        <v>6424.74</v>
      </c>
      <c r="D81" s="64">
        <f>+'IS-PBC'!C140</f>
        <v>5160.1099999999997</v>
      </c>
      <c r="E81" s="64">
        <f>+'IS-PBC'!D140</f>
        <v>5115.55</v>
      </c>
      <c r="F81" s="64">
        <f>+'IS-PBC'!E140</f>
        <v>5260.56</v>
      </c>
      <c r="G81" s="64">
        <f>+'IS-PBC'!F140</f>
        <v>5410.54</v>
      </c>
      <c r="H81" s="65">
        <f>+'IS-PBC'!G140</f>
        <v>5185.24</v>
      </c>
      <c r="I81" s="64">
        <f>+'IS-PBC'!H140</f>
        <v>5545.61</v>
      </c>
      <c r="J81" s="64">
        <f>+'IS-PBC'!I140</f>
        <v>5516.08</v>
      </c>
      <c r="K81" s="64">
        <f>+'IS-PBC'!J140</f>
        <v>6570.41</v>
      </c>
      <c r="L81" s="64">
        <f>+'IS-PBC'!K140</f>
        <v>5889.62</v>
      </c>
      <c r="M81" s="64">
        <f>+'IS-PBC'!L140</f>
        <v>5129.59</v>
      </c>
      <c r="N81" s="64">
        <f>+'IS-PBC'!M140</f>
        <v>5426.01</v>
      </c>
      <c r="O81" s="64">
        <f t="shared" si="6"/>
        <v>66634.06</v>
      </c>
      <c r="P81" s="65">
        <v>0</v>
      </c>
      <c r="Q81" s="65">
        <f t="shared" si="7"/>
        <v>66634.06</v>
      </c>
      <c r="R81" s="724"/>
      <c r="S81" s="65">
        <f t="shared" si="5"/>
        <v>66634.06</v>
      </c>
      <c r="T81" s="42"/>
      <c r="U81" s="131"/>
    </row>
    <row r="82" spans="1:29" ht="15" customHeight="1">
      <c r="A82" s="298">
        <v>68</v>
      </c>
      <c r="B82" s="62" t="s">
        <v>66</v>
      </c>
      <c r="C82" s="64">
        <f>+'IS-PBC'!B101+'IS-PBC'!B105+'IS-PBC'!B106+'IS-PBC'!B100+'IS-PBC'!B102+'IS-PBC'!B103+'IS-PBC'!B104</f>
        <v>857.19</v>
      </c>
      <c r="D82" s="64">
        <f>+'IS-PBC'!C101+'IS-PBC'!C105+'IS-PBC'!C106+'IS-PBC'!C100+'IS-PBC'!C102+'IS-PBC'!C103+'IS-PBC'!C104</f>
        <v>796.7</v>
      </c>
      <c r="E82" s="64">
        <f>+'IS-PBC'!D101+'IS-PBC'!D105+'IS-PBC'!D106+'IS-PBC'!D100+'IS-PBC'!D102+'IS-PBC'!D103+'IS-PBC'!D104</f>
        <v>779.65</v>
      </c>
      <c r="F82" s="64">
        <f>+'IS-PBC'!E101+'IS-PBC'!E105+'IS-PBC'!E106+'IS-PBC'!E100+'IS-PBC'!E102+'IS-PBC'!E103+'IS-PBC'!E104</f>
        <v>762.53</v>
      </c>
      <c r="G82" s="64">
        <f>+'IS-PBC'!F101+'IS-PBC'!F105+'IS-PBC'!F106+'IS-PBC'!F100+'IS-PBC'!F102+'IS-PBC'!F103+'IS-PBC'!F104</f>
        <v>745.36</v>
      </c>
      <c r="H82" s="64">
        <f>+'IS-PBC'!G101+'IS-PBC'!G105+'IS-PBC'!G106+'IS-PBC'!G100+'IS-PBC'!G102+'IS-PBC'!G103+'IS-PBC'!G104</f>
        <v>1500.64</v>
      </c>
      <c r="I82" s="64">
        <f>+'IS-PBC'!H101+'IS-PBC'!H105+'IS-PBC'!H106+'IS-PBC'!H100+'IS-PBC'!H102+'IS-PBC'!H103+'IS-PBC'!H104</f>
        <v>1575.43</v>
      </c>
      <c r="J82" s="64">
        <f>+'IS-PBC'!I101+'IS-PBC'!I105+'IS-PBC'!I106+'IS-PBC'!I100+'IS-PBC'!I102+'IS-PBC'!I103+'IS-PBC'!I104</f>
        <v>1458.83</v>
      </c>
      <c r="K82" s="64">
        <f>+'IS-PBC'!J101+'IS-PBC'!J105+'IS-PBC'!J106+'IS-PBC'!J100+'IS-PBC'!J102+'IS-PBC'!J103+'IS-PBC'!J104</f>
        <v>1417.08</v>
      </c>
      <c r="L82" s="64">
        <f>+'IS-PBC'!K101+'IS-PBC'!K105+'IS-PBC'!K106+'IS-PBC'!K100+'IS-PBC'!K102+'IS-PBC'!K103+'IS-PBC'!K104</f>
        <v>1375.21</v>
      </c>
      <c r="M82" s="64">
        <f>+'IS-PBC'!L101+'IS-PBC'!L105+'IS-PBC'!L106+'IS-PBC'!L100+'IS-PBC'!L102+'IS-PBC'!L103+'IS-PBC'!L104</f>
        <v>1333.22</v>
      </c>
      <c r="N82" s="64">
        <f>+'IS-PBC'!M101+'IS-PBC'!M105+'IS-PBC'!M106+'IS-PBC'!M100+'IS-PBC'!M102+'IS-PBC'!M103+'IS-PBC'!M104</f>
        <v>1291.1099999999999</v>
      </c>
      <c r="O82" s="64">
        <f t="shared" si="6"/>
        <v>13892.949999999999</v>
      </c>
      <c r="P82" s="65">
        <v>0</v>
      </c>
      <c r="Q82" s="65">
        <f t="shared" si="7"/>
        <v>13892.949999999999</v>
      </c>
      <c r="R82" s="724"/>
      <c r="S82" s="65">
        <f t="shared" si="5"/>
        <v>13892.949999999999</v>
      </c>
      <c r="T82" s="42"/>
      <c r="U82" s="131"/>
    </row>
    <row r="83" spans="1:29" ht="15" customHeight="1">
      <c r="A83" s="298">
        <v>69</v>
      </c>
      <c r="B83" s="62" t="s">
        <v>45</v>
      </c>
      <c r="C83" s="64">
        <f>'IS-PBC'!B95</f>
        <v>0</v>
      </c>
      <c r="D83" s="64">
        <f>'IS-PBC'!C95</f>
        <v>0</v>
      </c>
      <c r="E83" s="64">
        <f>'IS-PBC'!D95</f>
        <v>0</v>
      </c>
      <c r="F83" s="64">
        <f>'IS-PBC'!E95</f>
        <v>0</v>
      </c>
      <c r="G83" s="64">
        <f>'IS-PBC'!F95</f>
        <v>0</v>
      </c>
      <c r="H83" s="64">
        <f>'IS-PBC'!G95</f>
        <v>0</v>
      </c>
      <c r="I83" s="64">
        <f>'IS-PBC'!H95</f>
        <v>0</v>
      </c>
      <c r="J83" s="64">
        <f>'IS-PBC'!I95</f>
        <v>0</v>
      </c>
      <c r="K83" s="64">
        <f>'IS-PBC'!J95</f>
        <v>0</v>
      </c>
      <c r="L83" s="64">
        <f>'IS-PBC'!K95</f>
        <v>0</v>
      </c>
      <c r="M83" s="64">
        <f>'IS-PBC'!L95</f>
        <v>0</v>
      </c>
      <c r="N83" s="64">
        <f>'IS-PBC'!M95</f>
        <v>0</v>
      </c>
      <c r="O83" s="64">
        <f t="shared" si="6"/>
        <v>0</v>
      </c>
      <c r="P83" s="65">
        <v>0</v>
      </c>
      <c r="Q83" s="65">
        <f t="shared" si="7"/>
        <v>0</v>
      </c>
      <c r="R83" s="724"/>
      <c r="S83" s="65">
        <f t="shared" si="5"/>
        <v>0</v>
      </c>
      <c r="T83" s="42"/>
      <c r="U83" s="131"/>
    </row>
    <row r="84" spans="1:29" ht="15" customHeight="1">
      <c r="A84" s="298">
        <v>70</v>
      </c>
      <c r="B84" s="62" t="s">
        <v>46</v>
      </c>
      <c r="C84" s="64">
        <f>+'IS-PBC'!B96</f>
        <v>212.5</v>
      </c>
      <c r="D84" s="64">
        <f>+'IS-PBC'!C96</f>
        <v>432.09</v>
      </c>
      <c r="E84" s="64">
        <f>+'IS-PBC'!D96</f>
        <v>495.84</v>
      </c>
      <c r="F84" s="64">
        <f>+'IS-PBC'!E96</f>
        <v>354.17</v>
      </c>
      <c r="G84" s="64">
        <f>+'IS-PBC'!F96</f>
        <v>784.59</v>
      </c>
      <c r="H84" s="64">
        <f>+'IS-PBC'!G96</f>
        <v>417.92</v>
      </c>
      <c r="I84" s="64">
        <f>+'IS-PBC'!H96</f>
        <v>191.25</v>
      </c>
      <c r="J84" s="64">
        <f>+'IS-PBC'!I96</f>
        <v>347.08</v>
      </c>
      <c r="K84" s="64">
        <f>+'IS-PBC'!J96</f>
        <v>63.33</v>
      </c>
      <c r="L84" s="64">
        <f>+'IS-PBC'!K96</f>
        <v>498.75</v>
      </c>
      <c r="M84" s="64">
        <f>+'IS-PBC'!L96</f>
        <v>568.66999999999996</v>
      </c>
      <c r="N84" s="64">
        <f>+'IS-PBC'!M96</f>
        <v>126.67</v>
      </c>
      <c r="O84" s="64">
        <f t="shared" si="6"/>
        <v>4492.8599999999997</v>
      </c>
      <c r="P84" s="65">
        <v>0</v>
      </c>
      <c r="Q84" s="65">
        <f t="shared" si="7"/>
        <v>4492.8599999999997</v>
      </c>
      <c r="R84" s="724"/>
      <c r="S84" s="65">
        <f t="shared" si="5"/>
        <v>4492.8599999999997</v>
      </c>
      <c r="T84" s="42"/>
      <c r="U84" s="131"/>
    </row>
    <row r="85" spans="1:29" ht="15" customHeight="1">
      <c r="A85" s="298">
        <v>71</v>
      </c>
      <c r="B85" s="62" t="s">
        <v>120</v>
      </c>
      <c r="C85" s="64">
        <f>+'IS-PBC'!B91+'IS-PBC'!B126</f>
        <v>636.19000000000005</v>
      </c>
      <c r="D85" s="64">
        <f>+'IS-PBC'!C91+'IS-PBC'!C126</f>
        <v>558.16</v>
      </c>
      <c r="E85" s="64">
        <f>+'IS-PBC'!D91+'IS-PBC'!D126</f>
        <v>572.11</v>
      </c>
      <c r="F85" s="64">
        <f>+'IS-PBC'!E91+'IS-PBC'!E126</f>
        <v>474.32</v>
      </c>
      <c r="G85" s="64">
        <f>+'IS-PBC'!F91+'IS-PBC'!F126</f>
        <v>147.87</v>
      </c>
      <c r="H85" s="64">
        <f>+'IS-PBC'!G91+'IS-PBC'!G126</f>
        <v>1059.73</v>
      </c>
      <c r="I85" s="64">
        <f>+'IS-PBC'!H91+'IS-PBC'!H126</f>
        <v>1109.83</v>
      </c>
      <c r="J85" s="64">
        <f>+'IS-PBC'!I91+'IS-PBC'!I126</f>
        <v>602.20000000000005</v>
      </c>
      <c r="K85" s="64">
        <f>+'IS-PBC'!J91+'IS-PBC'!J126</f>
        <v>1352.73</v>
      </c>
      <c r="L85" s="64">
        <f>+'IS-PBC'!K91+'IS-PBC'!K126</f>
        <v>772.23</v>
      </c>
      <c r="M85" s="64">
        <f>+'IS-PBC'!L91+'IS-PBC'!L126</f>
        <v>1006.44</v>
      </c>
      <c r="N85" s="64">
        <f>+'IS-PBC'!M91+'IS-PBC'!M126</f>
        <v>1395.39</v>
      </c>
      <c r="O85" s="64">
        <f t="shared" si="6"/>
        <v>9687.1999999999989</v>
      </c>
      <c r="P85" s="65">
        <v>0</v>
      </c>
      <c r="Q85" s="65">
        <f t="shared" si="7"/>
        <v>9687.1999999999989</v>
      </c>
      <c r="R85" s="724"/>
      <c r="S85" s="65">
        <f t="shared" si="5"/>
        <v>9687.1999999999989</v>
      </c>
      <c r="T85" s="42"/>
      <c r="U85" s="131"/>
      <c r="V85" s="44"/>
      <c r="W85" s="44"/>
      <c r="X85" s="44"/>
      <c r="Y85" s="44"/>
      <c r="Z85" s="45"/>
      <c r="AA85" s="45"/>
      <c r="AB85" s="45"/>
      <c r="AC85" s="45"/>
    </row>
    <row r="86" spans="1:29" ht="15" customHeight="1">
      <c r="A86" s="298">
        <v>72</v>
      </c>
      <c r="B86" s="62" t="s">
        <v>103</v>
      </c>
      <c r="C86" s="79">
        <f>+'IS-PBC'!B119+'IS-PBC'!B120</f>
        <v>21013.29</v>
      </c>
      <c r="D86" s="79">
        <f>+'IS-PBC'!C119+'IS-PBC'!C120</f>
        <v>21013.29</v>
      </c>
      <c r="E86" s="79">
        <f>+'IS-PBC'!D119+'IS-PBC'!D120</f>
        <v>29610.15</v>
      </c>
      <c r="F86" s="79">
        <f>+'IS-PBC'!E119+'IS-PBC'!E120</f>
        <v>21101.97</v>
      </c>
      <c r="G86" s="79">
        <f>+'IS-PBC'!F119+'IS-PBC'!F120</f>
        <v>21101.97</v>
      </c>
      <c r="H86" s="79">
        <f>+'IS-PBC'!G119+'IS-PBC'!G120</f>
        <v>21634.02</v>
      </c>
      <c r="I86" s="79">
        <f>+'IS-PBC'!H119+'IS-PBC'!H120</f>
        <v>20739.75</v>
      </c>
      <c r="J86" s="79">
        <f>+'IS-PBC'!I119+'IS-PBC'!I120</f>
        <v>20739.75</v>
      </c>
      <c r="K86" s="79">
        <f>+'IS-PBC'!J119+'IS-PBC'!J120</f>
        <v>10623.94</v>
      </c>
      <c r="L86" s="79">
        <f>+'IS-PBC'!K119+'IS-PBC'!K120</f>
        <v>23924.600000000002</v>
      </c>
      <c r="M86" s="79">
        <f>+'IS-PBC'!L119+'IS-PBC'!L120</f>
        <v>23924.600000000002</v>
      </c>
      <c r="N86" s="79">
        <f>+'IS-PBC'!M119+'IS-PBC'!M120</f>
        <v>23924.600000000002</v>
      </c>
      <c r="O86" s="66">
        <f t="shared" si="6"/>
        <v>259351.93000000002</v>
      </c>
      <c r="P86" s="65">
        <f>+'Sch 3, pg 2 - Reclass'!H87</f>
        <v>0</v>
      </c>
      <c r="Q86" s="725">
        <f t="shared" si="7"/>
        <v>259351.93000000002</v>
      </c>
      <c r="R86" s="724"/>
      <c r="S86" s="65">
        <f t="shared" si="5"/>
        <v>259351.93000000002</v>
      </c>
      <c r="T86" s="42"/>
      <c r="U86" s="131"/>
      <c r="V86" s="44"/>
      <c r="W86" s="44"/>
      <c r="X86" s="44"/>
      <c r="Y86" s="44"/>
      <c r="Z86" s="45"/>
      <c r="AA86" s="45"/>
      <c r="AB86" s="45"/>
      <c r="AC86" s="45"/>
    </row>
    <row r="87" spans="1:29" s="90" customFormat="1" ht="15" customHeight="1">
      <c r="A87" s="299"/>
      <c r="B87" s="83"/>
      <c r="C87" s="84">
        <f t="shared" ref="C87:N87" si="8">SUM(C23:C86)</f>
        <v>340724.07999999996</v>
      </c>
      <c r="D87" s="84">
        <f t="shared" si="8"/>
        <v>352916.83999999991</v>
      </c>
      <c r="E87" s="84">
        <f t="shared" si="8"/>
        <v>378056.99000000005</v>
      </c>
      <c r="F87" s="84">
        <f t="shared" si="8"/>
        <v>334219.83999999997</v>
      </c>
      <c r="G87" s="84">
        <f t="shared" si="8"/>
        <v>340340.41999999993</v>
      </c>
      <c r="H87" s="701">
        <f t="shared" si="8"/>
        <v>348588.94000000018</v>
      </c>
      <c r="I87" s="84">
        <f t="shared" si="8"/>
        <v>349444.36000000004</v>
      </c>
      <c r="J87" s="701">
        <f t="shared" si="8"/>
        <v>337108.4</v>
      </c>
      <c r="K87" s="84">
        <f t="shared" si="8"/>
        <v>354354.19</v>
      </c>
      <c r="L87" s="701">
        <f t="shared" si="8"/>
        <v>379974.49000000005</v>
      </c>
      <c r="M87" s="701">
        <f t="shared" si="8"/>
        <v>351689.13</v>
      </c>
      <c r="N87" s="84">
        <f t="shared" si="8"/>
        <v>399585.79999999993</v>
      </c>
      <c r="O87" s="84">
        <f>SUM(C87:N87)</f>
        <v>4267003.4800000004</v>
      </c>
      <c r="P87" s="727">
        <f>SUM(P23:P86)</f>
        <v>274.38000000004831</v>
      </c>
      <c r="Q87" s="701">
        <f>SUM(Q23:Q86)</f>
        <v>4267277.8600000013</v>
      </c>
      <c r="R87" s="701"/>
      <c r="S87" s="65">
        <f>Q87+R87</f>
        <v>4267277.8600000013</v>
      </c>
      <c r="T87" s="85"/>
      <c r="U87" s="132"/>
      <c r="V87" s="86"/>
      <c r="W87" s="87"/>
      <c r="X87" s="87"/>
      <c r="Y87" s="87"/>
      <c r="Z87" s="88"/>
      <c r="AA87" s="88"/>
      <c r="AB87" s="89"/>
      <c r="AC87" s="89"/>
    </row>
    <row r="88" spans="1:29" ht="15" customHeight="1">
      <c r="B88" s="59" t="s">
        <v>58</v>
      </c>
      <c r="C88" s="95">
        <f t="shared" ref="C88:N88" si="9">C20-C87</f>
        <v>22144.260000000009</v>
      </c>
      <c r="D88" s="95">
        <f t="shared" si="9"/>
        <v>27438.410000000033</v>
      </c>
      <c r="E88" s="95">
        <f t="shared" si="9"/>
        <v>7364.0899999999674</v>
      </c>
      <c r="F88" s="95">
        <f t="shared" si="9"/>
        <v>57345.250000000058</v>
      </c>
      <c r="G88" s="95">
        <f t="shared" si="9"/>
        <v>23394.660000000033</v>
      </c>
      <c r="H88" s="95">
        <f t="shared" si="9"/>
        <v>21880.489999999816</v>
      </c>
      <c r="I88" s="95">
        <f t="shared" si="9"/>
        <v>34629.199999999895</v>
      </c>
      <c r="J88" s="95">
        <f t="shared" si="9"/>
        <v>9776.0800000000163</v>
      </c>
      <c r="K88" s="95">
        <f t="shared" si="9"/>
        <v>-13419.729999999981</v>
      </c>
      <c r="L88" s="95">
        <f t="shared" si="9"/>
        <v>-24439.080000000075</v>
      </c>
      <c r="M88" s="95">
        <f t="shared" si="9"/>
        <v>-5504.179999999993</v>
      </c>
      <c r="N88" s="95">
        <f t="shared" si="9"/>
        <v>-37517.749999999942</v>
      </c>
      <c r="O88" s="95">
        <f>O20-O87</f>
        <v>123091.69999999925</v>
      </c>
      <c r="P88" s="728">
        <f>P20-P87</f>
        <v>297579.92999999988</v>
      </c>
      <c r="Q88" s="728">
        <f>Q20-Q87</f>
        <v>420671.62999999803</v>
      </c>
      <c r="R88" s="724">
        <f>R20-R87</f>
        <v>0</v>
      </c>
      <c r="S88" s="65">
        <f>S20-S87</f>
        <v>420671.62999999803</v>
      </c>
      <c r="W88" s="41"/>
      <c r="X88" s="41"/>
      <c r="Y88" s="41"/>
      <c r="Z88" s="46"/>
      <c r="AA88" s="46"/>
    </row>
    <row r="89" spans="1:29" ht="15" customHeight="1">
      <c r="B89" s="60"/>
      <c r="C89" s="64"/>
      <c r="D89" s="64"/>
      <c r="E89" s="64"/>
      <c r="F89" s="64"/>
      <c r="G89" s="64"/>
      <c r="H89" s="64"/>
      <c r="I89" s="64"/>
      <c r="J89" s="64"/>
      <c r="K89" s="64"/>
      <c r="L89" s="64"/>
      <c r="M89" s="64"/>
      <c r="N89" s="64"/>
      <c r="O89" s="702"/>
      <c r="P89" s="65"/>
      <c r="Q89" s="65"/>
      <c r="R89" s="724"/>
      <c r="S89" s="65"/>
      <c r="V89" s="41"/>
      <c r="W89" s="41"/>
      <c r="X89" s="41"/>
      <c r="Y89" s="41"/>
      <c r="Z89" s="46"/>
      <c r="AA89" s="46"/>
    </row>
    <row r="90" spans="1:29" ht="15" customHeight="1">
      <c r="B90" s="59" t="s">
        <v>105</v>
      </c>
      <c r="C90" s="68"/>
      <c r="D90" s="68"/>
      <c r="E90" s="68"/>
      <c r="F90" s="68"/>
      <c r="G90" s="68"/>
      <c r="H90" s="68"/>
      <c r="I90" s="68"/>
      <c r="J90" s="68"/>
      <c r="K90" s="68"/>
      <c r="L90" s="64"/>
      <c r="M90" s="64"/>
      <c r="N90" s="64"/>
      <c r="O90" s="64"/>
      <c r="P90" s="65"/>
      <c r="Q90" s="65"/>
      <c r="R90" s="724"/>
      <c r="S90" s="65"/>
      <c r="V90" s="41"/>
      <c r="W90" s="41"/>
      <c r="X90" s="41"/>
      <c r="Y90" s="41"/>
      <c r="Z90" s="47"/>
      <c r="AA90" s="47"/>
    </row>
    <row r="91" spans="1:29" ht="15" customHeight="1">
      <c r="B91" s="62" t="s">
        <v>121</v>
      </c>
      <c r="C91" s="68">
        <f>-'IS-PBC'!B154</f>
        <v>0</v>
      </c>
      <c r="D91" s="68">
        <f>-'IS-PBC'!C154</f>
        <v>0</v>
      </c>
      <c r="E91" s="68">
        <f>-'IS-PBC'!D154</f>
        <v>0</v>
      </c>
      <c r="F91" s="68">
        <f>-'IS-PBC'!E154</f>
        <v>0</v>
      </c>
      <c r="G91" s="68">
        <f>-'IS-PBC'!F154</f>
        <v>0</v>
      </c>
      <c r="H91" s="68">
        <f>-'IS-PBC'!G154</f>
        <v>0</v>
      </c>
      <c r="I91" s="68">
        <f>-'IS-PBC'!H154</f>
        <v>0</v>
      </c>
      <c r="J91" s="68">
        <f>-'IS-PBC'!I154</f>
        <v>38000</v>
      </c>
      <c r="K91" s="68">
        <f>-'IS-PBC'!J154</f>
        <v>0</v>
      </c>
      <c r="L91" s="68">
        <f>-'IS-PBC'!K154</f>
        <v>0</v>
      </c>
      <c r="M91" s="68">
        <f>-'IS-PBC'!L154</f>
        <v>0</v>
      </c>
      <c r="N91" s="68">
        <f>-'IS-PBC'!M154</f>
        <v>0</v>
      </c>
      <c r="O91" s="64">
        <f>SUM(C91:N91)</f>
        <v>38000</v>
      </c>
      <c r="P91" s="65">
        <v>0</v>
      </c>
      <c r="Q91" s="65">
        <f>O91+P91</f>
        <v>38000</v>
      </c>
      <c r="R91" s="724"/>
      <c r="S91" s="65"/>
      <c r="V91" s="41"/>
      <c r="X91" s="41"/>
      <c r="Y91" s="41"/>
      <c r="Z91" s="47"/>
      <c r="AA91" s="47"/>
    </row>
    <row r="92" spans="1:29" ht="15" customHeight="1">
      <c r="B92" s="62" t="s">
        <v>106</v>
      </c>
      <c r="C92" s="68">
        <f>-'IS-PBC'!B155</f>
        <v>0</v>
      </c>
      <c r="D92" s="68">
        <f>-'IS-PBC'!C155</f>
        <v>0</v>
      </c>
      <c r="E92" s="68">
        <f>-'IS-PBC'!D155</f>
        <v>0</v>
      </c>
      <c r="F92" s="68">
        <f>-'IS-PBC'!E155</f>
        <v>0</v>
      </c>
      <c r="G92" s="68">
        <f>-'IS-PBC'!F155</f>
        <v>0</v>
      </c>
      <c r="H92" s="68">
        <f>-'IS-PBC'!G155</f>
        <v>0</v>
      </c>
      <c r="I92" s="68">
        <f>-'IS-PBC'!H155</f>
        <v>300</v>
      </c>
      <c r="J92" s="68">
        <f>-'IS-PBC'!I155</f>
        <v>-150</v>
      </c>
      <c r="K92" s="68">
        <f>-'IS-PBC'!J155</f>
        <v>-150</v>
      </c>
      <c r="L92" s="68">
        <f>-'IS-PBC'!K155</f>
        <v>0</v>
      </c>
      <c r="M92" s="68">
        <f>-'IS-PBC'!L155</f>
        <v>854.02</v>
      </c>
      <c r="N92" s="68">
        <f>-'IS-PBC'!M155</f>
        <v>-854.02</v>
      </c>
      <c r="O92" s="64">
        <f>SUM(C92:N92)</f>
        <v>0</v>
      </c>
      <c r="P92" s="65">
        <v>0</v>
      </c>
      <c r="Q92" s="65">
        <f>O92+P92</f>
        <v>0</v>
      </c>
      <c r="R92" s="724"/>
      <c r="S92" s="67"/>
      <c r="V92" s="41"/>
      <c r="X92" s="41"/>
      <c r="Y92" s="41"/>
      <c r="Z92" s="46"/>
      <c r="AA92" s="46"/>
    </row>
    <row r="93" spans="1:29" ht="15" customHeight="1">
      <c r="B93" s="62" t="s">
        <v>66</v>
      </c>
      <c r="C93" s="80">
        <f>-'IS-PBC'!B156</f>
        <v>0.45</v>
      </c>
      <c r="D93" s="80">
        <f>-'IS-PBC'!C156</f>
        <v>0.54</v>
      </c>
      <c r="E93" s="80">
        <f>-'IS-PBC'!D156</f>
        <v>0.56000000000000005</v>
      </c>
      <c r="F93" s="80">
        <f>-'IS-PBC'!E156</f>
        <v>0.76</v>
      </c>
      <c r="G93" s="80">
        <f>-'IS-PBC'!F156</f>
        <v>0.97</v>
      </c>
      <c r="H93" s="80">
        <f>-'IS-PBC'!G156</f>
        <v>0.92</v>
      </c>
      <c r="I93" s="80">
        <f>-'IS-PBC'!H156</f>
        <v>0.43</v>
      </c>
      <c r="J93" s="80">
        <f>-'IS-PBC'!I156</f>
        <v>0.43</v>
      </c>
      <c r="K93" s="80">
        <f>-'IS-PBC'!J156</f>
        <v>0.48</v>
      </c>
      <c r="L93" s="80">
        <f>-'IS-PBC'!K156</f>
        <v>0.69</v>
      </c>
      <c r="M93" s="80">
        <f>-'IS-PBC'!L156</f>
        <v>0.44</v>
      </c>
      <c r="N93" s="80">
        <f>-'IS-PBC'!M156</f>
        <v>0.47</v>
      </c>
      <c r="O93" s="64">
        <f>SUM(C93:N93)</f>
        <v>7.1399999999999988</v>
      </c>
      <c r="P93" s="725">
        <v>0</v>
      </c>
      <c r="Q93" s="725">
        <f>O93+P93</f>
        <v>7.1399999999999988</v>
      </c>
      <c r="R93" s="724"/>
      <c r="S93" s="724"/>
      <c r="V93" s="41"/>
      <c r="X93" s="41"/>
      <c r="Y93" s="41"/>
      <c r="Z93" s="46"/>
      <c r="AA93" s="46"/>
    </row>
    <row r="94" spans="1:29" ht="15" customHeight="1">
      <c r="B94" s="60"/>
      <c r="C94" s="68"/>
      <c r="D94" s="68"/>
      <c r="E94" s="68"/>
      <c r="F94" s="68"/>
      <c r="G94" s="68"/>
      <c r="H94" s="68"/>
      <c r="I94" s="68"/>
      <c r="J94" s="68"/>
      <c r="K94" s="68"/>
      <c r="L94" s="64"/>
      <c r="M94" s="64"/>
      <c r="N94" s="64"/>
      <c r="O94" s="81"/>
      <c r="P94" s="65"/>
      <c r="Q94" s="65"/>
      <c r="R94" s="724"/>
      <c r="S94" s="65"/>
      <c r="V94" s="41"/>
      <c r="W94" s="41"/>
      <c r="X94" s="41"/>
      <c r="Y94" s="41"/>
      <c r="Z94" s="46"/>
      <c r="AA94" s="46"/>
    </row>
    <row r="95" spans="1:29" ht="15" customHeight="1" thickBot="1">
      <c r="B95" s="59" t="s">
        <v>376</v>
      </c>
      <c r="C95" s="82">
        <f t="shared" ref="C95:K95" si="10">C93+C92+C88+C91</f>
        <v>22144.71000000001</v>
      </c>
      <c r="D95" s="82">
        <f t="shared" si="10"/>
        <v>27438.950000000033</v>
      </c>
      <c r="E95" s="82">
        <f t="shared" si="10"/>
        <v>7364.6499999999678</v>
      </c>
      <c r="F95" s="82">
        <f t="shared" si="10"/>
        <v>57346.01000000006</v>
      </c>
      <c r="G95" s="82">
        <f t="shared" si="10"/>
        <v>23395.630000000034</v>
      </c>
      <c r="H95" s="82">
        <f t="shared" si="10"/>
        <v>21881.409999999814</v>
      </c>
      <c r="I95" s="82">
        <f t="shared" si="10"/>
        <v>34929.629999999896</v>
      </c>
      <c r="J95" s="82">
        <f t="shared" si="10"/>
        <v>47626.510000000017</v>
      </c>
      <c r="K95" s="82">
        <f t="shared" si="10"/>
        <v>-13569.249999999982</v>
      </c>
      <c r="L95" s="82">
        <f t="shared" ref="L95:Q95" si="11">L93+L92+L88+L91</f>
        <v>-24438.390000000076</v>
      </c>
      <c r="M95" s="82">
        <f t="shared" si="11"/>
        <v>-4649.719999999993</v>
      </c>
      <c r="N95" s="82">
        <f t="shared" si="11"/>
        <v>-38371.299999999945</v>
      </c>
      <c r="O95" s="82">
        <f t="shared" si="11"/>
        <v>161098.83999999927</v>
      </c>
      <c r="P95" s="729">
        <f>P93+P92+P88+P91</f>
        <v>297579.92999999988</v>
      </c>
      <c r="Q95" s="729">
        <f t="shared" si="11"/>
        <v>458678.76999999804</v>
      </c>
      <c r="R95" s="724"/>
      <c r="S95" s="65"/>
      <c r="W95" s="41"/>
      <c r="X95" s="41"/>
      <c r="Y95" s="41"/>
      <c r="Z95" s="46"/>
      <c r="AA95" s="46"/>
    </row>
    <row r="96" spans="1:29" ht="15" customHeight="1" thickTop="1">
      <c r="C96" s="64"/>
      <c r="D96" s="64"/>
      <c r="E96" s="64"/>
      <c r="F96" s="64"/>
      <c r="G96" s="64"/>
      <c r="H96" s="64"/>
      <c r="I96" s="64"/>
      <c r="J96" s="64"/>
      <c r="K96" s="64"/>
      <c r="L96" s="64"/>
      <c r="M96" s="64"/>
      <c r="N96" s="64"/>
      <c r="O96" s="702" t="s">
        <v>966</v>
      </c>
      <c r="P96" s="730" t="s">
        <v>1031</v>
      </c>
      <c r="Q96" s="64"/>
      <c r="R96" s="78"/>
      <c r="S96" s="64"/>
      <c r="T96" s="41"/>
      <c r="U96" s="133"/>
      <c r="V96" s="41"/>
      <c r="W96" s="41"/>
      <c r="X96" s="41"/>
      <c r="Y96" s="41"/>
      <c r="Z96" s="46"/>
      <c r="AA96" s="46"/>
    </row>
    <row r="97" spans="3:19" ht="15" customHeight="1">
      <c r="C97" s="68"/>
      <c r="D97" s="68"/>
      <c r="E97" s="68"/>
      <c r="F97" s="68"/>
      <c r="G97" s="68"/>
      <c r="H97" s="68"/>
      <c r="I97" s="68"/>
      <c r="J97" s="68"/>
      <c r="K97" s="68"/>
      <c r="L97" s="68"/>
      <c r="M97" s="68"/>
      <c r="N97" s="68"/>
      <c r="O97" s="68"/>
      <c r="P97" s="746" t="s">
        <v>976</v>
      </c>
      <c r="Q97" s="64"/>
      <c r="R97" s="78"/>
      <c r="S97" s="64"/>
    </row>
    <row r="98" spans="3:19" ht="15" customHeight="1">
      <c r="C98" s="68"/>
      <c r="D98" s="68"/>
      <c r="E98" s="68"/>
      <c r="F98" s="68"/>
      <c r="G98" s="68"/>
      <c r="H98" s="68"/>
      <c r="I98" s="68"/>
      <c r="J98" s="68"/>
      <c r="K98" s="68"/>
      <c r="L98" s="68"/>
      <c r="M98" s="68"/>
      <c r="N98" s="68"/>
      <c r="O98" s="68"/>
      <c r="P98" s="746"/>
      <c r="Q98" s="68"/>
      <c r="R98" s="78"/>
      <c r="S98" s="64"/>
    </row>
    <row r="99" spans="3:19" ht="15" customHeight="1">
      <c r="C99" s="68"/>
      <c r="D99" s="68"/>
      <c r="E99" s="68"/>
      <c r="F99" s="68"/>
      <c r="G99" s="68"/>
      <c r="H99" s="68"/>
      <c r="I99" s="68"/>
      <c r="J99" s="68"/>
      <c r="K99" s="68"/>
      <c r="L99" s="68"/>
      <c r="M99" s="68"/>
      <c r="N99" s="68"/>
      <c r="O99" s="68"/>
      <c r="P99" s="68"/>
      <c r="Q99" s="68"/>
      <c r="R99" s="78"/>
      <c r="S99" s="64"/>
    </row>
    <row r="100" spans="3:19" ht="15" customHeight="1">
      <c r="C100" s="68"/>
      <c r="D100" s="68"/>
      <c r="E100" s="68"/>
      <c r="F100" s="68"/>
      <c r="G100" s="68"/>
      <c r="H100" s="68"/>
      <c r="I100" s="68"/>
      <c r="J100" s="68"/>
      <c r="K100" s="68"/>
      <c r="L100" s="68"/>
      <c r="M100" s="68"/>
      <c r="N100" s="68"/>
      <c r="O100" s="68"/>
      <c r="P100" s="68"/>
      <c r="Q100" s="68"/>
      <c r="R100" s="78"/>
      <c r="S100" s="64"/>
    </row>
    <row r="101" spans="3:19" ht="15" customHeight="1">
      <c r="C101" s="68"/>
      <c r="D101" s="68"/>
      <c r="E101" s="68"/>
      <c r="F101" s="68"/>
      <c r="G101" s="68"/>
      <c r="H101" s="68"/>
      <c r="I101" s="68"/>
      <c r="J101" s="68"/>
      <c r="K101" s="68"/>
      <c r="L101" s="68"/>
      <c r="M101" s="68"/>
      <c r="N101" s="68"/>
      <c r="O101" s="68"/>
      <c r="P101" s="68"/>
      <c r="Q101" s="68"/>
      <c r="R101" s="78"/>
      <c r="S101" s="64"/>
    </row>
    <row r="102" spans="3:19" ht="15" customHeight="1">
      <c r="C102" s="68"/>
      <c r="D102" s="68"/>
      <c r="E102" s="68"/>
      <c r="F102" s="68"/>
      <c r="G102" s="68"/>
      <c r="H102" s="68"/>
      <c r="I102" s="68"/>
      <c r="J102" s="68"/>
      <c r="K102" s="68"/>
      <c r="L102" s="68"/>
      <c r="M102" s="68"/>
      <c r="N102" s="68"/>
      <c r="O102" s="68"/>
      <c r="P102" s="68"/>
      <c r="Q102" s="68"/>
      <c r="R102" s="78"/>
      <c r="S102" s="64"/>
    </row>
    <row r="103" spans="3:19" ht="15" customHeight="1">
      <c r="C103" s="68"/>
      <c r="D103" s="68"/>
      <c r="E103" s="68"/>
      <c r="F103" s="68"/>
      <c r="G103" s="68"/>
      <c r="H103" s="68"/>
      <c r="I103" s="68"/>
      <c r="J103" s="68"/>
      <c r="K103" s="68"/>
      <c r="L103" s="68"/>
      <c r="M103" s="68"/>
      <c r="N103" s="68"/>
      <c r="O103" s="68"/>
      <c r="P103" s="68"/>
      <c r="Q103" s="68"/>
      <c r="R103" s="78"/>
      <c r="S103" s="64"/>
    </row>
    <row r="104" spans="3:19" ht="15" customHeight="1">
      <c r="C104" s="68"/>
      <c r="D104" s="68"/>
      <c r="E104" s="68"/>
      <c r="F104" s="68"/>
      <c r="G104" s="68"/>
      <c r="H104" s="68"/>
      <c r="I104" s="68"/>
      <c r="J104" s="68"/>
      <c r="K104" s="68"/>
      <c r="L104" s="68"/>
      <c r="M104" s="68"/>
      <c r="N104" s="68"/>
      <c r="O104" s="68"/>
      <c r="P104" s="68"/>
      <c r="Q104" s="68"/>
      <c r="R104" s="78"/>
      <c r="S104" s="64"/>
    </row>
    <row r="105" spans="3:19" ht="15" customHeight="1">
      <c r="C105" s="68"/>
      <c r="D105" s="68"/>
      <c r="E105" s="68"/>
      <c r="F105" s="68"/>
      <c r="G105" s="68"/>
      <c r="H105" s="68"/>
      <c r="I105" s="68"/>
      <c r="J105" s="68"/>
      <c r="K105" s="68"/>
      <c r="L105" s="68"/>
      <c r="M105" s="68"/>
      <c r="N105" s="68"/>
      <c r="O105" s="68"/>
      <c r="P105" s="68"/>
      <c r="Q105" s="68"/>
      <c r="R105" s="78"/>
      <c r="S105" s="64"/>
    </row>
    <row r="106" spans="3:19" ht="15" customHeight="1">
      <c r="C106" s="68"/>
      <c r="D106" s="68"/>
      <c r="E106" s="68"/>
      <c r="F106" s="68"/>
      <c r="G106" s="68"/>
      <c r="H106" s="68"/>
      <c r="I106" s="68"/>
      <c r="J106" s="68"/>
      <c r="K106" s="68"/>
      <c r="L106" s="68"/>
      <c r="M106" s="68"/>
      <c r="N106" s="68"/>
      <c r="O106" s="68"/>
      <c r="P106" s="68"/>
      <c r="Q106" s="68"/>
      <c r="R106" s="78"/>
      <c r="S106" s="64"/>
    </row>
    <row r="107" spans="3:19" ht="15" customHeight="1">
      <c r="C107" s="68"/>
      <c r="D107" s="68"/>
      <c r="E107" s="68"/>
      <c r="F107" s="68"/>
      <c r="G107" s="68"/>
      <c r="H107" s="68"/>
      <c r="I107" s="68"/>
      <c r="J107" s="68"/>
      <c r="K107" s="68"/>
      <c r="L107" s="68"/>
      <c r="M107" s="68"/>
      <c r="N107" s="68"/>
      <c r="O107" s="68"/>
      <c r="P107" s="68"/>
      <c r="Q107" s="68"/>
      <c r="R107" s="78"/>
      <c r="S107" s="64"/>
    </row>
    <row r="108" spans="3:19" ht="15" customHeight="1">
      <c r="C108" s="68"/>
      <c r="D108" s="68"/>
      <c r="E108" s="68"/>
      <c r="F108" s="68"/>
      <c r="G108" s="68"/>
      <c r="H108" s="68"/>
      <c r="I108" s="68"/>
      <c r="J108" s="68"/>
      <c r="K108" s="68"/>
      <c r="L108" s="68"/>
      <c r="M108" s="68"/>
      <c r="N108" s="68"/>
      <c r="O108" s="68"/>
      <c r="P108" s="68"/>
      <c r="Q108" s="68"/>
      <c r="R108" s="78"/>
      <c r="S108" s="64"/>
    </row>
    <row r="109" spans="3:19" ht="15" customHeight="1">
      <c r="C109" s="68"/>
      <c r="D109" s="68"/>
      <c r="E109" s="68"/>
      <c r="F109" s="68"/>
      <c r="G109" s="68"/>
      <c r="H109" s="68"/>
      <c r="I109" s="68"/>
      <c r="J109" s="68"/>
      <c r="K109" s="68"/>
      <c r="L109" s="68"/>
      <c r="M109" s="68"/>
      <c r="N109" s="68"/>
      <c r="O109" s="68"/>
      <c r="P109" s="68"/>
      <c r="Q109" s="68"/>
      <c r="R109" s="78"/>
      <c r="S109" s="64"/>
    </row>
    <row r="110" spans="3:19" ht="15" customHeight="1">
      <c r="C110" s="68"/>
      <c r="D110" s="68"/>
      <c r="E110" s="68"/>
      <c r="F110" s="68"/>
      <c r="G110" s="68"/>
      <c r="H110" s="68"/>
      <c r="I110" s="68"/>
      <c r="J110" s="68"/>
      <c r="K110" s="68"/>
      <c r="L110" s="68"/>
      <c r="M110" s="68"/>
      <c r="N110" s="68"/>
      <c r="O110" s="68"/>
      <c r="P110" s="68"/>
      <c r="Q110" s="68"/>
      <c r="R110" s="78"/>
      <c r="S110" s="64"/>
    </row>
    <row r="111" spans="3:19" ht="15" customHeight="1">
      <c r="C111" s="68"/>
      <c r="D111" s="68"/>
      <c r="E111" s="68"/>
      <c r="F111" s="68"/>
      <c r="G111" s="68"/>
      <c r="H111" s="68"/>
      <c r="I111" s="68"/>
      <c r="J111" s="68"/>
      <c r="K111" s="68"/>
      <c r="L111" s="68"/>
      <c r="M111" s="68"/>
      <c r="N111" s="68"/>
      <c r="O111" s="68"/>
      <c r="P111" s="68"/>
      <c r="Q111" s="68"/>
      <c r="R111" s="78"/>
      <c r="S111" s="64"/>
    </row>
    <row r="112" spans="3:19" ht="15" customHeight="1">
      <c r="C112" s="68"/>
      <c r="D112" s="68"/>
      <c r="E112" s="68"/>
      <c r="F112" s="68"/>
      <c r="G112" s="68"/>
      <c r="H112" s="68"/>
      <c r="I112" s="68"/>
      <c r="J112" s="68"/>
      <c r="K112" s="68"/>
      <c r="L112" s="68"/>
      <c r="M112" s="68"/>
      <c r="N112" s="68"/>
      <c r="O112" s="68"/>
      <c r="P112" s="68"/>
      <c r="Q112" s="68"/>
      <c r="R112" s="78"/>
      <c r="S112" s="64"/>
    </row>
    <row r="113" spans="3:19" ht="15" customHeight="1">
      <c r="C113" s="68"/>
      <c r="D113" s="68"/>
      <c r="E113" s="68"/>
      <c r="F113" s="68"/>
      <c r="G113" s="68"/>
      <c r="H113" s="68"/>
      <c r="I113" s="68"/>
      <c r="J113" s="68"/>
      <c r="K113" s="68"/>
      <c r="L113" s="68"/>
      <c r="M113" s="68"/>
      <c r="N113" s="68"/>
      <c r="O113" s="68"/>
      <c r="P113" s="68"/>
      <c r="Q113" s="68"/>
      <c r="R113" s="78"/>
      <c r="S113" s="64"/>
    </row>
    <row r="114" spans="3:19" ht="15" customHeight="1">
      <c r="C114" s="68"/>
      <c r="D114" s="68"/>
      <c r="E114" s="68"/>
      <c r="F114" s="68"/>
      <c r="G114" s="68"/>
      <c r="H114" s="68"/>
      <c r="I114" s="68"/>
      <c r="J114" s="68"/>
      <c r="K114" s="68"/>
      <c r="L114" s="68"/>
      <c r="M114" s="68"/>
      <c r="N114" s="68"/>
      <c r="O114" s="68"/>
      <c r="P114" s="68"/>
      <c r="Q114" s="68"/>
      <c r="R114" s="78"/>
      <c r="S114" s="64"/>
    </row>
    <row r="115" spans="3:19" ht="15" customHeight="1">
      <c r="C115" s="68"/>
      <c r="D115" s="68"/>
      <c r="E115" s="68"/>
      <c r="F115" s="68"/>
      <c r="G115" s="68"/>
      <c r="H115" s="68"/>
      <c r="I115" s="68"/>
      <c r="J115" s="68"/>
      <c r="K115" s="68"/>
      <c r="L115" s="68"/>
      <c r="M115" s="68"/>
      <c r="N115" s="68"/>
      <c r="O115" s="68"/>
      <c r="P115" s="68"/>
      <c r="Q115" s="68"/>
      <c r="R115" s="78"/>
      <c r="S115" s="64"/>
    </row>
    <row r="116" spans="3:19" ht="15" customHeight="1">
      <c r="C116" s="68"/>
      <c r="D116" s="68"/>
      <c r="E116" s="68"/>
      <c r="F116" s="68"/>
      <c r="G116" s="68"/>
      <c r="H116" s="68"/>
      <c r="I116" s="68"/>
      <c r="J116" s="68"/>
      <c r="K116" s="68"/>
      <c r="L116" s="68"/>
      <c r="M116" s="68"/>
      <c r="N116" s="68"/>
      <c r="O116" s="68"/>
      <c r="P116" s="68"/>
      <c r="Q116" s="68"/>
      <c r="R116" s="78"/>
      <c r="S116" s="64"/>
    </row>
    <row r="117" spans="3:19" ht="15" customHeight="1">
      <c r="C117" s="68"/>
      <c r="D117" s="68"/>
      <c r="E117" s="68"/>
      <c r="F117" s="68"/>
      <c r="G117" s="68"/>
      <c r="H117" s="68"/>
      <c r="I117" s="68"/>
      <c r="J117" s="68"/>
      <c r="K117" s="68"/>
      <c r="L117" s="68"/>
      <c r="M117" s="68"/>
      <c r="N117" s="68"/>
      <c r="O117" s="68"/>
      <c r="P117" s="68"/>
      <c r="Q117" s="68"/>
      <c r="R117" s="78"/>
      <c r="S117" s="64"/>
    </row>
    <row r="118" spans="3:19" ht="15" customHeight="1">
      <c r="C118" s="68"/>
      <c r="D118" s="68"/>
      <c r="E118" s="68"/>
      <c r="F118" s="68"/>
      <c r="G118" s="68"/>
      <c r="H118" s="68"/>
      <c r="I118" s="68"/>
      <c r="J118" s="68"/>
      <c r="K118" s="68"/>
      <c r="L118" s="68"/>
      <c r="M118" s="68"/>
      <c r="N118" s="68"/>
      <c r="O118" s="68"/>
      <c r="P118" s="68"/>
      <c r="Q118" s="68"/>
      <c r="R118" s="78"/>
      <c r="S118" s="64"/>
    </row>
    <row r="119" spans="3:19" ht="15" customHeight="1">
      <c r="C119" s="68"/>
      <c r="D119" s="68"/>
      <c r="E119" s="68"/>
      <c r="F119" s="68"/>
      <c r="G119" s="68"/>
      <c r="H119" s="68"/>
      <c r="I119" s="68"/>
      <c r="J119" s="68"/>
      <c r="K119" s="68"/>
      <c r="L119" s="68"/>
      <c r="M119" s="68"/>
      <c r="N119" s="68"/>
      <c r="O119" s="68"/>
      <c r="P119" s="68"/>
      <c r="Q119" s="68"/>
      <c r="R119" s="78"/>
      <c r="S119" s="64"/>
    </row>
    <row r="120" spans="3:19" ht="15" customHeight="1">
      <c r="C120" s="68"/>
      <c r="D120" s="68"/>
      <c r="E120" s="68"/>
      <c r="F120" s="68"/>
      <c r="G120" s="68"/>
      <c r="H120" s="68"/>
      <c r="I120" s="68"/>
      <c r="J120" s="68"/>
      <c r="K120" s="68"/>
      <c r="L120" s="68"/>
      <c r="M120" s="68"/>
      <c r="N120" s="68"/>
      <c r="O120" s="68"/>
      <c r="P120" s="68"/>
      <c r="Q120" s="68"/>
      <c r="R120" s="78"/>
      <c r="S120" s="64"/>
    </row>
    <row r="121" spans="3:19" ht="15" customHeight="1">
      <c r="C121" s="68"/>
      <c r="D121" s="68"/>
      <c r="E121" s="68"/>
      <c r="F121" s="68"/>
      <c r="G121" s="68"/>
      <c r="H121" s="68"/>
      <c r="I121" s="68"/>
      <c r="J121" s="68"/>
      <c r="K121" s="68"/>
      <c r="L121" s="68"/>
      <c r="M121" s="68"/>
      <c r="N121" s="68"/>
      <c r="O121" s="68"/>
      <c r="P121" s="68"/>
      <c r="Q121" s="68"/>
      <c r="R121" s="78"/>
      <c r="S121" s="64"/>
    </row>
    <row r="122" spans="3:19" ht="15" customHeight="1">
      <c r="C122" s="68"/>
      <c r="D122" s="68"/>
      <c r="E122" s="68"/>
      <c r="F122" s="68"/>
      <c r="G122" s="68"/>
      <c r="H122" s="68"/>
      <c r="I122" s="68"/>
      <c r="J122" s="68"/>
      <c r="K122" s="68"/>
      <c r="L122" s="68"/>
      <c r="M122" s="68"/>
      <c r="N122" s="68"/>
      <c r="O122" s="68"/>
      <c r="P122" s="68"/>
      <c r="Q122" s="68"/>
      <c r="R122" s="78"/>
      <c r="S122" s="64"/>
    </row>
    <row r="123" spans="3:19" ht="15" customHeight="1">
      <c r="C123" s="68"/>
      <c r="D123" s="68"/>
      <c r="E123" s="68"/>
      <c r="F123" s="68"/>
      <c r="G123" s="68"/>
      <c r="H123" s="68"/>
      <c r="I123" s="68"/>
      <c r="J123" s="68"/>
      <c r="K123" s="68"/>
      <c r="L123" s="68"/>
      <c r="M123" s="68"/>
      <c r="N123" s="68"/>
      <c r="O123" s="68"/>
      <c r="P123" s="68"/>
      <c r="Q123" s="68"/>
      <c r="R123" s="78"/>
      <c r="S123" s="64"/>
    </row>
    <row r="124" spans="3:19" ht="15" customHeight="1">
      <c r="C124" s="68"/>
      <c r="D124" s="68"/>
      <c r="E124" s="68"/>
      <c r="F124" s="68"/>
      <c r="G124" s="68"/>
      <c r="H124" s="68"/>
      <c r="I124" s="68"/>
      <c r="J124" s="68"/>
      <c r="K124" s="68"/>
      <c r="L124" s="68"/>
      <c r="M124" s="68"/>
      <c r="N124" s="68"/>
      <c r="O124" s="68"/>
      <c r="P124" s="68"/>
      <c r="Q124" s="68"/>
      <c r="R124" s="78"/>
      <c r="S124" s="64"/>
    </row>
    <row r="125" spans="3:19" ht="15" customHeight="1">
      <c r="C125" s="68"/>
      <c r="D125" s="68"/>
      <c r="E125" s="68"/>
      <c r="F125" s="68"/>
      <c r="G125" s="68"/>
      <c r="H125" s="68"/>
      <c r="I125" s="68"/>
      <c r="J125" s="68"/>
      <c r="K125" s="68"/>
      <c r="L125" s="68"/>
      <c r="M125" s="68"/>
      <c r="N125" s="68"/>
      <c r="O125" s="68"/>
      <c r="P125" s="68"/>
      <c r="Q125" s="68"/>
      <c r="R125" s="78"/>
      <c r="S125" s="64"/>
    </row>
    <row r="126" spans="3:19" ht="15" customHeight="1">
      <c r="C126" s="68"/>
      <c r="D126" s="68"/>
      <c r="E126" s="68"/>
      <c r="F126" s="68"/>
      <c r="G126" s="68"/>
      <c r="H126" s="68"/>
      <c r="I126" s="68"/>
      <c r="J126" s="68"/>
      <c r="K126" s="68"/>
      <c r="L126" s="68"/>
      <c r="M126" s="68"/>
      <c r="N126" s="68"/>
      <c r="O126" s="68"/>
      <c r="P126" s="68"/>
      <c r="Q126" s="68"/>
      <c r="R126" s="78"/>
      <c r="S126" s="64"/>
    </row>
    <row r="127" spans="3:19" ht="15" customHeight="1">
      <c r="C127" s="68"/>
      <c r="D127" s="68"/>
      <c r="E127" s="68"/>
      <c r="F127" s="68"/>
      <c r="G127" s="68"/>
      <c r="H127" s="68"/>
      <c r="I127" s="68"/>
      <c r="J127" s="68"/>
      <c r="K127" s="68"/>
      <c r="L127" s="68"/>
      <c r="M127" s="68"/>
      <c r="N127" s="68"/>
      <c r="O127" s="68"/>
      <c r="P127" s="68"/>
      <c r="Q127" s="68"/>
      <c r="R127" s="78"/>
      <c r="S127" s="64"/>
    </row>
    <row r="128" spans="3:19" ht="15" customHeight="1">
      <c r="C128" s="68"/>
      <c r="D128" s="68"/>
      <c r="E128" s="68"/>
      <c r="F128" s="68"/>
      <c r="G128" s="68"/>
      <c r="H128" s="68"/>
      <c r="I128" s="68"/>
      <c r="J128" s="68"/>
      <c r="K128" s="68"/>
      <c r="L128" s="68"/>
      <c r="M128" s="68"/>
      <c r="N128" s="68"/>
      <c r="O128" s="68"/>
      <c r="P128" s="68"/>
      <c r="Q128" s="68"/>
      <c r="R128" s="78"/>
      <c r="S128" s="64"/>
    </row>
    <row r="129" spans="3:19" ht="15" customHeight="1">
      <c r="C129" s="68"/>
      <c r="D129" s="68"/>
      <c r="E129" s="68"/>
      <c r="F129" s="68"/>
      <c r="G129" s="68"/>
      <c r="H129" s="68"/>
      <c r="I129" s="68"/>
      <c r="J129" s="68"/>
      <c r="K129" s="68"/>
      <c r="L129" s="68"/>
      <c r="M129" s="68"/>
      <c r="N129" s="68"/>
      <c r="O129" s="68"/>
      <c r="P129" s="68"/>
      <c r="Q129" s="68"/>
      <c r="R129" s="78"/>
      <c r="S129" s="64"/>
    </row>
    <row r="130" spans="3:19" ht="15" customHeight="1">
      <c r="C130" s="68"/>
      <c r="D130" s="68"/>
      <c r="E130" s="68"/>
      <c r="F130" s="68"/>
      <c r="G130" s="68"/>
      <c r="H130" s="68"/>
      <c r="I130" s="68"/>
      <c r="J130" s="68"/>
      <c r="K130" s="68"/>
      <c r="L130" s="68"/>
      <c r="M130" s="68"/>
      <c r="N130" s="68"/>
      <c r="O130" s="68"/>
      <c r="P130" s="68"/>
      <c r="Q130" s="68"/>
      <c r="R130" s="78"/>
      <c r="S130" s="64"/>
    </row>
    <row r="131" spans="3:19" ht="15" customHeight="1">
      <c r="C131" s="68"/>
      <c r="D131" s="68"/>
      <c r="E131" s="68"/>
      <c r="F131" s="68"/>
      <c r="G131" s="68"/>
      <c r="H131" s="68"/>
      <c r="I131" s="68"/>
      <c r="J131" s="68"/>
      <c r="K131" s="68"/>
      <c r="L131" s="68"/>
      <c r="M131" s="68"/>
      <c r="N131" s="68"/>
      <c r="O131" s="68"/>
      <c r="P131" s="68"/>
      <c r="Q131" s="68"/>
      <c r="R131" s="78"/>
      <c r="S131" s="64"/>
    </row>
    <row r="132" spans="3:19" ht="15" customHeight="1">
      <c r="C132" s="68"/>
      <c r="D132" s="68"/>
      <c r="E132" s="68"/>
      <c r="F132" s="68"/>
      <c r="G132" s="68"/>
      <c r="H132" s="68"/>
      <c r="I132" s="68"/>
      <c r="J132" s="68"/>
      <c r="K132" s="68"/>
      <c r="L132" s="68"/>
      <c r="M132" s="68"/>
      <c r="N132" s="68"/>
      <c r="O132" s="68"/>
      <c r="P132" s="68"/>
      <c r="Q132" s="68"/>
      <c r="R132" s="78"/>
      <c r="S132" s="64"/>
    </row>
    <row r="133" spans="3:19" ht="15" customHeight="1">
      <c r="C133" s="68"/>
      <c r="D133" s="68"/>
      <c r="E133" s="68"/>
      <c r="F133" s="68"/>
      <c r="G133" s="68"/>
      <c r="H133" s="68"/>
      <c r="I133" s="68"/>
      <c r="J133" s="68"/>
      <c r="K133" s="68"/>
      <c r="L133" s="68"/>
      <c r="M133" s="68"/>
      <c r="N133" s="68"/>
      <c r="O133" s="68"/>
      <c r="P133" s="68"/>
      <c r="Q133" s="68"/>
      <c r="R133" s="78"/>
      <c r="S133" s="64"/>
    </row>
    <row r="134" spans="3:19" ht="15" customHeight="1">
      <c r="C134" s="68"/>
      <c r="D134" s="68"/>
      <c r="E134" s="68"/>
      <c r="F134" s="68"/>
      <c r="G134" s="68"/>
      <c r="H134" s="68"/>
      <c r="I134" s="68"/>
      <c r="J134" s="68"/>
      <c r="K134" s="68"/>
      <c r="L134" s="68"/>
      <c r="M134" s="68"/>
      <c r="N134" s="68"/>
      <c r="O134" s="68"/>
      <c r="P134" s="68"/>
      <c r="Q134" s="68"/>
      <c r="R134" s="78"/>
      <c r="S134" s="64"/>
    </row>
    <row r="135" spans="3:19" ht="15" customHeight="1">
      <c r="C135" s="68"/>
      <c r="D135" s="68"/>
      <c r="E135" s="68"/>
      <c r="F135" s="68"/>
      <c r="G135" s="68"/>
      <c r="H135" s="68"/>
      <c r="I135" s="68"/>
      <c r="J135" s="68"/>
      <c r="K135" s="68"/>
      <c r="L135" s="68"/>
      <c r="M135" s="68"/>
      <c r="N135" s="68"/>
      <c r="O135" s="68"/>
      <c r="P135" s="68"/>
      <c r="Q135" s="68"/>
      <c r="R135" s="78"/>
      <c r="S135" s="64"/>
    </row>
    <row r="136" spans="3:19" ht="15" customHeight="1">
      <c r="C136" s="68"/>
      <c r="D136" s="68"/>
      <c r="E136" s="68"/>
      <c r="F136" s="68"/>
      <c r="G136" s="68"/>
      <c r="H136" s="68"/>
      <c r="I136" s="68"/>
      <c r="J136" s="68"/>
      <c r="K136" s="68"/>
      <c r="L136" s="68"/>
      <c r="M136" s="68"/>
      <c r="N136" s="68"/>
      <c r="O136" s="68"/>
      <c r="P136" s="68"/>
      <c r="Q136" s="68"/>
      <c r="R136" s="78"/>
      <c r="S136" s="64"/>
    </row>
    <row r="137" spans="3:19" ht="15" customHeight="1">
      <c r="R137" s="43"/>
    </row>
    <row r="138" spans="3:19" ht="15" customHeight="1">
      <c r="R138" s="43"/>
    </row>
    <row r="139" spans="3:19" ht="15" customHeight="1">
      <c r="R139" s="43"/>
    </row>
    <row r="140" spans="3:19" ht="15" customHeight="1">
      <c r="R140" s="43"/>
    </row>
    <row r="141" spans="3:19" ht="15" customHeight="1">
      <c r="R141" s="43"/>
    </row>
    <row r="142" spans="3:19" ht="15" customHeight="1">
      <c r="R142" s="43"/>
    </row>
    <row r="143" spans="3:19" ht="15" customHeight="1">
      <c r="R143" s="43"/>
    </row>
    <row r="144" spans="3:19" ht="15" customHeight="1">
      <c r="R144" s="43"/>
    </row>
    <row r="145" spans="18:18" ht="15" customHeight="1">
      <c r="R145" s="43"/>
    </row>
    <row r="146" spans="18:18" ht="15" customHeight="1">
      <c r="R146" s="43"/>
    </row>
    <row r="147" spans="18:18" ht="15" customHeight="1">
      <c r="R147" s="43"/>
    </row>
    <row r="148" spans="18:18" ht="15" customHeight="1">
      <c r="R148" s="43"/>
    </row>
    <row r="149" spans="18:18" ht="15" customHeight="1">
      <c r="R149" s="43"/>
    </row>
    <row r="150" spans="18:18" ht="15" customHeight="1">
      <c r="R150" s="43"/>
    </row>
    <row r="151" spans="18:18" ht="15" customHeight="1">
      <c r="R151" s="43"/>
    </row>
    <row r="152" spans="18:18" ht="15" customHeight="1">
      <c r="R152" s="43"/>
    </row>
    <row r="153" spans="18:18" ht="15" customHeight="1">
      <c r="R153" s="43"/>
    </row>
    <row r="154" spans="18:18" ht="15" customHeight="1">
      <c r="R154" s="43"/>
    </row>
    <row r="155" spans="18:18" ht="15" customHeight="1">
      <c r="R155" s="43"/>
    </row>
    <row r="156" spans="18:18" ht="15" customHeight="1">
      <c r="R156" s="43"/>
    </row>
    <row r="157" spans="18:18" ht="15" customHeight="1">
      <c r="R157" s="43"/>
    </row>
    <row r="158" spans="18:18" ht="15" customHeight="1">
      <c r="R158" s="43"/>
    </row>
    <row r="159" spans="18:18" ht="15" customHeight="1">
      <c r="R159" s="43"/>
    </row>
    <row r="160" spans="18:18" ht="15" customHeight="1">
      <c r="R160" s="43"/>
    </row>
    <row r="161" spans="18:18" ht="15" customHeight="1">
      <c r="R161" s="43"/>
    </row>
    <row r="162" spans="18:18" ht="15" customHeight="1">
      <c r="R162" s="43"/>
    </row>
    <row r="163" spans="18:18" ht="15" customHeight="1">
      <c r="R163" s="43"/>
    </row>
    <row r="164" spans="18:18" ht="15" customHeight="1">
      <c r="R164" s="43"/>
    </row>
    <row r="165" spans="18:18" ht="15" customHeight="1">
      <c r="R165" s="43"/>
    </row>
    <row r="166" spans="18:18" ht="15" customHeight="1">
      <c r="R166" s="43"/>
    </row>
    <row r="167" spans="18:18" ht="15" customHeight="1">
      <c r="R167" s="43"/>
    </row>
    <row r="168" spans="18:18" ht="15" customHeight="1">
      <c r="R168" s="43"/>
    </row>
    <row r="169" spans="18:18" ht="15" customHeight="1">
      <c r="R169" s="43"/>
    </row>
    <row r="170" spans="18:18" ht="15" customHeight="1">
      <c r="R170" s="43"/>
    </row>
    <row r="171" spans="18:18" ht="15" customHeight="1">
      <c r="R171" s="43"/>
    </row>
    <row r="172" spans="18:18" ht="15" customHeight="1">
      <c r="R172" s="43"/>
    </row>
    <row r="173" spans="18:18" ht="15" customHeight="1">
      <c r="R173" s="43"/>
    </row>
    <row r="174" spans="18:18" ht="15" customHeight="1">
      <c r="R174" s="43"/>
    </row>
    <row r="175" spans="18:18" ht="15" customHeight="1">
      <c r="R175" s="43"/>
    </row>
    <row r="176" spans="18:18" ht="15" customHeight="1">
      <c r="R176" s="43"/>
    </row>
    <row r="177" spans="18:18" ht="15" customHeight="1">
      <c r="R177" s="43"/>
    </row>
    <row r="178" spans="18:18" ht="15" customHeight="1">
      <c r="R178" s="43"/>
    </row>
    <row r="179" spans="18:18" ht="15" customHeight="1">
      <c r="R179" s="43"/>
    </row>
    <row r="180" spans="18:18" ht="15" customHeight="1">
      <c r="R180" s="43"/>
    </row>
    <row r="181" spans="18:18" ht="15" customHeight="1">
      <c r="R181" s="43"/>
    </row>
    <row r="182" spans="18:18" ht="15" customHeight="1">
      <c r="R182" s="43"/>
    </row>
    <row r="183" spans="18:18" ht="15" customHeight="1">
      <c r="R183" s="43"/>
    </row>
    <row r="184" spans="18:18" ht="15" customHeight="1">
      <c r="R184" s="43"/>
    </row>
    <row r="185" spans="18:18" ht="15" customHeight="1">
      <c r="R185" s="43"/>
    </row>
    <row r="186" spans="18:18" ht="15" customHeight="1">
      <c r="R186" s="43"/>
    </row>
    <row r="187" spans="18:18" ht="15" customHeight="1">
      <c r="R187" s="43"/>
    </row>
    <row r="188" spans="18:18" ht="15" customHeight="1">
      <c r="R188" s="43"/>
    </row>
    <row r="189" spans="18:18" ht="15" customHeight="1">
      <c r="R189" s="43"/>
    </row>
    <row r="190" spans="18:18" ht="15" customHeight="1">
      <c r="R190" s="43"/>
    </row>
    <row r="191" spans="18:18" ht="15" customHeight="1">
      <c r="R191" s="43"/>
    </row>
    <row r="192" spans="18:18" ht="15" customHeight="1">
      <c r="R192" s="43"/>
    </row>
    <row r="193" spans="18:18" ht="15" customHeight="1">
      <c r="R193" s="43"/>
    </row>
    <row r="194" spans="18:18" ht="15" customHeight="1">
      <c r="R194" s="43"/>
    </row>
    <row r="195" spans="18:18" ht="15" customHeight="1">
      <c r="R195" s="43"/>
    </row>
    <row r="196" spans="18:18" ht="15" customHeight="1">
      <c r="R196" s="43"/>
    </row>
    <row r="197" spans="18:18" ht="15" customHeight="1">
      <c r="R197" s="43"/>
    </row>
    <row r="198" spans="18:18" ht="15" customHeight="1">
      <c r="R198" s="43"/>
    </row>
    <row r="199" spans="18:18" ht="15" customHeight="1">
      <c r="R199" s="43"/>
    </row>
    <row r="200" spans="18:18" ht="15" customHeight="1">
      <c r="R200" s="43"/>
    </row>
    <row r="201" spans="18:18" ht="15" customHeight="1">
      <c r="R201" s="43"/>
    </row>
    <row r="202" spans="18:18" ht="15" customHeight="1">
      <c r="R202" s="43"/>
    </row>
    <row r="203" spans="18:18" ht="15" customHeight="1">
      <c r="R203" s="43"/>
    </row>
    <row r="204" spans="18:18" ht="15" customHeight="1">
      <c r="R204" s="43"/>
    </row>
    <row r="205" spans="18:18" ht="15" customHeight="1">
      <c r="R205" s="43"/>
    </row>
    <row r="206" spans="18:18" ht="15" customHeight="1">
      <c r="R206" s="43"/>
    </row>
    <row r="207" spans="18:18" ht="15" customHeight="1">
      <c r="R207" s="43"/>
    </row>
    <row r="208" spans="18:18" ht="15" customHeight="1">
      <c r="R208" s="43"/>
    </row>
    <row r="209" spans="18:18" ht="15" customHeight="1">
      <c r="R209" s="43"/>
    </row>
    <row r="210" spans="18:18" ht="15" customHeight="1">
      <c r="R210" s="43"/>
    </row>
    <row r="211" spans="18:18" ht="15" customHeight="1">
      <c r="R211" s="43"/>
    </row>
    <row r="212" spans="18:18" ht="15" customHeight="1">
      <c r="R212" s="43"/>
    </row>
    <row r="213" spans="18:18" ht="15" customHeight="1">
      <c r="R213" s="43"/>
    </row>
    <row r="214" spans="18:18" ht="15" customHeight="1">
      <c r="R214" s="43"/>
    </row>
    <row r="215" spans="18:18" ht="15" customHeight="1">
      <c r="R215" s="43"/>
    </row>
    <row r="216" spans="18:18" ht="15" customHeight="1">
      <c r="R216" s="43"/>
    </row>
    <row r="217" spans="18:18" ht="15" customHeight="1">
      <c r="R217" s="43"/>
    </row>
    <row r="218" spans="18:18" ht="15" customHeight="1">
      <c r="R218" s="43"/>
    </row>
    <row r="219" spans="18:18" ht="15" customHeight="1">
      <c r="R219" s="43"/>
    </row>
    <row r="220" spans="18:18" ht="15" customHeight="1">
      <c r="R220" s="43"/>
    </row>
    <row r="221" spans="18:18" ht="15" customHeight="1">
      <c r="R221" s="43"/>
    </row>
    <row r="222" spans="18:18" ht="15" customHeight="1">
      <c r="R222" s="43"/>
    </row>
    <row r="223" spans="18:18" ht="15" customHeight="1">
      <c r="R223" s="43"/>
    </row>
    <row r="224" spans="18:18" ht="15" customHeight="1">
      <c r="R224" s="43"/>
    </row>
    <row r="225" spans="18:18" ht="15" customHeight="1">
      <c r="R225" s="43"/>
    </row>
    <row r="226" spans="18:18" ht="15" customHeight="1">
      <c r="R226" s="43"/>
    </row>
    <row r="227" spans="18:18" ht="15" customHeight="1">
      <c r="R227" s="43"/>
    </row>
    <row r="228" spans="18:18" ht="15" customHeight="1">
      <c r="R228" s="43"/>
    </row>
    <row r="229" spans="18:18" ht="15" customHeight="1">
      <c r="R229" s="43"/>
    </row>
    <row r="230" spans="18:18" ht="15" customHeight="1">
      <c r="R230" s="43"/>
    </row>
    <row r="231" spans="18:18" ht="15" customHeight="1">
      <c r="R231" s="43"/>
    </row>
    <row r="232" spans="18:18" ht="15" customHeight="1">
      <c r="R232" s="43"/>
    </row>
    <row r="233" spans="18:18" ht="15" customHeight="1">
      <c r="R233" s="43"/>
    </row>
    <row r="234" spans="18:18" ht="15" customHeight="1">
      <c r="R234" s="43"/>
    </row>
    <row r="235" spans="18:18" ht="15" customHeight="1">
      <c r="R235" s="43"/>
    </row>
    <row r="236" spans="18:18">
      <c r="R236" s="43"/>
    </row>
    <row r="237" spans="18:18">
      <c r="R237" s="43"/>
    </row>
    <row r="238" spans="18:18">
      <c r="R238" s="43"/>
    </row>
    <row r="239" spans="18:18">
      <c r="R239" s="43"/>
    </row>
    <row r="240" spans="18:18">
      <c r="R240" s="43"/>
    </row>
    <row r="241" spans="18:18">
      <c r="R241" s="43"/>
    </row>
    <row r="242" spans="18:18">
      <c r="R242" s="43"/>
    </row>
    <row r="243" spans="18:18">
      <c r="R243" s="43"/>
    </row>
    <row r="244" spans="18:18">
      <c r="R244" s="43"/>
    </row>
    <row r="245" spans="18:18">
      <c r="R245" s="43"/>
    </row>
    <row r="246" spans="18:18">
      <c r="R246" s="43"/>
    </row>
    <row r="247" spans="18:18">
      <c r="R247" s="43"/>
    </row>
    <row r="248" spans="18:18">
      <c r="R248" s="43"/>
    </row>
    <row r="249" spans="18:18">
      <c r="R249" s="43"/>
    </row>
    <row r="250" spans="18:18">
      <c r="R250" s="43"/>
    </row>
    <row r="251" spans="18:18">
      <c r="R251" s="43"/>
    </row>
    <row r="252" spans="18:18">
      <c r="R252" s="43"/>
    </row>
    <row r="253" spans="18:18">
      <c r="R253" s="43"/>
    </row>
    <row r="254" spans="18:18">
      <c r="R254" s="43"/>
    </row>
    <row r="255" spans="18:18">
      <c r="R255" s="43"/>
    </row>
    <row r="256" spans="18:18">
      <c r="R256" s="43"/>
    </row>
    <row r="257" spans="18:18">
      <c r="R257" s="43"/>
    </row>
    <row r="258" spans="18:18">
      <c r="R258" s="43"/>
    </row>
    <row r="259" spans="18:18">
      <c r="R259" s="43"/>
    </row>
    <row r="260" spans="18:18">
      <c r="R260" s="43"/>
    </row>
    <row r="261" spans="18:18">
      <c r="R261" s="43"/>
    </row>
    <row r="262" spans="18:18">
      <c r="R262" s="43"/>
    </row>
    <row r="263" spans="18:18">
      <c r="R263" s="43"/>
    </row>
    <row r="264" spans="18:18">
      <c r="R264" s="43"/>
    </row>
    <row r="265" spans="18:18">
      <c r="R265" s="43"/>
    </row>
    <row r="266" spans="18:18">
      <c r="R266" s="43"/>
    </row>
    <row r="267" spans="18:18">
      <c r="R267" s="43"/>
    </row>
    <row r="268" spans="18:18">
      <c r="R268" s="43"/>
    </row>
    <row r="269" spans="18:18">
      <c r="R269" s="43"/>
    </row>
    <row r="270" spans="18:18">
      <c r="R270" s="43"/>
    </row>
    <row r="271" spans="18:18">
      <c r="R271" s="43"/>
    </row>
    <row r="272" spans="18:18">
      <c r="R272" s="43"/>
    </row>
    <row r="273" spans="18:18">
      <c r="R273" s="43"/>
    </row>
    <row r="274" spans="18:18">
      <c r="R274" s="43"/>
    </row>
    <row r="275" spans="18:18">
      <c r="R275" s="43"/>
    </row>
    <row r="276" spans="18:18">
      <c r="R276" s="43"/>
    </row>
    <row r="277" spans="18:18">
      <c r="R277" s="43"/>
    </row>
    <row r="278" spans="18:18">
      <c r="R278" s="43"/>
    </row>
    <row r="279" spans="18:18">
      <c r="R279" s="43"/>
    </row>
    <row r="280" spans="18:18">
      <c r="R280" s="43"/>
    </row>
    <row r="281" spans="18:18">
      <c r="R281" s="43"/>
    </row>
    <row r="282" spans="18:18">
      <c r="R282" s="43"/>
    </row>
    <row r="283" spans="18:18">
      <c r="R283" s="43"/>
    </row>
    <row r="284" spans="18:18">
      <c r="R284" s="43"/>
    </row>
    <row r="285" spans="18:18">
      <c r="R285" s="43"/>
    </row>
    <row r="286" spans="18:18">
      <c r="R286" s="43"/>
    </row>
    <row r="287" spans="18:18">
      <c r="R287" s="43"/>
    </row>
    <row r="288" spans="18:18">
      <c r="R288" s="43"/>
    </row>
    <row r="289" spans="18:18">
      <c r="R289" s="43"/>
    </row>
    <row r="290" spans="18:18">
      <c r="R290" s="43"/>
    </row>
    <row r="291" spans="18:18">
      <c r="R291" s="43"/>
    </row>
    <row r="292" spans="18:18">
      <c r="R292" s="43"/>
    </row>
    <row r="293" spans="18:18">
      <c r="R293" s="43"/>
    </row>
    <row r="294" spans="18:18">
      <c r="R294" s="43"/>
    </row>
    <row r="295" spans="18:18">
      <c r="R295" s="43"/>
    </row>
    <row r="296" spans="18:18">
      <c r="R296" s="43"/>
    </row>
    <row r="297" spans="18:18">
      <c r="R297" s="43"/>
    </row>
    <row r="298" spans="18:18">
      <c r="R298" s="43"/>
    </row>
    <row r="299" spans="18:18">
      <c r="R299" s="43"/>
    </row>
    <row r="300" spans="18:18">
      <c r="R300" s="43"/>
    </row>
    <row r="301" spans="18:18">
      <c r="R301" s="43"/>
    </row>
    <row r="302" spans="18:18">
      <c r="R302" s="43"/>
    </row>
    <row r="303" spans="18:18">
      <c r="R303" s="43"/>
    </row>
    <row r="304" spans="18:18">
      <c r="R304" s="43"/>
    </row>
    <row r="305" spans="18:18">
      <c r="R305" s="43"/>
    </row>
    <row r="306" spans="18:18">
      <c r="R306" s="43"/>
    </row>
    <row r="307" spans="18:18">
      <c r="R307" s="43"/>
    </row>
    <row r="308" spans="18:18">
      <c r="R308" s="43"/>
    </row>
    <row r="309" spans="18:18">
      <c r="R309" s="43"/>
    </row>
    <row r="310" spans="18:18">
      <c r="R310" s="43"/>
    </row>
    <row r="311" spans="18:18">
      <c r="R311" s="43"/>
    </row>
    <row r="312" spans="18:18">
      <c r="R312" s="43"/>
    </row>
    <row r="313" spans="18:18">
      <c r="R313" s="43"/>
    </row>
    <row r="314" spans="18:18">
      <c r="R314" s="43"/>
    </row>
  </sheetData>
  <mergeCells count="4">
    <mergeCell ref="B1:S1"/>
    <mergeCell ref="B3:S3"/>
    <mergeCell ref="B6:S6"/>
    <mergeCell ref="B5:S5"/>
  </mergeCells>
  <phoneticPr fontId="0" type="noConversion"/>
  <printOptions horizontalCentered="1"/>
  <pageMargins left="0.25" right="0.25" top="0.75" bottom="0.5" header="0" footer="0.25"/>
  <pageSetup scale="48" fitToHeight="3" orientation="landscape" horizontalDpi="300" verticalDpi="300" r:id="rId1"/>
  <headerFooter alignWithMargins="0">
    <oddFooter xml:space="preserve">&amp;C&amp;9
&amp;"Times New Roman,Regular"&amp;10See accompanying summary of significant forecast  assumptions. </oddFooter>
  </headerFooter>
  <rowBreaks count="1" manualBreakCount="1">
    <brk id="52" min="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7"/>
  <sheetViews>
    <sheetView zoomScaleNormal="100" workbookViewId="0"/>
  </sheetViews>
  <sheetFormatPr defaultRowHeight="15"/>
  <sheetData>
    <row r="1" spans="1:8" ht="15.75">
      <c r="D1" s="2"/>
    </row>
    <row r="2" spans="1:8" ht="15.75">
      <c r="C2" s="2"/>
    </row>
    <row r="3" spans="1:8" ht="15.75">
      <c r="C3" s="2"/>
    </row>
    <row r="4" spans="1:8" ht="15.75">
      <c r="C4" s="2"/>
    </row>
    <row r="5" spans="1:8" ht="15.75">
      <c r="C5" s="2"/>
    </row>
    <row r="6" spans="1:8" ht="15.75">
      <c r="C6" s="2"/>
    </row>
    <row r="7" spans="1:8" ht="15.75">
      <c r="C7" s="2"/>
    </row>
    <row r="8" spans="1:8" ht="15.75">
      <c r="C8" s="2"/>
    </row>
    <row r="9" spans="1:8" ht="15.75">
      <c r="C9" s="2"/>
    </row>
    <row r="10" spans="1:8" ht="15.75">
      <c r="C10" s="2"/>
    </row>
    <row r="11" spans="1:8" ht="15.75">
      <c r="C11" s="2"/>
    </row>
    <row r="12" spans="1:8" ht="15.75">
      <c r="C12" s="2"/>
    </row>
    <row r="13" spans="1:8" ht="15.75">
      <c r="C13" s="2"/>
    </row>
    <row r="14" spans="1:8" ht="15.75">
      <c r="C14" s="2"/>
    </row>
    <row r="15" spans="1:8" ht="29.25" customHeight="1">
      <c r="A15" s="1312" t="s">
        <v>387</v>
      </c>
      <c r="B15" s="1312"/>
      <c r="C15" s="1312"/>
      <c r="D15" s="1312"/>
      <c r="E15" s="1312"/>
      <c r="F15" s="1312"/>
      <c r="G15" s="1312"/>
      <c r="H15" s="1312"/>
    </row>
    <row r="16" spans="1:8" ht="16.5">
      <c r="C16" s="106"/>
    </row>
    <row r="17" spans="3:3" ht="16.5">
      <c r="C17" s="106"/>
    </row>
  </sheetData>
  <mergeCells count="1">
    <mergeCell ref="A15:H15"/>
  </mergeCells>
  <printOptions horizontalCentered="1"/>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dimension ref="A1:R59"/>
  <sheetViews>
    <sheetView zoomScaleNormal="100" workbookViewId="0">
      <selection sqref="A1:R1"/>
    </sheetView>
  </sheetViews>
  <sheetFormatPr defaultColWidth="9.6640625" defaultRowHeight="15.75"/>
  <cols>
    <col min="1" max="1" width="15.77734375" style="136" customWidth="1"/>
    <col min="2" max="2" width="10.77734375" style="136" customWidth="1"/>
    <col min="3" max="3" width="0.88671875" style="137" customWidth="1"/>
    <col min="4" max="4" width="10.77734375" style="136" customWidth="1"/>
    <col min="5" max="5" width="0.88671875" style="137" customWidth="1"/>
    <col min="6" max="6" width="8.33203125" style="136" customWidth="1"/>
    <col min="7" max="7" width="0.88671875" style="137" customWidth="1"/>
    <col min="8" max="8" width="9.77734375" style="136" customWidth="1"/>
    <col min="9" max="9" width="0.88671875" style="137" customWidth="1"/>
    <col min="10" max="10" width="7.33203125" style="136" customWidth="1"/>
    <col min="11" max="11" width="0.88671875" style="137" customWidth="1"/>
    <col min="12" max="12" width="9.77734375" style="136" customWidth="1"/>
    <col min="13" max="13" width="0.88671875" style="137" customWidth="1"/>
    <col min="14" max="14" width="10.77734375" style="136" customWidth="1"/>
    <col min="15" max="15" width="0.88671875" style="137" customWidth="1"/>
    <col min="16" max="16" width="10.77734375" style="136" customWidth="1"/>
    <col min="17" max="17" width="0.88671875" style="137" customWidth="1"/>
    <col min="18" max="18" width="10.77734375" style="136" customWidth="1"/>
    <col min="19" max="19" width="9.6640625" style="136" customWidth="1"/>
    <col min="20" max="16384" width="9.6640625" style="136"/>
  </cols>
  <sheetData>
    <row r="1" spans="1:18" ht="16.5" customHeight="1">
      <c r="A1" s="1313" t="str">
        <f>+Assumptions!A1</f>
        <v>Waste Control, Inc.</v>
      </c>
      <c r="B1" s="1313"/>
      <c r="C1" s="1313"/>
      <c r="D1" s="1313"/>
      <c r="E1" s="1313"/>
      <c r="F1" s="1313"/>
      <c r="G1" s="1313"/>
      <c r="H1" s="1313"/>
      <c r="I1" s="1313"/>
      <c r="J1" s="1313"/>
      <c r="K1" s="1313"/>
      <c r="L1" s="1313"/>
      <c r="M1" s="1313"/>
      <c r="N1" s="1313"/>
      <c r="O1" s="1313"/>
      <c r="P1" s="1313"/>
      <c r="Q1" s="1313"/>
      <c r="R1" s="1313"/>
    </row>
    <row r="2" spans="1:18" ht="13.5" customHeight="1">
      <c r="A2" s="162"/>
      <c r="B2" s="160"/>
      <c r="C2" s="161"/>
      <c r="D2" s="160"/>
      <c r="E2" s="161"/>
      <c r="F2" s="160"/>
      <c r="G2" s="161"/>
      <c r="H2" s="160"/>
      <c r="I2" s="161"/>
      <c r="J2" s="160"/>
      <c r="K2" s="161"/>
      <c r="L2" s="160"/>
      <c r="M2" s="161"/>
      <c r="N2" s="160"/>
      <c r="O2" s="161"/>
      <c r="P2" s="160"/>
      <c r="Q2" s="161"/>
      <c r="R2" s="160"/>
    </row>
    <row r="3" spans="1:18" ht="16.5" customHeight="1">
      <c r="A3" s="1313" t="s">
        <v>998</v>
      </c>
      <c r="B3" s="1313"/>
      <c r="C3" s="1313"/>
      <c r="D3" s="1313"/>
      <c r="E3" s="1313"/>
      <c r="F3" s="1313"/>
      <c r="G3" s="1313"/>
      <c r="H3" s="1313"/>
      <c r="I3" s="1313"/>
      <c r="J3" s="1313"/>
      <c r="K3" s="1313"/>
      <c r="L3" s="1313"/>
      <c r="M3" s="1313"/>
      <c r="N3" s="1313"/>
      <c r="O3" s="1313"/>
      <c r="P3" s="1313"/>
      <c r="Q3" s="1313"/>
      <c r="R3" s="1313"/>
    </row>
    <row r="4" spans="1:18">
      <c r="A4" s="158"/>
      <c r="B4" s="158"/>
      <c r="C4" s="159"/>
      <c r="D4" s="158"/>
      <c r="E4" s="159"/>
      <c r="F4" t="s">
        <v>1379</v>
      </c>
      <c r="G4" s="159"/>
      <c r="H4" s="158"/>
      <c r="I4" s="159"/>
      <c r="J4" s="158"/>
      <c r="K4" s="159"/>
      <c r="L4" s="158"/>
      <c r="M4" s="159"/>
      <c r="N4" s="158"/>
      <c r="O4" s="159"/>
      <c r="P4" s="158"/>
      <c r="Q4" s="159"/>
      <c r="R4" s="158"/>
    </row>
    <row r="5" spans="1:18">
      <c r="A5" s="1314"/>
      <c r="B5" s="1314"/>
      <c r="C5" s="1314"/>
      <c r="D5" s="1314"/>
      <c r="E5" s="1314"/>
      <c r="F5" s="1314"/>
      <c r="G5" s="1314"/>
      <c r="H5" s="1314"/>
      <c r="I5" s="1314"/>
      <c r="J5" s="1314"/>
      <c r="K5" s="1314"/>
      <c r="L5" s="1314"/>
      <c r="M5" s="1314"/>
      <c r="N5" s="1314"/>
      <c r="O5" s="1314"/>
      <c r="P5" s="1314"/>
      <c r="Q5" s="1314"/>
      <c r="R5" s="1314"/>
    </row>
    <row r="6" spans="1:18">
      <c r="A6" s="163"/>
    </row>
    <row r="7" spans="1:18" s="138" customFormat="1" ht="15" customHeight="1">
      <c r="A7" s="144"/>
      <c r="B7" s="156">
        <v>9</v>
      </c>
      <c r="C7" s="152"/>
      <c r="D7" s="144" t="s">
        <v>485</v>
      </c>
      <c r="E7" s="152"/>
      <c r="F7" s="144"/>
      <c r="G7" s="152"/>
      <c r="H7" s="144"/>
      <c r="I7" s="152"/>
      <c r="J7" s="144"/>
      <c r="K7" s="152"/>
      <c r="L7" s="144"/>
      <c r="M7" s="152"/>
      <c r="N7" s="144"/>
      <c r="O7" s="152"/>
      <c r="P7" s="144"/>
      <c r="Q7" s="152"/>
      <c r="R7" s="144"/>
    </row>
    <row r="8" spans="1:18" s="138" customFormat="1" ht="15" customHeight="1">
      <c r="A8" s="144"/>
      <c r="B8" s="156">
        <v>3</v>
      </c>
      <c r="C8" s="152"/>
      <c r="D8" s="144" t="s">
        <v>484</v>
      </c>
      <c r="E8" s="152"/>
      <c r="F8" s="144"/>
      <c r="G8" s="152"/>
      <c r="H8" s="144"/>
      <c r="I8" s="152"/>
      <c r="J8" s="144"/>
      <c r="K8" s="152"/>
      <c r="L8" s="144"/>
      <c r="M8" s="152"/>
      <c r="N8" s="144"/>
      <c r="O8" s="152"/>
      <c r="P8" s="144"/>
      <c r="Q8" s="152"/>
      <c r="R8" s="144"/>
    </row>
    <row r="9" spans="1:18" s="138" customFormat="1" ht="15" customHeight="1">
      <c r="A9" s="144"/>
      <c r="B9" s="157">
        <v>117</v>
      </c>
      <c r="C9" s="152"/>
      <c r="D9" s="144" t="s">
        <v>483</v>
      </c>
      <c r="E9" s="152"/>
      <c r="F9" s="144"/>
      <c r="G9" s="152"/>
      <c r="H9" s="144"/>
      <c r="I9" s="152"/>
      <c r="J9" s="144"/>
      <c r="K9" s="152"/>
      <c r="L9" s="144"/>
      <c r="M9" s="152"/>
      <c r="N9" s="144"/>
      <c r="O9" s="152"/>
      <c r="P9" s="144"/>
      <c r="Q9" s="152"/>
      <c r="R9" s="144"/>
    </row>
    <row r="10" spans="1:18" s="138" customFormat="1" ht="15" customHeight="1">
      <c r="A10" s="144"/>
      <c r="B10" s="157">
        <v>118</v>
      </c>
      <c r="C10" s="152"/>
      <c r="D10" s="144" t="s">
        <v>480</v>
      </c>
      <c r="E10" s="152"/>
      <c r="F10" s="144"/>
      <c r="G10" s="152"/>
      <c r="H10" s="144"/>
      <c r="I10" s="152"/>
      <c r="J10" s="144"/>
      <c r="K10" s="152"/>
      <c r="L10" s="144"/>
      <c r="M10" s="151"/>
      <c r="N10" s="154" t="s">
        <v>479</v>
      </c>
      <c r="O10" s="151"/>
      <c r="P10" s="154" t="s">
        <v>478</v>
      </c>
      <c r="Q10" s="151"/>
      <c r="R10" s="144"/>
    </row>
    <row r="11" spans="1:18" s="138" customFormat="1" ht="15" customHeight="1">
      <c r="A11" s="155"/>
      <c r="B11" s="156"/>
      <c r="C11" s="152"/>
      <c r="D11" s="144"/>
      <c r="E11" s="152"/>
      <c r="F11" s="144"/>
      <c r="G11" s="152"/>
      <c r="H11" s="144"/>
      <c r="I11" s="152"/>
      <c r="J11" s="154" t="s">
        <v>132</v>
      </c>
      <c r="K11" s="151"/>
      <c r="L11" s="154" t="s">
        <v>0</v>
      </c>
      <c r="M11" s="151"/>
      <c r="N11" s="154" t="s">
        <v>471</v>
      </c>
      <c r="O11" s="151"/>
      <c r="P11" s="154" t="s">
        <v>471</v>
      </c>
      <c r="Q11" s="151"/>
      <c r="R11" s="144"/>
    </row>
    <row r="12" spans="1:18" s="138" customFormat="1" ht="15" customHeight="1">
      <c r="A12" s="155"/>
      <c r="B12" s="155"/>
      <c r="C12" s="151"/>
      <c r="D12" s="155"/>
      <c r="E12" s="151"/>
      <c r="F12" s="154" t="s">
        <v>466</v>
      </c>
      <c r="G12" s="151"/>
      <c r="H12" s="154" t="s">
        <v>464</v>
      </c>
      <c r="I12" s="151"/>
      <c r="J12" s="154" t="s">
        <v>465</v>
      </c>
      <c r="K12" s="151"/>
      <c r="L12" s="154" t="s">
        <v>464</v>
      </c>
      <c r="M12" s="151"/>
      <c r="N12" s="154" t="s">
        <v>103</v>
      </c>
      <c r="O12" s="151"/>
      <c r="P12" s="154" t="s">
        <v>103</v>
      </c>
      <c r="Q12" s="151"/>
      <c r="R12" s="154" t="s">
        <v>394</v>
      </c>
    </row>
    <row r="13" spans="1:18" s="138" customFormat="1" ht="15" customHeight="1">
      <c r="A13" s="153" t="s">
        <v>462</v>
      </c>
      <c r="B13" s="146" t="s">
        <v>459</v>
      </c>
      <c r="C13" s="151"/>
      <c r="D13" s="146" t="s">
        <v>457</v>
      </c>
      <c r="E13" s="151"/>
      <c r="F13" s="146" t="s">
        <v>103</v>
      </c>
      <c r="G13" s="151"/>
      <c r="H13" s="146" t="s">
        <v>103</v>
      </c>
      <c r="I13" s="151"/>
      <c r="J13" s="146" t="s">
        <v>103</v>
      </c>
      <c r="K13" s="151"/>
      <c r="L13" s="146" t="s">
        <v>103</v>
      </c>
      <c r="M13" s="151"/>
      <c r="N13" s="150">
        <v>42826</v>
      </c>
      <c r="O13" s="149"/>
      <c r="P13" s="148">
        <v>43190</v>
      </c>
      <c r="Q13" s="147"/>
      <c r="R13" s="146" t="s">
        <v>401</v>
      </c>
    </row>
    <row r="14" spans="1:18" s="138" customFormat="1" ht="15" customHeight="1">
      <c r="A14" s="153"/>
      <c r="B14" s="146"/>
      <c r="C14" s="151"/>
      <c r="D14" s="146"/>
      <c r="E14" s="151"/>
      <c r="F14" s="146"/>
      <c r="G14" s="151"/>
      <c r="H14" s="146"/>
      <c r="I14" s="151"/>
      <c r="J14" s="146"/>
      <c r="K14" s="151"/>
      <c r="L14" s="146"/>
      <c r="M14" s="151"/>
      <c r="N14" s="150"/>
      <c r="O14" s="149"/>
      <c r="P14" s="148"/>
      <c r="Q14" s="147"/>
      <c r="R14" s="146"/>
    </row>
    <row r="15" spans="1:18" s="138" customFormat="1" ht="15" customHeight="1">
      <c r="A15" s="144" t="s">
        <v>449</v>
      </c>
      <c r="B15" s="622">
        <f>+'WP-1, pg 2 - Depr'!L40</f>
        <v>167092.39999999997</v>
      </c>
      <c r="C15" s="625"/>
      <c r="D15" s="622">
        <f>+'WP-1, pg 2 - Depr'!N40</f>
        <v>167092.39999999997</v>
      </c>
      <c r="E15" s="625"/>
      <c r="F15" s="622">
        <f>+'WP-1, pg 2 - Depr'!O40</f>
        <v>1379.3991515151515</v>
      </c>
      <c r="G15" s="625"/>
      <c r="H15" s="622">
        <f>+'WP-1, pg 2 - Depr'!P40</f>
        <v>8542.3845000000074</v>
      </c>
      <c r="I15" s="625"/>
      <c r="J15" s="622">
        <f>+'WP-1, pg 2 - Depr'!Q42</f>
        <v>0</v>
      </c>
      <c r="K15" s="625"/>
      <c r="L15" s="622">
        <f>+'WP-1, pg 2 - Depr'!R40</f>
        <v>8542.3845000000074</v>
      </c>
      <c r="M15" s="625"/>
      <c r="N15" s="622">
        <f>+'WP-1, pg 2 - Depr'!U40</f>
        <v>60917.582333333339</v>
      </c>
      <c r="O15" s="625"/>
      <c r="P15" s="622">
        <f>+'WP-1, pg 2 - Depr'!Y40</f>
        <v>69459.966833333339</v>
      </c>
      <c r="Q15" s="625"/>
      <c r="R15" s="622">
        <f>+'WP-1, pg 2 - Depr'!Z40</f>
        <v>84694.105416666658</v>
      </c>
    </row>
    <row r="16" spans="1:18" s="138" customFormat="1" ht="15" customHeight="1">
      <c r="A16" s="144" t="s">
        <v>250</v>
      </c>
      <c r="B16" s="623">
        <f>+'WP-1, pg 2 - Depr'!L100</f>
        <v>68446.69</v>
      </c>
      <c r="C16" s="625"/>
      <c r="D16" s="623">
        <f>+'WP-1, pg 2 - Depr'!N100</f>
        <v>68446.69</v>
      </c>
      <c r="E16" s="625"/>
      <c r="F16" s="623">
        <f>+'WP-1, pg 2 - Depr'!O100</f>
        <v>574.87429166666675</v>
      </c>
      <c r="G16" s="625"/>
      <c r="H16" s="623">
        <f>+'WP-1, pg 2 - Depr'!P100</f>
        <v>4518.5499166666687</v>
      </c>
      <c r="I16" s="625"/>
      <c r="J16" s="623">
        <f>+'WP-1, pg 2 - Depr'!Q100</f>
        <v>0</v>
      </c>
      <c r="K16" s="625"/>
      <c r="L16" s="623">
        <f>+'WP-1, pg 2 - Depr'!R100</f>
        <v>4518.5499166666687</v>
      </c>
      <c r="M16" s="625"/>
      <c r="N16" s="623">
        <f>+'WP-1, pg 2 - Depr'!U100</f>
        <v>43140.575583333331</v>
      </c>
      <c r="O16" s="625"/>
      <c r="P16" s="623">
        <f>+'WP-1, pg 2 - Depr'!Y100</f>
        <v>47659.12549999998</v>
      </c>
      <c r="Q16" s="625"/>
      <c r="R16" s="623">
        <f>+'WP-1, pg 2 - Depr'!Z100</f>
        <v>23046.839458333336</v>
      </c>
    </row>
    <row r="17" spans="1:18" s="138" customFormat="1" ht="15" customHeight="1">
      <c r="A17" s="144" t="s">
        <v>448</v>
      </c>
      <c r="B17" s="623">
        <f>+'WP-1, pg 2 - Depr'!L109</f>
        <v>320146.18</v>
      </c>
      <c r="C17" s="625"/>
      <c r="D17" s="623">
        <f>+'WP-1, pg 2 - Depr'!N109</f>
        <v>256116.94399999999</v>
      </c>
      <c r="E17" s="625"/>
      <c r="F17" s="623">
        <f>+'WP-1, pg 2 - Depr'!O109</f>
        <v>2726.5055238095238</v>
      </c>
      <c r="G17" s="625"/>
      <c r="H17" s="623">
        <f>+'WP-1, pg 2 - Depr'!P109</f>
        <v>23687.906285714282</v>
      </c>
      <c r="I17" s="625"/>
      <c r="J17" s="623">
        <f>+'WP-1, pg 2 - Depr'!Q113</f>
        <v>0</v>
      </c>
      <c r="K17" s="625"/>
      <c r="L17" s="623">
        <f>+'WP-1, pg 2 - Depr'!R109</f>
        <v>23687.906285714282</v>
      </c>
      <c r="M17" s="625"/>
      <c r="N17" s="623">
        <f>+'WP-1, pg 2 - Depr'!U109</f>
        <v>208741.13142857142</v>
      </c>
      <c r="O17" s="625"/>
      <c r="P17" s="623">
        <f>+'WP-1, pg 2 - Depr'!Y109</f>
        <v>232429.03771428569</v>
      </c>
      <c r="Q17" s="625"/>
      <c r="R17" s="623">
        <f>+'WP-1, pg 2 - Depr'!Z109</f>
        <v>99561.09542857144</v>
      </c>
    </row>
    <row r="18" spans="1:18" s="138" customFormat="1" ht="15" customHeight="1">
      <c r="A18" s="144" t="s">
        <v>447</v>
      </c>
      <c r="B18" s="623">
        <f>+'WP-1, pg 2 - Depr'!L143</f>
        <v>1858751.4400000002</v>
      </c>
      <c r="C18" s="625"/>
      <c r="D18" s="623">
        <f>+'WP-1, pg 2 - Depr'!N143</f>
        <v>1487001.1519999998</v>
      </c>
      <c r="E18" s="625"/>
      <c r="F18" s="623">
        <f>+'WP-1, pg 2 - Depr'!O143</f>
        <v>16208.142754761902</v>
      </c>
      <c r="G18" s="625"/>
      <c r="H18" s="623">
        <f>+'WP-1, pg 2 - Depr'!P143</f>
        <v>138881.10977619048</v>
      </c>
      <c r="I18" s="625"/>
      <c r="J18" s="623">
        <f>+'WP-1, pg 2 - Depr'!Q143</f>
        <v>0</v>
      </c>
      <c r="K18" s="625"/>
      <c r="L18" s="623">
        <f>+'WP-1, pg 2 - Depr'!R143</f>
        <v>138881.10977619048</v>
      </c>
      <c r="M18" s="625"/>
      <c r="N18" s="623">
        <f>+'WP-1, pg 2 - Depr'!U143</f>
        <v>608472.88798809517</v>
      </c>
      <c r="O18" s="625"/>
      <c r="P18" s="623">
        <f>+'WP-1, pg 2 - Depr'!Y143</f>
        <v>747353.99776428577</v>
      </c>
      <c r="Q18" s="625"/>
      <c r="R18" s="623">
        <f>+'WP-1, pg 2 - Depr'!Z143</f>
        <v>1180837.9971238093</v>
      </c>
    </row>
    <row r="19" spans="1:18" s="138" customFormat="1" ht="15" customHeight="1">
      <c r="A19" s="144" t="s">
        <v>554</v>
      </c>
      <c r="B19" s="623">
        <f>+'WP-1, pg 2 - Depr'!L163</f>
        <v>222156.20229999998</v>
      </c>
      <c r="C19" s="625"/>
      <c r="D19" s="623">
        <f>+'WP-1, pg 2 - Depr'!N163</f>
        <v>149295.65664099998</v>
      </c>
      <c r="E19" s="625"/>
      <c r="F19" s="623">
        <f>+'WP-1, pg 2 - Depr'!O163</f>
        <v>2488.2609440166666</v>
      </c>
      <c r="G19" s="625"/>
      <c r="H19" s="623">
        <f>+'WP-1, pg 2 - Depr'!P163</f>
        <v>2782.7370630000269</v>
      </c>
      <c r="I19" s="625"/>
      <c r="J19" s="623">
        <f>+'WP-1, pg 2 - Depr'!Q165</f>
        <v>0</v>
      </c>
      <c r="K19" s="625"/>
      <c r="L19" s="623">
        <f>+'WP-1, pg 2 - Depr'!R163</f>
        <v>2782.7370630000269</v>
      </c>
      <c r="M19" s="625"/>
      <c r="N19" s="623">
        <f>+'WP-1, pg 2 - Depr'!U163</f>
        <v>118924.145395</v>
      </c>
      <c r="O19" s="625"/>
      <c r="P19" s="623">
        <f>+'WP-1, pg 2 - Depr'!Y163</f>
        <v>121706.88245800002</v>
      </c>
      <c r="Q19" s="625"/>
      <c r="R19" s="623">
        <f>+'WP-1, pg 2 - Depr'!Z163</f>
        <v>101840.68837349999</v>
      </c>
    </row>
    <row r="20" spans="1:18" s="138" customFormat="1" ht="15" customHeight="1">
      <c r="A20" s="144" t="s">
        <v>446</v>
      </c>
      <c r="B20" s="623">
        <f>+'WP-1, pg 2 - Depr'!L176</f>
        <v>12803.34</v>
      </c>
      <c r="C20" s="625"/>
      <c r="D20" s="623">
        <f>+'WP-1, pg 2 - Depr'!N176</f>
        <v>12803.34</v>
      </c>
      <c r="E20" s="625"/>
      <c r="F20" s="623">
        <f>+'WP-1, pg 2 - Depr'!O176</f>
        <v>137.76395833333333</v>
      </c>
      <c r="G20" s="625"/>
      <c r="H20" s="623">
        <f>+'WP-1, pg 2 - Depr'!P176</f>
        <v>350</v>
      </c>
      <c r="I20" s="625"/>
      <c r="J20" s="623">
        <f>+'WP-1, pg 2 - Depr'!Q176</f>
        <v>0</v>
      </c>
      <c r="K20" s="625"/>
      <c r="L20" s="623">
        <f>+'WP-1, pg 2 - Depr'!R176</f>
        <v>350</v>
      </c>
      <c r="M20" s="625"/>
      <c r="N20" s="623">
        <f>+'WP-1, pg 2 - Depr'!U176</f>
        <v>11774.173333333334</v>
      </c>
      <c r="O20" s="625"/>
      <c r="P20" s="623">
        <f>+'WP-1, pg 2 - Depr'!Y176</f>
        <v>12124.173333333334</v>
      </c>
      <c r="Q20" s="625"/>
      <c r="R20" s="623">
        <f>+'WP-1, pg 2 - Depr'!Z176</f>
        <v>854.16666666666561</v>
      </c>
    </row>
    <row r="21" spans="1:18" s="138" customFormat="1" ht="15" customHeight="1">
      <c r="A21" s="144" t="s">
        <v>445</v>
      </c>
      <c r="B21" s="623">
        <f>+'WP-1, pg 2 - Depr'!L190</f>
        <v>19809.75</v>
      </c>
      <c r="C21" s="625"/>
      <c r="D21" s="623">
        <f>+'WP-1, pg 2 - Depr'!N190</f>
        <v>19809.75</v>
      </c>
      <c r="E21" s="625"/>
      <c r="F21" s="623">
        <f>+'WP-1, pg 2 - Depr'!O190</f>
        <v>330.16250000000002</v>
      </c>
      <c r="G21" s="625"/>
      <c r="H21" s="623">
        <f>+'WP-1, pg 2 - Depr'!P190</f>
        <v>1123.9561666666675</v>
      </c>
      <c r="I21" s="625"/>
      <c r="J21" s="623">
        <f>+'WP-1, pg 2 - Depr'!Q192</f>
        <v>0</v>
      </c>
      <c r="K21" s="625"/>
      <c r="L21" s="623">
        <f>+'WP-1, pg 2 - Depr'!R190</f>
        <v>1123.9561666666675</v>
      </c>
      <c r="M21" s="625"/>
      <c r="N21" s="623">
        <f>+'WP-1, pg 2 - Depr'!U190</f>
        <v>18585.332166666671</v>
      </c>
      <c r="O21" s="625"/>
      <c r="P21" s="623">
        <f>+'WP-1, pg 2 - Depr'!Y190</f>
        <v>19709.288333333334</v>
      </c>
      <c r="Q21" s="625"/>
      <c r="R21" s="623">
        <f>+'WP-1, pg 2 - Depr'!Z190</f>
        <v>662.43975</v>
      </c>
    </row>
    <row r="22" spans="1:18" s="138" customFormat="1" ht="15" customHeight="1">
      <c r="A22" s="144" t="s">
        <v>95</v>
      </c>
      <c r="B22" s="623">
        <f>+'WP-1, pg 2 - Depr'!L332</f>
        <v>690861.76000000047</v>
      </c>
      <c r="C22" s="625"/>
      <c r="D22" s="623">
        <f>+'WP-1, pg 2 - Depr'!N332</f>
        <v>690861.76000000047</v>
      </c>
      <c r="E22" s="625"/>
      <c r="F22" s="623">
        <f>+'WP-1, pg 2 - Depr'!O332</f>
        <v>6442.8510208333373</v>
      </c>
      <c r="G22" s="625"/>
      <c r="H22" s="623">
        <f>+'WP-1, pg 2 - Depr'!P332</f>
        <v>34896.613000000005</v>
      </c>
      <c r="I22" s="625"/>
      <c r="J22" s="623">
        <f>+'WP-1, pg 2 - Depr'!Q334</f>
        <v>0</v>
      </c>
      <c r="K22" s="625"/>
      <c r="L22" s="623">
        <f>+'WP-1, pg 2 - Depr'!R332</f>
        <v>34896.613000000005</v>
      </c>
      <c r="M22" s="625"/>
      <c r="N22" s="623">
        <f>+'WP-1, pg 2 - Depr'!U332</f>
        <v>450775.95966666657</v>
      </c>
      <c r="O22" s="625"/>
      <c r="P22" s="623">
        <f>+'WP-1, pg 2 - Depr'!Y332</f>
        <v>485672.57266666659</v>
      </c>
      <c r="Q22" s="625"/>
      <c r="R22" s="623">
        <f>+'WP-1, pg 2 - Depr'!Z332</f>
        <v>222637.49383333328</v>
      </c>
    </row>
    <row r="23" spans="1:18" s="138" customFormat="1" ht="15" customHeight="1">
      <c r="A23" s="144" t="s">
        <v>444</v>
      </c>
      <c r="B23" s="624">
        <f>+'WP-1, pg 2 - Depr'!L367</f>
        <v>54736.67</v>
      </c>
      <c r="C23" s="625"/>
      <c r="D23" s="624">
        <f>+'WP-1, pg 2 - Depr'!N367</f>
        <v>54736.67</v>
      </c>
      <c r="E23" s="625"/>
      <c r="F23" s="624">
        <f>+'WP-1, pg 2 - Depr'!O367</f>
        <v>228.06945833333336</v>
      </c>
      <c r="G23" s="625"/>
      <c r="H23" s="624">
        <f>+'WP-1, pg 2 - Depr'!P367</f>
        <v>2736.8334999999997</v>
      </c>
      <c r="I23" s="625"/>
      <c r="J23" s="624">
        <f>+'WP-1, pg 2 - Depr'!Q367</f>
        <v>0</v>
      </c>
      <c r="K23" s="625"/>
      <c r="L23" s="624">
        <f>+'WP-1, pg 2 - Depr'!R367</f>
        <v>2736.8334999999997</v>
      </c>
      <c r="M23" s="625"/>
      <c r="N23" s="624">
        <f>+'WP-1, pg 2 - Depr'!U367</f>
        <v>42444.416083333323</v>
      </c>
      <c r="O23" s="625"/>
      <c r="P23" s="624">
        <f>+'WP-1, pg 2 - Depr'!Y367</f>
        <v>45181.249583333338</v>
      </c>
      <c r="Q23" s="625"/>
      <c r="R23" s="624">
        <f>+'WP-1, pg 2 - Depr'!Z367</f>
        <v>10923.837166666666</v>
      </c>
    </row>
    <row r="24" spans="1:18" s="138" customFormat="1" ht="15" customHeight="1">
      <c r="A24" s="144"/>
      <c r="B24" s="142"/>
      <c r="C24" s="143"/>
      <c r="D24" s="142"/>
      <c r="E24" s="143"/>
      <c r="F24" s="142"/>
      <c r="G24" s="143"/>
      <c r="H24" s="142"/>
      <c r="I24" s="143"/>
      <c r="J24" s="142"/>
      <c r="K24" s="143"/>
      <c r="L24" s="142"/>
      <c r="M24" s="143"/>
      <c r="N24" s="142"/>
      <c r="O24" s="143"/>
      <c r="P24" s="142"/>
      <c r="Q24" s="143"/>
      <c r="R24" s="142"/>
    </row>
    <row r="25" spans="1:18" s="138" customFormat="1" ht="15" customHeight="1" thickBot="1">
      <c r="A25" s="144"/>
      <c r="B25" s="985">
        <f>SUM(B15:B23)</f>
        <v>3414804.4323000005</v>
      </c>
      <c r="C25" s="143"/>
      <c r="D25" s="145">
        <f>SUM(D15:D23)</f>
        <v>2906164.3626410002</v>
      </c>
      <c r="E25" s="143"/>
      <c r="F25" s="145">
        <f>SUM(F15:F23)</f>
        <v>30516.029603269912</v>
      </c>
      <c r="G25" s="143"/>
      <c r="H25" s="145">
        <f>SUM(H15:H23)</f>
        <v>217520.09020823817</v>
      </c>
      <c r="I25" s="143"/>
      <c r="J25" s="145">
        <f>SUM(J15:J23)</f>
        <v>0</v>
      </c>
      <c r="K25" s="143"/>
      <c r="L25" s="145">
        <f>SUM(L15:L23)</f>
        <v>217520.09020823817</v>
      </c>
      <c r="M25" s="143"/>
      <c r="N25" s="145">
        <f>SUM(N15:N23)</f>
        <v>1563776.2039783332</v>
      </c>
      <c r="O25" s="143"/>
      <c r="P25" s="145">
        <f>SUM(P15:P23)</f>
        <v>1781296.2941865711</v>
      </c>
      <c r="Q25" s="143"/>
      <c r="R25" s="145">
        <f>SUM(R15:R23)</f>
        <v>1725058.6632175473</v>
      </c>
    </row>
    <row r="26" spans="1:18" s="138" customFormat="1" ht="15" customHeight="1" thickTop="1">
      <c r="A26" s="144"/>
      <c r="B26" s="142"/>
      <c r="C26" s="143"/>
      <c r="D26" s="142"/>
      <c r="E26" s="143"/>
      <c r="F26" s="142"/>
      <c r="G26" s="143"/>
      <c r="H26" s="142"/>
      <c r="I26" s="143"/>
      <c r="J26" s="142"/>
      <c r="K26" s="143"/>
      <c r="L26" s="142"/>
      <c r="M26" s="143"/>
      <c r="N26" s="142"/>
      <c r="O26" s="143"/>
      <c r="P26" s="142"/>
      <c r="Q26" s="143"/>
      <c r="R26" s="142"/>
    </row>
    <row r="27" spans="1:18" s="138" customFormat="1" ht="15" customHeight="1">
      <c r="C27" s="139"/>
      <c r="E27" s="139"/>
      <c r="G27" s="139"/>
      <c r="H27" s="140"/>
      <c r="I27" s="141"/>
      <c r="J27" s="140"/>
      <c r="K27" s="141"/>
      <c r="L27" s="140"/>
      <c r="M27" s="141"/>
      <c r="N27" s="140"/>
      <c r="O27" s="141"/>
      <c r="P27" s="140"/>
      <c r="Q27" s="141"/>
      <c r="R27" s="140"/>
    </row>
    <row r="28" spans="1:18" s="138" customFormat="1" ht="15" customHeight="1">
      <c r="C28" s="139"/>
      <c r="E28" s="139"/>
      <c r="G28" s="139"/>
      <c r="I28" s="139"/>
      <c r="K28" s="139"/>
      <c r="M28" s="139"/>
      <c r="O28" s="139"/>
      <c r="Q28" s="139"/>
    </row>
    <row r="29" spans="1:18" s="138" customFormat="1" ht="15" customHeight="1">
      <c r="C29" s="139"/>
      <c r="E29" s="139"/>
      <c r="G29" s="139"/>
      <c r="I29" s="139"/>
      <c r="K29" s="139"/>
      <c r="M29" s="139"/>
      <c r="O29" s="139"/>
      <c r="Q29" s="139"/>
    </row>
    <row r="30" spans="1:18" s="138" customFormat="1" ht="15" customHeight="1">
      <c r="C30" s="139"/>
      <c r="E30" s="139"/>
      <c r="G30" s="139"/>
      <c r="I30" s="139"/>
      <c r="K30" s="139"/>
      <c r="M30" s="139"/>
      <c r="O30" s="139"/>
      <c r="Q30" s="139"/>
    </row>
    <row r="31" spans="1:18" s="138" customFormat="1" ht="15" customHeight="1">
      <c r="C31" s="139"/>
      <c r="E31" s="139"/>
      <c r="G31" s="139"/>
      <c r="I31" s="139"/>
      <c r="K31" s="139"/>
      <c r="M31" s="139"/>
      <c r="O31" s="139"/>
      <c r="Q31" s="139"/>
    </row>
    <row r="32" spans="1:18" s="138" customFormat="1" ht="15" customHeight="1">
      <c r="C32" s="139"/>
      <c r="E32" s="139"/>
      <c r="G32" s="139"/>
      <c r="I32" s="139"/>
      <c r="K32" s="139"/>
      <c r="M32" s="139"/>
      <c r="O32" s="139"/>
      <c r="Q32" s="139"/>
    </row>
    <row r="33" spans="3:17" s="138" customFormat="1" ht="15" customHeight="1">
      <c r="C33" s="139"/>
      <c r="E33" s="139"/>
      <c r="G33" s="139"/>
      <c r="I33" s="139"/>
      <c r="K33" s="139"/>
      <c r="M33" s="139"/>
      <c r="O33" s="139"/>
      <c r="Q33" s="139"/>
    </row>
    <row r="34" spans="3:17" s="138" customFormat="1" ht="15" customHeight="1">
      <c r="C34" s="139"/>
      <c r="E34" s="139"/>
      <c r="G34" s="139"/>
      <c r="I34" s="139"/>
      <c r="K34" s="139"/>
      <c r="M34" s="139"/>
      <c r="O34" s="139"/>
      <c r="Q34" s="139"/>
    </row>
    <row r="35" spans="3:17" s="138" customFormat="1" ht="15" customHeight="1">
      <c r="C35" s="139"/>
      <c r="E35" s="139"/>
      <c r="G35" s="139"/>
      <c r="I35" s="139"/>
      <c r="K35" s="139"/>
      <c r="M35" s="139"/>
      <c r="O35" s="139"/>
      <c r="Q35" s="139"/>
    </row>
    <row r="36" spans="3:17" s="138" customFormat="1" ht="15" customHeight="1">
      <c r="C36" s="139"/>
      <c r="E36" s="139"/>
      <c r="G36" s="139"/>
      <c r="I36" s="139"/>
      <c r="K36" s="139"/>
      <c r="M36" s="139"/>
      <c r="O36" s="139"/>
      <c r="Q36" s="139"/>
    </row>
    <row r="37" spans="3:17" s="138" customFormat="1" ht="15" customHeight="1">
      <c r="C37" s="139"/>
      <c r="E37" s="139"/>
      <c r="G37" s="139"/>
      <c r="I37" s="139"/>
      <c r="K37" s="139"/>
      <c r="M37" s="139"/>
      <c r="O37" s="139"/>
      <c r="Q37" s="139"/>
    </row>
    <row r="38" spans="3:17" s="138" customFormat="1" ht="15" customHeight="1">
      <c r="C38" s="139"/>
      <c r="E38" s="139"/>
      <c r="G38" s="139"/>
      <c r="I38" s="139"/>
      <c r="K38" s="139"/>
      <c r="M38" s="139"/>
      <c r="O38" s="139"/>
      <c r="Q38" s="139"/>
    </row>
    <row r="39" spans="3:17" s="138" customFormat="1" ht="15" customHeight="1">
      <c r="C39" s="139"/>
      <c r="E39" s="139"/>
      <c r="G39" s="139"/>
      <c r="I39" s="139"/>
      <c r="K39" s="139"/>
      <c r="M39" s="139"/>
      <c r="O39" s="139"/>
      <c r="Q39" s="139"/>
    </row>
    <row r="40" spans="3:17" s="138" customFormat="1" ht="15" customHeight="1">
      <c r="C40" s="139"/>
      <c r="E40" s="139"/>
      <c r="G40" s="139"/>
      <c r="I40" s="139"/>
      <c r="K40" s="139"/>
      <c r="M40" s="139"/>
      <c r="O40" s="139"/>
      <c r="Q40" s="139"/>
    </row>
    <row r="41" spans="3:17" s="138" customFormat="1" ht="15" customHeight="1">
      <c r="C41" s="139"/>
      <c r="E41" s="139"/>
      <c r="G41" s="139"/>
      <c r="I41" s="139"/>
      <c r="K41" s="139"/>
      <c r="M41" s="139"/>
      <c r="O41" s="139"/>
      <c r="Q41" s="139"/>
    </row>
    <row r="42" spans="3:17" s="138" customFormat="1" ht="15" customHeight="1">
      <c r="C42" s="139"/>
      <c r="E42" s="139"/>
      <c r="G42" s="139"/>
      <c r="I42" s="139"/>
      <c r="K42" s="139"/>
      <c r="M42" s="139"/>
      <c r="O42" s="139"/>
      <c r="Q42" s="139"/>
    </row>
    <row r="43" spans="3:17" s="138" customFormat="1" ht="15" customHeight="1">
      <c r="C43" s="139"/>
      <c r="E43" s="139"/>
      <c r="G43" s="139"/>
      <c r="I43" s="139"/>
      <c r="K43" s="139"/>
      <c r="M43" s="139"/>
      <c r="O43" s="139"/>
      <c r="Q43" s="139"/>
    </row>
    <row r="44" spans="3:17" s="138" customFormat="1" ht="15" customHeight="1">
      <c r="C44" s="139"/>
      <c r="E44" s="139"/>
      <c r="G44" s="139"/>
      <c r="I44" s="139"/>
      <c r="K44" s="139"/>
      <c r="M44" s="139"/>
      <c r="O44" s="139"/>
      <c r="Q44" s="139"/>
    </row>
    <row r="45" spans="3:17" s="138" customFormat="1" ht="15" customHeight="1">
      <c r="C45" s="139"/>
      <c r="E45" s="139"/>
      <c r="G45" s="139"/>
      <c r="I45" s="139"/>
      <c r="K45" s="139"/>
      <c r="M45" s="139"/>
      <c r="O45" s="139"/>
      <c r="Q45" s="139"/>
    </row>
    <row r="46" spans="3:17" s="138" customFormat="1" ht="15" customHeight="1">
      <c r="C46" s="139"/>
      <c r="E46" s="139"/>
      <c r="G46" s="139"/>
      <c r="I46" s="139"/>
      <c r="K46" s="139"/>
      <c r="M46" s="139"/>
      <c r="O46" s="139"/>
      <c r="Q46" s="139"/>
    </row>
    <row r="47" spans="3:17" s="138" customFormat="1" ht="15" customHeight="1">
      <c r="C47" s="139"/>
      <c r="E47" s="139"/>
      <c r="G47" s="139"/>
      <c r="I47" s="139"/>
      <c r="K47" s="139"/>
      <c r="M47" s="139"/>
      <c r="O47" s="139"/>
      <c r="Q47" s="139"/>
    </row>
    <row r="48" spans="3:17" s="138" customFormat="1" ht="15" customHeight="1">
      <c r="C48" s="139"/>
      <c r="E48" s="139"/>
      <c r="G48" s="139"/>
      <c r="I48" s="139"/>
      <c r="K48" s="139"/>
      <c r="M48" s="139"/>
      <c r="O48" s="139"/>
      <c r="Q48" s="139"/>
    </row>
    <row r="49" spans="3:17" s="138" customFormat="1" ht="15" customHeight="1">
      <c r="C49" s="139"/>
      <c r="E49" s="139"/>
      <c r="G49" s="139"/>
      <c r="I49" s="139"/>
      <c r="K49" s="139"/>
      <c r="M49" s="139"/>
      <c r="O49" s="139"/>
      <c r="Q49" s="139"/>
    </row>
    <row r="50" spans="3:17" s="138" customFormat="1" ht="15" customHeight="1">
      <c r="C50" s="139"/>
      <c r="E50" s="139"/>
      <c r="G50" s="139"/>
      <c r="I50" s="139"/>
      <c r="K50" s="139"/>
      <c r="M50" s="139"/>
      <c r="O50" s="139"/>
      <c r="Q50" s="139"/>
    </row>
    <row r="51" spans="3:17" s="138" customFormat="1" ht="15" customHeight="1">
      <c r="C51" s="139"/>
      <c r="E51" s="139"/>
      <c r="G51" s="139"/>
      <c r="I51" s="139"/>
      <c r="K51" s="139"/>
      <c r="M51" s="139"/>
      <c r="O51" s="139"/>
      <c r="Q51" s="139"/>
    </row>
    <row r="52" spans="3:17" s="138" customFormat="1" ht="15" customHeight="1">
      <c r="C52" s="139"/>
      <c r="E52" s="139"/>
      <c r="G52" s="139"/>
      <c r="I52" s="139"/>
      <c r="K52" s="139"/>
      <c r="M52" s="139"/>
      <c r="O52" s="139"/>
      <c r="Q52" s="139"/>
    </row>
    <row r="53" spans="3:17" s="138" customFormat="1" ht="15" customHeight="1">
      <c r="C53" s="139"/>
      <c r="E53" s="139"/>
      <c r="G53" s="139"/>
      <c r="I53" s="139"/>
      <c r="K53" s="139"/>
      <c r="M53" s="139"/>
      <c r="O53" s="139"/>
      <c r="Q53" s="139"/>
    </row>
    <row r="54" spans="3:17" s="138" customFormat="1" ht="15" customHeight="1">
      <c r="C54" s="139"/>
      <c r="E54" s="139"/>
      <c r="G54" s="139"/>
      <c r="I54" s="139"/>
      <c r="K54" s="139"/>
      <c r="M54" s="139"/>
      <c r="O54" s="139"/>
      <c r="Q54" s="139"/>
    </row>
    <row r="55" spans="3:17" s="138" customFormat="1" ht="15" customHeight="1">
      <c r="C55" s="139"/>
      <c r="E55" s="139"/>
      <c r="G55" s="139"/>
      <c r="I55" s="139"/>
      <c r="K55" s="139"/>
      <c r="M55" s="139"/>
      <c r="O55" s="139"/>
      <c r="Q55" s="139"/>
    </row>
    <row r="56" spans="3:17" s="138" customFormat="1" ht="15" customHeight="1">
      <c r="C56" s="139"/>
      <c r="E56" s="139"/>
      <c r="G56" s="139"/>
      <c r="I56" s="139"/>
      <c r="K56" s="139"/>
      <c r="M56" s="139"/>
      <c r="O56" s="139"/>
      <c r="Q56" s="139"/>
    </row>
    <row r="57" spans="3:17" s="138" customFormat="1" ht="15" customHeight="1">
      <c r="C57" s="139"/>
      <c r="E57" s="139"/>
      <c r="G57" s="139"/>
      <c r="I57" s="139"/>
      <c r="K57" s="139"/>
      <c r="M57" s="139"/>
      <c r="O57" s="139"/>
      <c r="Q57" s="139"/>
    </row>
    <row r="58" spans="3:17" s="138" customFormat="1" ht="15" customHeight="1">
      <c r="C58" s="139"/>
      <c r="E58" s="139"/>
      <c r="G58" s="139"/>
      <c r="I58" s="139"/>
      <c r="K58" s="139"/>
      <c r="M58" s="139"/>
      <c r="O58" s="139"/>
      <c r="Q58" s="139"/>
    </row>
    <row r="59" spans="3:17" s="138" customFormat="1" ht="15" customHeight="1">
      <c r="C59" s="139"/>
      <c r="E59" s="139"/>
      <c r="G59" s="139"/>
      <c r="I59" s="139"/>
      <c r="K59" s="139"/>
      <c r="M59" s="139"/>
      <c r="O59" s="139"/>
      <c r="Q59" s="139"/>
    </row>
  </sheetData>
  <mergeCells count="3">
    <mergeCell ref="A1:R1"/>
    <mergeCell ref="A3:R3"/>
    <mergeCell ref="A5:R5"/>
  </mergeCells>
  <printOptions horizontalCentered="1"/>
  <pageMargins left="0.25" right="0.25" top="0.75" bottom="0.5" header="0" footer="0.25"/>
  <pageSetup orientation="landscape" horizontalDpi="300" verticalDpi="300" r:id="rId1"/>
  <headerFooter scaleWithDoc="0"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22"/>
  <dimension ref="A1:BE1030"/>
  <sheetViews>
    <sheetView zoomScale="70" zoomScaleNormal="70" zoomScaleSheetLayoutView="10" workbookViewId="0"/>
  </sheetViews>
  <sheetFormatPr defaultRowHeight="15.75"/>
  <cols>
    <col min="1" max="1" width="5.77734375" style="136" customWidth="1"/>
    <col min="2" max="2" width="35.77734375" style="163" customWidth="1"/>
    <col min="3" max="3" width="8" style="163" customWidth="1"/>
    <col min="4" max="4" width="7.109375" style="163" bestFit="1" customWidth="1"/>
    <col min="5" max="5" width="4" style="163" bestFit="1" customWidth="1"/>
    <col min="6" max="6" width="7.21875" style="163" bestFit="1" customWidth="1"/>
    <col min="7" max="7" width="5.21875" style="163" bestFit="1" customWidth="1"/>
    <col min="8" max="8" width="6" style="163" customWidth="1"/>
    <col min="9" max="9" width="5.77734375" style="163" bestFit="1" customWidth="1"/>
    <col min="10" max="10" width="5.44140625" style="163" bestFit="1" customWidth="1"/>
    <col min="11" max="11" width="3.77734375" style="163" bestFit="1" customWidth="1"/>
    <col min="12" max="12" width="14.109375" style="163" customWidth="1"/>
    <col min="13" max="13" width="5.77734375" style="136" customWidth="1"/>
    <col min="14" max="14" width="14.109375" style="136" customWidth="1"/>
    <col min="15" max="15" width="11.77734375" style="136" customWidth="1"/>
    <col min="16" max="16" width="12.6640625" style="136" customWidth="1"/>
    <col min="17" max="17" width="5.44140625" style="136" customWidth="1"/>
    <col min="18" max="18" width="14.21875" style="136" customWidth="1"/>
    <col min="19" max="19" width="9.109375" style="136" bestFit="1" customWidth="1"/>
    <col min="20" max="20" width="14.77734375" style="136" customWidth="1"/>
    <col min="21" max="22" width="12.77734375" style="136" bestFit="1" customWidth="1"/>
    <col min="23" max="23" width="9.33203125" style="136" bestFit="1" customWidth="1"/>
    <col min="24" max="24" width="12.33203125" style="136" bestFit="1" customWidth="1"/>
    <col min="25" max="25" width="13.88671875" style="136" customWidth="1"/>
    <col min="26" max="26" width="13.21875" style="136" bestFit="1" customWidth="1"/>
    <col min="27" max="28" width="9.77734375" style="136" bestFit="1" customWidth="1"/>
    <col min="29" max="29" width="9" style="136" customWidth="1"/>
    <col min="30" max="30" width="9.77734375" style="136" bestFit="1" customWidth="1"/>
    <col min="31" max="31" width="8.88671875" style="136" bestFit="1" customWidth="1"/>
    <col min="32" max="32" width="12.33203125" style="136" bestFit="1" customWidth="1"/>
    <col min="33" max="16384" width="8.88671875" style="136"/>
  </cols>
  <sheetData>
    <row r="1" spans="2:57">
      <c r="B1" s="1315" t="str">
        <f>+'WP-1 - Summary Depr'!A1</f>
        <v>Waste Control, Inc.</v>
      </c>
      <c r="C1" s="1315"/>
      <c r="D1" s="1315"/>
      <c r="E1" s="1315"/>
      <c r="F1" s="1315"/>
      <c r="G1" s="1315"/>
      <c r="H1" s="1315"/>
      <c r="I1" s="1315"/>
      <c r="J1" s="1315"/>
      <c r="K1" s="1315"/>
      <c r="L1" s="1315"/>
      <c r="M1" s="1315"/>
      <c r="N1" s="1315"/>
      <c r="O1" s="1315"/>
      <c r="P1" s="1315"/>
      <c r="Q1" s="1315"/>
      <c r="R1" s="1315"/>
      <c r="S1" s="1315"/>
      <c r="T1" s="1315"/>
      <c r="U1" s="1315"/>
      <c r="V1" s="1315"/>
      <c r="W1" s="1315"/>
      <c r="X1" s="1315"/>
      <c r="Y1" s="1315"/>
      <c r="Z1" s="1315"/>
    </row>
    <row r="2" spans="2:57" ht="9.75" customHeight="1">
      <c r="B2" s="202"/>
      <c r="C2" s="202"/>
    </row>
    <row r="3" spans="2:57">
      <c r="B3" s="1315" t="s">
        <v>999</v>
      </c>
      <c r="C3" s="1315"/>
      <c r="D3" s="1315"/>
      <c r="E3" s="1315"/>
      <c r="F3" s="1315"/>
      <c r="G3" s="1315"/>
      <c r="H3" s="1315"/>
      <c r="I3" s="1315"/>
      <c r="J3" s="1315"/>
      <c r="K3" s="1315"/>
      <c r="L3" s="1315"/>
      <c r="M3" s="1315"/>
      <c r="N3" s="1315"/>
      <c r="O3" s="1315"/>
      <c r="P3" s="1315"/>
      <c r="Q3" s="1315"/>
      <c r="R3" s="1315"/>
      <c r="S3" s="1315"/>
      <c r="T3" s="1315"/>
      <c r="U3" s="1315"/>
      <c r="V3" s="1315"/>
      <c r="W3" s="1315"/>
      <c r="X3" s="1315"/>
      <c r="Y3" s="1315"/>
      <c r="Z3" s="1315"/>
    </row>
    <row r="4" spans="2:57">
      <c r="C4" s="201"/>
      <c r="D4" s="201"/>
      <c r="E4" s="201"/>
      <c r="F4" s="201"/>
      <c r="G4" s="201"/>
      <c r="H4" s="201"/>
      <c r="I4" s="201"/>
      <c r="J4" s="201"/>
      <c r="K4" s="201"/>
      <c r="L4" s="201"/>
      <c r="M4" s="201"/>
      <c r="N4" s="1080" t="s">
        <v>1379</v>
      </c>
      <c r="O4" s="201"/>
      <c r="P4" s="201"/>
      <c r="Q4" s="201"/>
      <c r="R4" s="201"/>
      <c r="S4" s="201"/>
      <c r="T4" s="201"/>
      <c r="U4" s="201"/>
      <c r="V4" s="201"/>
      <c r="W4" s="201"/>
      <c r="X4" s="201"/>
      <c r="Y4" s="201"/>
      <c r="Z4" s="201"/>
    </row>
    <row r="5" spans="2:57">
      <c r="B5" s="1314"/>
      <c r="C5" s="1314"/>
      <c r="D5" s="1314"/>
      <c r="E5" s="1314"/>
      <c r="F5" s="1314"/>
      <c r="G5" s="1314"/>
      <c r="H5" s="1314"/>
      <c r="I5" s="1314"/>
      <c r="J5" s="1314"/>
      <c r="K5" s="1314"/>
      <c r="L5" s="1314"/>
      <c r="M5" s="1314"/>
      <c r="N5" s="1314"/>
      <c r="O5" s="1314"/>
      <c r="P5" s="1314"/>
      <c r="Q5" s="1314"/>
      <c r="R5" s="1314"/>
      <c r="S5" s="1314"/>
      <c r="T5" s="1314"/>
      <c r="U5" s="1314"/>
      <c r="V5" s="1314"/>
      <c r="W5" s="1314"/>
      <c r="X5" s="1314"/>
      <c r="Y5" s="1314"/>
      <c r="Z5" s="1314"/>
    </row>
    <row r="6" spans="2:57">
      <c r="B6" s="200"/>
      <c r="C6" s="200"/>
      <c r="M6" s="163"/>
    </row>
    <row r="7" spans="2:57">
      <c r="B7" s="136">
        <f>+'WP-1 - Summary Depr'!B7</f>
        <v>9</v>
      </c>
      <c r="C7" s="136" t="s">
        <v>485</v>
      </c>
      <c r="E7" s="136"/>
      <c r="M7" s="163"/>
      <c r="AB7" s="809" t="s">
        <v>454</v>
      </c>
      <c r="AC7" s="810" t="s">
        <v>488</v>
      </c>
      <c r="AD7" s="811"/>
    </row>
    <row r="8" spans="2:57">
      <c r="B8" s="136">
        <f>+'WP-1 - Summary Depr'!B8</f>
        <v>3</v>
      </c>
      <c r="C8" s="136" t="s">
        <v>484</v>
      </c>
      <c r="E8" s="136"/>
      <c r="L8" s="201"/>
      <c r="M8" s="163"/>
      <c r="N8" s="335"/>
      <c r="AB8" s="812" t="s">
        <v>487</v>
      </c>
      <c r="AC8" s="137" t="s">
        <v>486</v>
      </c>
      <c r="AD8" s="813"/>
    </row>
    <row r="9" spans="2:57">
      <c r="B9" s="136">
        <f>+'WP-1 - Summary Depr'!B9</f>
        <v>117</v>
      </c>
      <c r="C9" s="136" t="s">
        <v>483</v>
      </c>
      <c r="E9" s="136"/>
      <c r="L9" s="201"/>
      <c r="N9" s="335"/>
      <c r="AB9" s="812" t="s">
        <v>482</v>
      </c>
      <c r="AC9" s="137" t="s">
        <v>481</v>
      </c>
      <c r="AD9" s="813"/>
    </row>
    <row r="10" spans="2:57">
      <c r="B10" s="136">
        <f>+'WP-1 - Summary Depr'!B10</f>
        <v>118</v>
      </c>
      <c r="C10" s="136" t="s">
        <v>480</v>
      </c>
      <c r="E10" s="136"/>
      <c r="AB10" s="812" t="s">
        <v>451</v>
      </c>
      <c r="AC10" s="137" t="s">
        <v>613</v>
      </c>
      <c r="AD10" s="813"/>
    </row>
    <row r="11" spans="2:57">
      <c r="T11" s="194" t="s">
        <v>0</v>
      </c>
      <c r="U11" s="194" t="s">
        <v>479</v>
      </c>
      <c r="V11" s="194" t="s">
        <v>474</v>
      </c>
      <c r="X11" s="194" t="s">
        <v>474</v>
      </c>
      <c r="Y11" s="194" t="s">
        <v>474</v>
      </c>
      <c r="AB11" s="814" t="s">
        <v>450</v>
      </c>
      <c r="AC11" s="815" t="s">
        <v>477</v>
      </c>
      <c r="AD11" s="816"/>
    </row>
    <row r="12" spans="2:57">
      <c r="B12" s="841" t="s">
        <v>1039</v>
      </c>
      <c r="C12" s="177" t="s">
        <v>476</v>
      </c>
      <c r="D12" s="177" t="s">
        <v>476</v>
      </c>
      <c r="F12" s="177" t="s">
        <v>475</v>
      </c>
      <c r="I12" s="177" t="s">
        <v>465</v>
      </c>
      <c r="J12" s="177" t="s">
        <v>467</v>
      </c>
      <c r="Q12" s="194" t="s">
        <v>458</v>
      </c>
      <c r="R12" s="194" t="s">
        <v>0</v>
      </c>
      <c r="T12" s="194" t="s">
        <v>474</v>
      </c>
      <c r="U12" s="194" t="s">
        <v>471</v>
      </c>
      <c r="V12" s="194" t="s">
        <v>471</v>
      </c>
      <c r="W12" s="194" t="s">
        <v>473</v>
      </c>
      <c r="X12" s="194" t="s">
        <v>472</v>
      </c>
      <c r="Y12" s="194" t="s">
        <v>472</v>
      </c>
    </row>
    <row r="13" spans="2:57">
      <c r="B13" s="177"/>
      <c r="C13" s="177" t="s">
        <v>101</v>
      </c>
      <c r="D13" s="177" t="s">
        <v>101</v>
      </c>
      <c r="F13" s="177" t="s">
        <v>470</v>
      </c>
      <c r="G13" s="177"/>
      <c r="H13" s="177"/>
      <c r="I13" s="177" t="s">
        <v>468</v>
      </c>
      <c r="J13" s="177" t="s">
        <v>458</v>
      </c>
      <c r="L13" s="177" t="s">
        <v>467</v>
      </c>
      <c r="M13" s="194" t="s">
        <v>467</v>
      </c>
      <c r="N13" s="194" t="s">
        <v>612</v>
      </c>
      <c r="O13" s="194" t="s">
        <v>611</v>
      </c>
      <c r="P13" s="194" t="s">
        <v>463</v>
      </c>
      <c r="Q13" s="194" t="s">
        <v>465</v>
      </c>
      <c r="R13" s="194" t="s">
        <v>610</v>
      </c>
      <c r="S13" s="194" t="s">
        <v>97</v>
      </c>
      <c r="T13" s="194" t="s">
        <v>463</v>
      </c>
      <c r="U13" s="177" t="s">
        <v>103</v>
      </c>
      <c r="V13" s="177" t="s">
        <v>103</v>
      </c>
      <c r="W13" s="177" t="s">
        <v>456</v>
      </c>
      <c r="X13" s="177" t="s">
        <v>455</v>
      </c>
      <c r="Y13" s="177" t="s">
        <v>455</v>
      </c>
      <c r="Z13" s="194" t="s">
        <v>394</v>
      </c>
    </row>
    <row r="14" spans="2:57">
      <c r="B14" s="199" t="s">
        <v>462</v>
      </c>
      <c r="C14" s="198" t="s">
        <v>461</v>
      </c>
      <c r="D14" s="198" t="s">
        <v>461</v>
      </c>
      <c r="E14" s="198" t="s">
        <v>460</v>
      </c>
      <c r="F14" s="198" t="s">
        <v>97</v>
      </c>
      <c r="G14" s="177" t="s">
        <v>469</v>
      </c>
      <c r="H14" s="177" t="s">
        <v>93</v>
      </c>
      <c r="I14" s="198" t="s">
        <v>455</v>
      </c>
      <c r="J14" s="198" t="s">
        <v>609</v>
      </c>
      <c r="K14" s="198" t="s">
        <v>460</v>
      </c>
      <c r="L14" s="198" t="s">
        <v>72</v>
      </c>
      <c r="M14" s="195" t="s">
        <v>458</v>
      </c>
      <c r="N14" s="195" t="s">
        <v>72</v>
      </c>
      <c r="O14" s="195" t="s">
        <v>455</v>
      </c>
      <c r="P14" s="195" t="s">
        <v>455</v>
      </c>
      <c r="Q14" s="195" t="s">
        <v>400</v>
      </c>
      <c r="R14" s="195" t="s">
        <v>608</v>
      </c>
      <c r="S14" s="195" t="s">
        <v>456</v>
      </c>
      <c r="T14" s="195" t="s">
        <v>455</v>
      </c>
      <c r="U14" s="196">
        <v>42826</v>
      </c>
      <c r="V14" s="197">
        <v>43190</v>
      </c>
      <c r="W14" s="198" t="s">
        <v>97</v>
      </c>
      <c r="X14" s="196">
        <v>42826</v>
      </c>
      <c r="Y14" s="197">
        <v>43190</v>
      </c>
      <c r="Z14" s="195" t="s">
        <v>401</v>
      </c>
      <c r="AA14" s="195" t="s">
        <v>454</v>
      </c>
      <c r="AB14" s="195" t="s">
        <v>453</v>
      </c>
      <c r="AC14" s="195" t="s">
        <v>452</v>
      </c>
      <c r="AD14" s="195" t="s">
        <v>451</v>
      </c>
      <c r="AE14" s="195" t="s">
        <v>450</v>
      </c>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row>
    <row r="15" spans="2:57">
      <c r="B15" s="193"/>
      <c r="C15" s="193"/>
      <c r="D15" s="193"/>
      <c r="E15" s="193"/>
      <c r="F15" s="193"/>
      <c r="G15" s="193"/>
      <c r="H15" s="193"/>
      <c r="I15" s="193"/>
      <c r="J15" s="193"/>
      <c r="K15" s="193"/>
      <c r="L15" s="193"/>
      <c r="M15" s="189"/>
      <c r="N15" s="189"/>
      <c r="O15" s="189"/>
      <c r="P15" s="189"/>
      <c r="Q15" s="189"/>
      <c r="R15" s="189"/>
      <c r="S15" s="189"/>
      <c r="T15" s="189"/>
      <c r="U15" s="193"/>
      <c r="V15" s="193"/>
      <c r="W15" s="193"/>
      <c r="X15" s="193"/>
      <c r="Y15" s="193"/>
      <c r="Z15" s="189"/>
    </row>
    <row r="16" spans="2:57">
      <c r="B16" s="174" t="s">
        <v>449</v>
      </c>
      <c r="C16" s="292"/>
      <c r="T16" s="164"/>
      <c r="U16" s="164"/>
      <c r="V16" s="164"/>
    </row>
    <row r="17" spans="2:32" s="163" customFormat="1">
      <c r="B17" s="163" t="s">
        <v>607</v>
      </c>
      <c r="C17" s="294">
        <v>2005</v>
      </c>
      <c r="D17" s="163">
        <v>105</v>
      </c>
      <c r="E17" s="163">
        <v>6</v>
      </c>
      <c r="F17" s="178">
        <v>0</v>
      </c>
      <c r="G17" s="177" t="s">
        <v>491</v>
      </c>
      <c r="H17" s="163">
        <v>10</v>
      </c>
      <c r="I17" s="163">
        <f t="shared" ref="I17:I26" si="0">D17+H17</f>
        <v>115</v>
      </c>
      <c r="L17" s="175">
        <v>10893.01</v>
      </c>
      <c r="M17" s="175">
        <v>0</v>
      </c>
      <c r="N17" s="175">
        <f t="shared" ref="N17:N27" si="1">L17-(+L17*F17)</f>
        <v>10893.01</v>
      </c>
      <c r="O17" s="175">
        <f t="shared" ref="O17:O27" si="2">N17/H17/12</f>
        <v>90.775083333333328</v>
      </c>
      <c r="P17" s="175">
        <f>IF(Q17&gt;0,0,IF(OR(AA17&gt;AB17,AC17&lt;AD17),0,IF(AND(AC17&gt;=AD17,AC17&lt;=AB17),O17*((AC17-AD17)*12),IF(AND(AD17&lt;=AA17,AB17&gt;=AA17),((AB17-AA17)*12)*O17,IF(AC17&gt;AB17,12*O17,0)))))</f>
        <v>0</v>
      </c>
      <c r="Q17" s="175">
        <f t="shared" ref="Q17:Q27" si="3">IF(M17=0,0,IF(AND(AE17&gt;=AD17,AE17&lt;=AC17),((AE17-AD17)*12)*O17,0))</f>
        <v>0</v>
      </c>
      <c r="R17" s="175">
        <f t="shared" ref="R17:R27" si="4">IF(Q17&gt;0,Q17,P17)</f>
        <v>0</v>
      </c>
      <c r="S17" s="176">
        <v>1</v>
      </c>
      <c r="T17" s="175">
        <f t="shared" ref="T17:T27" si="5">S17*SUM(P17:Q17)</f>
        <v>0</v>
      </c>
      <c r="U17" s="175">
        <f>IF(AA17&gt;AB17,0,IF(AC17&lt;AD17,N17,IF(AND(AC17&gt;=AD17,AC17&lt;=AB17),(N17-R17),IF(AND(AD17&lt;=AA17,AB17&gt;=AA17),0,IF(AC17&gt;AB17,((AD17-AA17)*12)*O17,0)))))</f>
        <v>10893.01</v>
      </c>
      <c r="V17" s="175">
        <f t="shared" ref="V17:V27" si="6">U17*S17</f>
        <v>10893.01</v>
      </c>
      <c r="W17" s="176">
        <v>1</v>
      </c>
      <c r="X17" s="175">
        <f t="shared" ref="X17:X27" si="7">V17*W17</f>
        <v>10893.01</v>
      </c>
      <c r="Y17" s="175">
        <f t="shared" ref="Y17:Y27" si="8">IF(M17&gt;0,0,X17+T17*W17)*W17</f>
        <v>10893.01</v>
      </c>
      <c r="Z17" s="175">
        <f t="shared" ref="Z17:Z31" si="9">IF(M17&gt;0,(L17-X17)/2,IF(AA17&gt;=AD17,(((L17*S17)*W17)-Y17)/2,((((L17*S17)*W17)-X17)+(((L17*S17)*W17)-Y17))/2))</f>
        <v>0</v>
      </c>
      <c r="AA17" s="175">
        <f t="shared" ref="AA17:AA40" si="10">$D17+(($E17-1)/12)</f>
        <v>105.41666666666667</v>
      </c>
      <c r="AB17" s="175">
        <f t="shared" ref="AB17:AB40" si="11">($B$10+1)-($B$7/12)</f>
        <v>118.25</v>
      </c>
      <c r="AC17" s="175">
        <f t="shared" ref="AC17:AC40" si="12">$I17+(($E17-1)/12)</f>
        <v>115.41666666666667</v>
      </c>
      <c r="AD17" s="175">
        <f t="shared" ref="AD17:AD40" si="13">$B$9+($B$8/12)</f>
        <v>117.25</v>
      </c>
      <c r="AE17" s="175">
        <f t="shared" ref="AE17:AE40" si="14">$J17+(($K17-1)/12)</f>
        <v>-8.3333333333333329E-2</v>
      </c>
      <c r="AF17" s="175">
        <f t="shared" ref="AF17:AF38" si="15">L17-((X17+Y17)/2)-Z17</f>
        <v>0</v>
      </c>
    </row>
    <row r="18" spans="2:32" s="163" customFormat="1">
      <c r="B18" s="163" t="s">
        <v>606</v>
      </c>
      <c r="C18" s="294">
        <v>2005</v>
      </c>
      <c r="D18" s="163">
        <v>105</v>
      </c>
      <c r="E18" s="163">
        <v>6</v>
      </c>
      <c r="F18" s="178">
        <v>0</v>
      </c>
      <c r="G18" s="177" t="s">
        <v>491</v>
      </c>
      <c r="H18" s="163">
        <v>10</v>
      </c>
      <c r="I18" s="163">
        <f t="shared" si="0"/>
        <v>115</v>
      </c>
      <c r="L18" s="175">
        <v>4106.99</v>
      </c>
      <c r="M18" s="175">
        <v>0</v>
      </c>
      <c r="N18" s="175">
        <f t="shared" si="1"/>
        <v>4106.99</v>
      </c>
      <c r="O18" s="175">
        <f t="shared" si="2"/>
        <v>34.224916666666665</v>
      </c>
      <c r="P18" s="175">
        <f>IF(Q18&gt;0,0,IF(OR(AA18&gt;AB18,AC18&lt;AD18),0,IF(AND(AC18&gt;=AD18,AC18&lt;=AB18),O18*((AC18-AD18)*12),IF(AND(AD18&lt;=AA18,AB18&gt;=AA18),((AB18-AA18)*12)*O18,IF(AC18&gt;AB18,12*O18,0)))))</f>
        <v>0</v>
      </c>
      <c r="Q18" s="175">
        <f t="shared" si="3"/>
        <v>0</v>
      </c>
      <c r="R18" s="175">
        <f t="shared" si="4"/>
        <v>0</v>
      </c>
      <c r="S18" s="176">
        <v>1</v>
      </c>
      <c r="T18" s="175">
        <f t="shared" si="5"/>
        <v>0</v>
      </c>
      <c r="U18" s="175">
        <f>IF(AA18&gt;AB18,0,IF(AC18&lt;AD18,N18,IF(AND(AC18&gt;=AD18,AC18&lt;=AB18),(N18-R18),IF(AND(AD18&lt;=AA18,AB18&gt;=AA18),0,IF(AC18&gt;AB18,((AD18-AA18)*12)*O18,0)))))</f>
        <v>4106.99</v>
      </c>
      <c r="V18" s="175">
        <f t="shared" si="6"/>
        <v>4106.99</v>
      </c>
      <c r="W18" s="176">
        <v>1</v>
      </c>
      <c r="X18" s="175">
        <f t="shared" si="7"/>
        <v>4106.99</v>
      </c>
      <c r="Y18" s="175">
        <f t="shared" si="8"/>
        <v>4106.99</v>
      </c>
      <c r="Z18" s="175">
        <f t="shared" si="9"/>
        <v>0</v>
      </c>
      <c r="AA18" s="175">
        <f t="shared" si="10"/>
        <v>105.41666666666667</v>
      </c>
      <c r="AB18" s="175">
        <f t="shared" si="11"/>
        <v>118.25</v>
      </c>
      <c r="AC18" s="175">
        <f t="shared" si="12"/>
        <v>115.41666666666667</v>
      </c>
      <c r="AD18" s="175">
        <f t="shared" si="13"/>
        <v>117.25</v>
      </c>
      <c r="AE18" s="175">
        <f t="shared" si="14"/>
        <v>-8.3333333333333329E-2</v>
      </c>
      <c r="AF18" s="175">
        <f t="shared" si="15"/>
        <v>0</v>
      </c>
    </row>
    <row r="19" spans="2:32" s="163" customFormat="1">
      <c r="B19" s="163" t="s">
        <v>605</v>
      </c>
      <c r="C19" s="294">
        <v>2007</v>
      </c>
      <c r="D19" s="163">
        <v>107</v>
      </c>
      <c r="E19" s="163">
        <v>7</v>
      </c>
      <c r="F19" s="178">
        <v>0</v>
      </c>
      <c r="G19" s="177" t="s">
        <v>491</v>
      </c>
      <c r="H19" s="163">
        <v>10</v>
      </c>
      <c r="I19" s="163">
        <f t="shared" si="0"/>
        <v>117</v>
      </c>
      <c r="L19" s="175">
        <v>20778.919999999998</v>
      </c>
      <c r="M19" s="175">
        <v>0</v>
      </c>
      <c r="N19" s="175">
        <f t="shared" si="1"/>
        <v>20778.919999999998</v>
      </c>
      <c r="O19" s="175">
        <f t="shared" si="2"/>
        <v>173.15766666666664</v>
      </c>
      <c r="P19" s="175">
        <f>IF(Q19&gt;0,0,IF(OR(AA19&gt;AB19,AC19&lt;AD19),0,IF(AND(AC19&gt;=AD19,AC19&lt;=AB19),O19*((AC19-AD19)*12),IF(AND(AD19&lt;=AA19,AB19&gt;=AA19),((AB19-AA19)*12)*O19,IF(AC19&gt;AB19,12*O19,0)))))</f>
        <v>519.47299999999996</v>
      </c>
      <c r="Q19" s="175">
        <f t="shared" si="3"/>
        <v>0</v>
      </c>
      <c r="R19" s="175">
        <f t="shared" si="4"/>
        <v>519.47299999999996</v>
      </c>
      <c r="S19" s="176">
        <v>1</v>
      </c>
      <c r="T19" s="175">
        <f t="shared" si="5"/>
        <v>519.47299999999996</v>
      </c>
      <c r="U19" s="175">
        <f>IF(AA19&gt;AB19,0,IF(AC19&lt;AD19,N19,IF(AND(AC19&gt;=AD19,AC19&lt;=AB19),(N19-R19),IF(AND(AD19&lt;=AA19,AB19&gt;=AA19),0,IF(AC19&gt;AB19,((AD19-AA19)*12)*O19,0)))))</f>
        <v>20259.447</v>
      </c>
      <c r="V19" s="175">
        <f t="shared" si="6"/>
        <v>20259.447</v>
      </c>
      <c r="W19" s="176">
        <v>1</v>
      </c>
      <c r="X19" s="175">
        <f t="shared" si="7"/>
        <v>20259.447</v>
      </c>
      <c r="Y19" s="175">
        <f t="shared" si="8"/>
        <v>20778.919999999998</v>
      </c>
      <c r="Z19" s="175">
        <f t="shared" si="9"/>
        <v>259.73649999999907</v>
      </c>
      <c r="AA19" s="175">
        <f t="shared" si="10"/>
        <v>107.5</v>
      </c>
      <c r="AB19" s="175">
        <f t="shared" si="11"/>
        <v>118.25</v>
      </c>
      <c r="AC19" s="175">
        <f t="shared" si="12"/>
        <v>117.5</v>
      </c>
      <c r="AD19" s="175">
        <f t="shared" si="13"/>
        <v>117.25</v>
      </c>
      <c r="AE19" s="175">
        <f t="shared" si="14"/>
        <v>-8.3333333333333329E-2</v>
      </c>
      <c r="AF19" s="175">
        <f t="shared" si="15"/>
        <v>0</v>
      </c>
    </row>
    <row r="20" spans="2:32" s="163" customFormat="1">
      <c r="B20" s="163" t="s">
        <v>604</v>
      </c>
      <c r="C20" s="294">
        <v>2009</v>
      </c>
      <c r="D20" s="163">
        <v>109</v>
      </c>
      <c r="E20" s="163">
        <v>4</v>
      </c>
      <c r="F20" s="178">
        <v>0</v>
      </c>
      <c r="G20" s="177" t="s">
        <v>491</v>
      </c>
      <c r="H20" s="163">
        <v>10</v>
      </c>
      <c r="I20" s="163">
        <f t="shared" si="0"/>
        <v>119</v>
      </c>
      <c r="L20" s="175">
        <v>539.5</v>
      </c>
      <c r="M20" s="175">
        <v>0</v>
      </c>
      <c r="N20" s="175">
        <f t="shared" si="1"/>
        <v>539.5</v>
      </c>
      <c r="O20" s="175">
        <f t="shared" si="2"/>
        <v>4.4958333333333336</v>
      </c>
      <c r="P20" s="175">
        <f t="shared" ref="P20:P27" si="16">IF(Q20&gt;0,0,IF(OR(AA20&gt;AB20,AC20&lt;AD20),0,IF(AND(AC20&gt;=AD20,AC20&lt;=AB20),O20*((AC20-AD20)*12),IF(AND(AD20&lt;=AA20,AB20&gt;=AA20),((AB20-AA20)*12)*O20,IF(AC20&gt;AB20,12*O20,0)))))</f>
        <v>53.95</v>
      </c>
      <c r="Q20" s="175">
        <f t="shared" si="3"/>
        <v>0</v>
      </c>
      <c r="R20" s="175">
        <f t="shared" si="4"/>
        <v>53.95</v>
      </c>
      <c r="S20" s="176">
        <v>1</v>
      </c>
      <c r="T20" s="175">
        <f t="shared" si="5"/>
        <v>53.95</v>
      </c>
      <c r="U20" s="175">
        <f>IF(AA20&gt;AB20,0,IF(AC20&lt;AD20,N20,IF(AND(AC20&gt;=AD20,AC20&lt;=AB20),(N20-R20),IF(AND(AD20&lt;=AA20,AB20&gt;=AA20),0,IF(AC20&gt;AB20,((AD20-AA20)*12)*O20,0)))))</f>
        <v>431.6</v>
      </c>
      <c r="V20" s="175">
        <f t="shared" si="6"/>
        <v>431.6</v>
      </c>
      <c r="W20" s="176">
        <v>1</v>
      </c>
      <c r="X20" s="175">
        <f t="shared" si="7"/>
        <v>431.6</v>
      </c>
      <c r="Y20" s="175">
        <f t="shared" si="8"/>
        <v>485.55</v>
      </c>
      <c r="Z20" s="175">
        <f t="shared" si="9"/>
        <v>80.924999999999983</v>
      </c>
      <c r="AA20" s="175">
        <f t="shared" si="10"/>
        <v>109.25</v>
      </c>
      <c r="AB20" s="175">
        <f t="shared" si="11"/>
        <v>118.25</v>
      </c>
      <c r="AC20" s="175">
        <f t="shared" si="12"/>
        <v>119.25</v>
      </c>
      <c r="AD20" s="175">
        <f t="shared" si="13"/>
        <v>117.25</v>
      </c>
      <c r="AE20" s="175">
        <f t="shared" si="14"/>
        <v>-8.3333333333333329E-2</v>
      </c>
      <c r="AF20" s="175">
        <f t="shared" si="15"/>
        <v>0</v>
      </c>
    </row>
    <row r="21" spans="2:32" s="163" customFormat="1">
      <c r="B21" s="163" t="s">
        <v>603</v>
      </c>
      <c r="C21" s="294">
        <v>2009</v>
      </c>
      <c r="D21" s="163">
        <v>109</v>
      </c>
      <c r="E21" s="163">
        <v>4</v>
      </c>
      <c r="F21" s="178">
        <v>0</v>
      </c>
      <c r="G21" s="177" t="s">
        <v>491</v>
      </c>
      <c r="H21" s="163">
        <v>10</v>
      </c>
      <c r="I21" s="163">
        <f t="shared" si="0"/>
        <v>119</v>
      </c>
      <c r="L21" s="175">
        <v>695.96</v>
      </c>
      <c r="M21" s="175">
        <v>0</v>
      </c>
      <c r="N21" s="175">
        <f t="shared" si="1"/>
        <v>695.96</v>
      </c>
      <c r="O21" s="175">
        <f t="shared" si="2"/>
        <v>5.799666666666667</v>
      </c>
      <c r="P21" s="175">
        <f t="shared" si="16"/>
        <v>69.596000000000004</v>
      </c>
      <c r="Q21" s="175">
        <f t="shared" si="3"/>
        <v>0</v>
      </c>
      <c r="R21" s="175">
        <f t="shared" si="4"/>
        <v>69.596000000000004</v>
      </c>
      <c r="S21" s="176">
        <v>1</v>
      </c>
      <c r="T21" s="175">
        <f t="shared" si="5"/>
        <v>69.596000000000004</v>
      </c>
      <c r="U21" s="175">
        <f t="shared" ref="U21:U27" si="17">IF(AA21&gt;AB21,0,IF(AC21&lt;AD21,N21,IF(AND(AC21&gt;=AD21,AC21&lt;=AB21),(N21-R21),IF(AND(AD21&lt;=AA21,AB21&gt;=AA21),0,IF(AC21&gt;AB21,((AD21-AA21)*12)*O21,0)))))</f>
        <v>556.76800000000003</v>
      </c>
      <c r="V21" s="175">
        <f t="shared" si="6"/>
        <v>556.76800000000003</v>
      </c>
      <c r="W21" s="176">
        <v>1</v>
      </c>
      <c r="X21" s="175">
        <f t="shared" si="7"/>
        <v>556.76800000000003</v>
      </c>
      <c r="Y21" s="175">
        <f t="shared" si="8"/>
        <v>626.36400000000003</v>
      </c>
      <c r="Z21" s="175">
        <f t="shared" si="9"/>
        <v>104.39400000000001</v>
      </c>
      <c r="AA21" s="175">
        <f t="shared" si="10"/>
        <v>109.25</v>
      </c>
      <c r="AB21" s="175">
        <f t="shared" si="11"/>
        <v>118.25</v>
      </c>
      <c r="AC21" s="175">
        <f t="shared" si="12"/>
        <v>119.25</v>
      </c>
      <c r="AD21" s="175">
        <f t="shared" si="13"/>
        <v>117.25</v>
      </c>
      <c r="AE21" s="175">
        <f t="shared" si="14"/>
        <v>-8.3333333333333329E-2</v>
      </c>
      <c r="AF21" s="175">
        <f t="shared" si="15"/>
        <v>0</v>
      </c>
    </row>
    <row r="22" spans="2:32" s="163" customFormat="1">
      <c r="B22" s="163" t="s">
        <v>602</v>
      </c>
      <c r="C22" s="294">
        <v>2009</v>
      </c>
      <c r="D22" s="163">
        <v>109</v>
      </c>
      <c r="E22" s="163">
        <v>4</v>
      </c>
      <c r="F22" s="178">
        <v>0</v>
      </c>
      <c r="G22" s="177" t="s">
        <v>491</v>
      </c>
      <c r="H22" s="163">
        <v>10</v>
      </c>
      <c r="I22" s="163">
        <f t="shared" si="0"/>
        <v>119</v>
      </c>
      <c r="L22" s="175">
        <v>900.97</v>
      </c>
      <c r="M22" s="175">
        <v>0</v>
      </c>
      <c r="N22" s="175">
        <f t="shared" si="1"/>
        <v>900.97</v>
      </c>
      <c r="O22" s="175">
        <f t="shared" si="2"/>
        <v>7.5080833333333343</v>
      </c>
      <c r="P22" s="175">
        <f t="shared" si="16"/>
        <v>90.097000000000008</v>
      </c>
      <c r="Q22" s="175">
        <f t="shared" si="3"/>
        <v>0</v>
      </c>
      <c r="R22" s="175">
        <f t="shared" si="4"/>
        <v>90.097000000000008</v>
      </c>
      <c r="S22" s="176">
        <v>1</v>
      </c>
      <c r="T22" s="175">
        <f t="shared" si="5"/>
        <v>90.097000000000008</v>
      </c>
      <c r="U22" s="175">
        <f t="shared" si="17"/>
        <v>720.77600000000007</v>
      </c>
      <c r="V22" s="175">
        <f t="shared" si="6"/>
        <v>720.77600000000007</v>
      </c>
      <c r="W22" s="176">
        <v>1</v>
      </c>
      <c r="X22" s="175">
        <f t="shared" si="7"/>
        <v>720.77600000000007</v>
      </c>
      <c r="Y22" s="175">
        <f t="shared" si="8"/>
        <v>810.87300000000005</v>
      </c>
      <c r="Z22" s="175">
        <f t="shared" si="9"/>
        <v>135.14549999999997</v>
      </c>
      <c r="AA22" s="175">
        <f t="shared" si="10"/>
        <v>109.25</v>
      </c>
      <c r="AB22" s="175">
        <f t="shared" si="11"/>
        <v>118.25</v>
      </c>
      <c r="AC22" s="175">
        <f t="shared" si="12"/>
        <v>119.25</v>
      </c>
      <c r="AD22" s="175">
        <f t="shared" si="13"/>
        <v>117.25</v>
      </c>
      <c r="AE22" s="175">
        <f t="shared" si="14"/>
        <v>-8.3333333333333329E-2</v>
      </c>
      <c r="AF22" s="175">
        <f t="shared" si="15"/>
        <v>0</v>
      </c>
    </row>
    <row r="23" spans="2:32" s="163" customFormat="1">
      <c r="B23" s="163" t="s">
        <v>601</v>
      </c>
      <c r="C23" s="294">
        <v>2009</v>
      </c>
      <c r="D23" s="163">
        <v>109</v>
      </c>
      <c r="E23" s="163">
        <v>4</v>
      </c>
      <c r="F23" s="178">
        <v>0</v>
      </c>
      <c r="G23" s="177" t="s">
        <v>491</v>
      </c>
      <c r="H23" s="163">
        <v>10</v>
      </c>
      <c r="I23" s="163">
        <f t="shared" si="0"/>
        <v>119</v>
      </c>
      <c r="L23" s="175">
        <v>1640.08</v>
      </c>
      <c r="M23" s="175">
        <v>0</v>
      </c>
      <c r="N23" s="175">
        <f t="shared" si="1"/>
        <v>1640.08</v>
      </c>
      <c r="O23" s="175">
        <f t="shared" si="2"/>
        <v>13.667333333333332</v>
      </c>
      <c r="P23" s="175">
        <f t="shared" si="16"/>
        <v>164.00799999999998</v>
      </c>
      <c r="Q23" s="175">
        <f t="shared" si="3"/>
        <v>0</v>
      </c>
      <c r="R23" s="175">
        <f t="shared" si="4"/>
        <v>164.00799999999998</v>
      </c>
      <c r="S23" s="176">
        <v>1</v>
      </c>
      <c r="T23" s="175">
        <f t="shared" si="5"/>
        <v>164.00799999999998</v>
      </c>
      <c r="U23" s="175">
        <f t="shared" si="17"/>
        <v>1312.0639999999999</v>
      </c>
      <c r="V23" s="175">
        <f t="shared" si="6"/>
        <v>1312.0639999999999</v>
      </c>
      <c r="W23" s="176">
        <v>1</v>
      </c>
      <c r="X23" s="175">
        <f t="shared" si="7"/>
        <v>1312.0639999999999</v>
      </c>
      <c r="Y23" s="175">
        <f t="shared" si="8"/>
        <v>1476.0719999999999</v>
      </c>
      <c r="Z23" s="175">
        <f t="shared" si="9"/>
        <v>246.01200000000006</v>
      </c>
      <c r="AA23" s="175">
        <f t="shared" si="10"/>
        <v>109.25</v>
      </c>
      <c r="AB23" s="175">
        <f t="shared" si="11"/>
        <v>118.25</v>
      </c>
      <c r="AC23" s="175">
        <f t="shared" si="12"/>
        <v>119.25</v>
      </c>
      <c r="AD23" s="175">
        <f t="shared" si="13"/>
        <v>117.25</v>
      </c>
      <c r="AE23" s="175">
        <f t="shared" si="14"/>
        <v>-8.3333333333333329E-2</v>
      </c>
      <c r="AF23" s="175">
        <f t="shared" si="15"/>
        <v>0</v>
      </c>
    </row>
    <row r="24" spans="2:32" s="163" customFormat="1">
      <c r="B24" s="163" t="s">
        <v>600</v>
      </c>
      <c r="C24" s="294">
        <v>2010</v>
      </c>
      <c r="D24" s="163">
        <v>110</v>
      </c>
      <c r="E24" s="163">
        <v>6</v>
      </c>
      <c r="F24" s="178">
        <v>0</v>
      </c>
      <c r="G24" s="177" t="s">
        <v>491</v>
      </c>
      <c r="H24" s="163">
        <v>10</v>
      </c>
      <c r="I24" s="163">
        <f t="shared" si="0"/>
        <v>120</v>
      </c>
      <c r="L24" s="175">
        <v>3223.45</v>
      </c>
      <c r="M24" s="175">
        <v>0</v>
      </c>
      <c r="N24" s="175">
        <f t="shared" si="1"/>
        <v>3223.45</v>
      </c>
      <c r="O24" s="175">
        <f t="shared" si="2"/>
        <v>26.862083333333331</v>
      </c>
      <c r="P24" s="175">
        <f t="shared" si="16"/>
        <v>322.34499999999997</v>
      </c>
      <c r="Q24" s="175">
        <f t="shared" si="3"/>
        <v>0</v>
      </c>
      <c r="R24" s="175">
        <f t="shared" si="4"/>
        <v>322.34499999999997</v>
      </c>
      <c r="S24" s="176">
        <v>1</v>
      </c>
      <c r="T24" s="175">
        <f t="shared" si="5"/>
        <v>322.34499999999997</v>
      </c>
      <c r="U24" s="175">
        <f t="shared" si="17"/>
        <v>2202.6908333333317</v>
      </c>
      <c r="V24" s="175">
        <f t="shared" si="6"/>
        <v>2202.6908333333317</v>
      </c>
      <c r="W24" s="176">
        <v>1</v>
      </c>
      <c r="X24" s="175">
        <f t="shared" si="7"/>
        <v>2202.6908333333317</v>
      </c>
      <c r="Y24" s="175">
        <f t="shared" si="8"/>
        <v>2525.0358333333315</v>
      </c>
      <c r="Z24" s="175">
        <f t="shared" si="9"/>
        <v>859.58666666666818</v>
      </c>
      <c r="AA24" s="175">
        <f t="shared" si="10"/>
        <v>110.41666666666667</v>
      </c>
      <c r="AB24" s="175">
        <f t="shared" si="11"/>
        <v>118.25</v>
      </c>
      <c r="AC24" s="175">
        <f t="shared" si="12"/>
        <v>120.41666666666667</v>
      </c>
      <c r="AD24" s="175">
        <f t="shared" si="13"/>
        <v>117.25</v>
      </c>
      <c r="AE24" s="175">
        <f t="shared" si="14"/>
        <v>-8.3333333333333329E-2</v>
      </c>
      <c r="AF24" s="175">
        <f t="shared" si="15"/>
        <v>0</v>
      </c>
    </row>
    <row r="25" spans="2:32" s="163" customFormat="1">
      <c r="B25" s="163" t="s">
        <v>599</v>
      </c>
      <c r="C25" s="294">
        <v>2010</v>
      </c>
      <c r="D25" s="163">
        <v>110</v>
      </c>
      <c r="E25" s="163">
        <v>7</v>
      </c>
      <c r="F25" s="178">
        <v>0</v>
      </c>
      <c r="G25" s="177" t="s">
        <v>491</v>
      </c>
      <c r="H25" s="163">
        <v>10</v>
      </c>
      <c r="I25" s="163">
        <f t="shared" si="0"/>
        <v>120</v>
      </c>
      <c r="L25" s="175">
        <v>2381.4299999999998</v>
      </c>
      <c r="M25" s="175">
        <v>0</v>
      </c>
      <c r="N25" s="175">
        <f t="shared" si="1"/>
        <v>2381.4299999999998</v>
      </c>
      <c r="O25" s="175">
        <f t="shared" si="2"/>
        <v>19.845249999999997</v>
      </c>
      <c r="P25" s="175">
        <f t="shared" si="16"/>
        <v>238.14299999999997</v>
      </c>
      <c r="Q25" s="175">
        <f t="shared" si="3"/>
        <v>0</v>
      </c>
      <c r="R25" s="175">
        <f t="shared" si="4"/>
        <v>238.14299999999997</v>
      </c>
      <c r="S25" s="176">
        <v>1</v>
      </c>
      <c r="T25" s="175">
        <f t="shared" si="5"/>
        <v>238.14299999999997</v>
      </c>
      <c r="U25" s="175">
        <f t="shared" si="17"/>
        <v>1607.4652499999997</v>
      </c>
      <c r="V25" s="175">
        <f t="shared" si="6"/>
        <v>1607.4652499999997</v>
      </c>
      <c r="W25" s="176">
        <v>1</v>
      </c>
      <c r="X25" s="175">
        <f t="shared" si="7"/>
        <v>1607.4652499999997</v>
      </c>
      <c r="Y25" s="175">
        <f t="shared" si="8"/>
        <v>1845.6082499999998</v>
      </c>
      <c r="Z25" s="175">
        <f t="shared" si="9"/>
        <v>654.89325000000008</v>
      </c>
      <c r="AA25" s="175">
        <f t="shared" si="10"/>
        <v>110.5</v>
      </c>
      <c r="AB25" s="175">
        <f t="shared" si="11"/>
        <v>118.25</v>
      </c>
      <c r="AC25" s="175">
        <f t="shared" si="12"/>
        <v>120.5</v>
      </c>
      <c r="AD25" s="175">
        <f t="shared" si="13"/>
        <v>117.25</v>
      </c>
      <c r="AE25" s="175">
        <f t="shared" si="14"/>
        <v>-8.3333333333333329E-2</v>
      </c>
      <c r="AF25" s="175">
        <f t="shared" si="15"/>
        <v>0</v>
      </c>
    </row>
    <row r="26" spans="2:32" s="163" customFormat="1">
      <c r="B26" s="163" t="s">
        <v>598</v>
      </c>
      <c r="C26" s="163">
        <v>2010</v>
      </c>
      <c r="D26" s="163">
        <v>110</v>
      </c>
      <c r="E26" s="163">
        <v>8</v>
      </c>
      <c r="F26" s="178">
        <v>0</v>
      </c>
      <c r="G26" s="177" t="s">
        <v>491</v>
      </c>
      <c r="H26" s="163">
        <v>10</v>
      </c>
      <c r="I26" s="163">
        <f t="shared" si="0"/>
        <v>120</v>
      </c>
      <c r="L26" s="175">
        <v>6832.23</v>
      </c>
      <c r="M26" s="175">
        <v>0</v>
      </c>
      <c r="N26" s="175">
        <f t="shared" si="1"/>
        <v>6832.23</v>
      </c>
      <c r="O26" s="175">
        <f t="shared" si="2"/>
        <v>56.935249999999996</v>
      </c>
      <c r="P26" s="175">
        <f t="shared" si="16"/>
        <v>683.22299999999996</v>
      </c>
      <c r="Q26" s="175">
        <f t="shared" si="3"/>
        <v>0</v>
      </c>
      <c r="R26" s="175">
        <f t="shared" si="4"/>
        <v>683.22299999999996</v>
      </c>
      <c r="S26" s="176">
        <v>1</v>
      </c>
      <c r="T26" s="175">
        <f t="shared" si="5"/>
        <v>683.22299999999996</v>
      </c>
      <c r="U26" s="175">
        <f t="shared" si="17"/>
        <v>4554.8200000000033</v>
      </c>
      <c r="V26" s="175">
        <f t="shared" si="6"/>
        <v>4554.8200000000033</v>
      </c>
      <c r="W26" s="176">
        <v>1</v>
      </c>
      <c r="X26" s="175">
        <f t="shared" si="7"/>
        <v>4554.8200000000033</v>
      </c>
      <c r="Y26" s="175">
        <f t="shared" si="8"/>
        <v>5238.0430000000033</v>
      </c>
      <c r="Z26" s="175">
        <f t="shared" si="9"/>
        <v>1935.7984999999962</v>
      </c>
      <c r="AA26" s="175">
        <f t="shared" si="10"/>
        <v>110.58333333333333</v>
      </c>
      <c r="AB26" s="175">
        <f t="shared" si="11"/>
        <v>118.25</v>
      </c>
      <c r="AC26" s="175">
        <f t="shared" si="12"/>
        <v>120.58333333333333</v>
      </c>
      <c r="AD26" s="175">
        <f t="shared" si="13"/>
        <v>117.25</v>
      </c>
      <c r="AE26" s="175">
        <f t="shared" si="14"/>
        <v>-8.3333333333333329E-2</v>
      </c>
      <c r="AF26" s="175">
        <f t="shared" si="15"/>
        <v>0</v>
      </c>
    </row>
    <row r="27" spans="2:32" s="163" customFormat="1">
      <c r="B27" s="163" t="s">
        <v>597</v>
      </c>
      <c r="C27" s="294">
        <v>2013</v>
      </c>
      <c r="D27" s="163">
        <v>113</v>
      </c>
      <c r="E27" s="163">
        <v>6</v>
      </c>
      <c r="F27" s="178">
        <v>0</v>
      </c>
      <c r="G27" s="177" t="s">
        <v>491</v>
      </c>
      <c r="H27" s="163">
        <v>10</v>
      </c>
      <c r="I27" s="163">
        <f>D27+H27</f>
        <v>123</v>
      </c>
      <c r="L27" s="175">
        <v>8639.61</v>
      </c>
      <c r="M27" s="175">
        <v>0</v>
      </c>
      <c r="N27" s="175">
        <f t="shared" si="1"/>
        <v>8639.61</v>
      </c>
      <c r="O27" s="175">
        <f t="shared" si="2"/>
        <v>71.996750000000006</v>
      </c>
      <c r="P27" s="175">
        <f t="shared" si="16"/>
        <v>863.96100000000001</v>
      </c>
      <c r="Q27" s="175">
        <f t="shared" si="3"/>
        <v>0</v>
      </c>
      <c r="R27" s="175">
        <f t="shared" si="4"/>
        <v>863.96100000000001</v>
      </c>
      <c r="S27" s="176">
        <v>1</v>
      </c>
      <c r="T27" s="175">
        <f t="shared" si="5"/>
        <v>863.96100000000001</v>
      </c>
      <c r="U27" s="175">
        <f t="shared" si="17"/>
        <v>3311.8504999999964</v>
      </c>
      <c r="V27" s="175">
        <f t="shared" si="6"/>
        <v>3311.8504999999964</v>
      </c>
      <c r="W27" s="176">
        <v>1</v>
      </c>
      <c r="X27" s="175">
        <f t="shared" si="7"/>
        <v>3311.8504999999964</v>
      </c>
      <c r="Y27" s="175">
        <f t="shared" si="8"/>
        <v>4175.8114999999962</v>
      </c>
      <c r="Z27" s="175">
        <f t="shared" si="9"/>
        <v>4895.7790000000041</v>
      </c>
      <c r="AA27" s="175">
        <f t="shared" si="10"/>
        <v>113.41666666666667</v>
      </c>
      <c r="AB27" s="175">
        <f t="shared" si="11"/>
        <v>118.25</v>
      </c>
      <c r="AC27" s="175">
        <f t="shared" si="12"/>
        <v>123.41666666666667</v>
      </c>
      <c r="AD27" s="175">
        <f t="shared" si="13"/>
        <v>117.25</v>
      </c>
      <c r="AE27" s="175">
        <f t="shared" si="14"/>
        <v>-8.3333333333333329E-2</v>
      </c>
      <c r="AF27" s="175">
        <f t="shared" si="15"/>
        <v>0</v>
      </c>
    </row>
    <row r="28" spans="2:32" s="163" customFormat="1">
      <c r="B28" s="163" t="s">
        <v>597</v>
      </c>
      <c r="C28" s="294">
        <v>2013</v>
      </c>
      <c r="D28" s="163">
        <v>113</v>
      </c>
      <c r="E28" s="163">
        <v>7</v>
      </c>
      <c r="F28" s="178">
        <v>0</v>
      </c>
      <c r="G28" s="177" t="s">
        <v>491</v>
      </c>
      <c r="H28" s="163">
        <v>10</v>
      </c>
      <c r="I28" s="163">
        <f t="shared" ref="I28:I38" si="18">D28+H28</f>
        <v>123</v>
      </c>
      <c r="L28" s="175">
        <v>8639.61</v>
      </c>
      <c r="M28" s="175">
        <v>0</v>
      </c>
      <c r="N28" s="175">
        <f t="shared" ref="N28:N39" si="19">L28-(+L28*F28)</f>
        <v>8639.61</v>
      </c>
      <c r="O28" s="175">
        <f t="shared" ref="O28:O39" si="20">N28/H28/12</f>
        <v>71.996750000000006</v>
      </c>
      <c r="P28" s="175">
        <f t="shared" ref="P28:P36" si="21">IF(Q28&gt;0,0,IF(OR(AA28&gt;AB28,AC28&lt;AD28),0,IF(AND(AC28&gt;=AD28,AC28&lt;=AB28),O28*((AC28-AD28)*12),IF(AND(AD28&lt;=AA28,AB28&gt;=AA28),((AB28-AA28)*12)*O28,IF(AC28&gt;AB28,12*O28,0)))))</f>
        <v>863.96100000000001</v>
      </c>
      <c r="Q28" s="175">
        <f t="shared" ref="Q28:Q36" si="22">IF(M28=0,0,IF(AND(AE28&gt;=AD28,AE28&lt;=AC28),((AE28-AD28)*12)*O28,0))</f>
        <v>0</v>
      </c>
      <c r="R28" s="175">
        <f t="shared" ref="R28:R36" si="23">IF(Q28&gt;0,Q28,P28)</f>
        <v>863.96100000000001</v>
      </c>
      <c r="S28" s="176">
        <v>1</v>
      </c>
      <c r="T28" s="175">
        <f t="shared" ref="T28:T36" si="24">S28*SUM(P28:Q28)</f>
        <v>863.96100000000001</v>
      </c>
      <c r="U28" s="175">
        <f t="shared" ref="U28:U36" si="25">IF(AA28&gt;AB28,0,IF(AC28&lt;AD28,N28,IF(AND(AC28&gt;=AD28,AC28&lt;=AB28),(N28-R28),IF(AND(AD28&lt;=AA28,AB28&gt;=AA28),0,IF(AC28&gt;AB28,((AD28-AA28)*12)*O28,0)))))</f>
        <v>3239.8537500000002</v>
      </c>
      <c r="V28" s="175">
        <f t="shared" ref="V28:V36" si="26">U28*S28</f>
        <v>3239.8537500000002</v>
      </c>
      <c r="W28" s="176">
        <v>1</v>
      </c>
      <c r="X28" s="175">
        <f t="shared" ref="X28:X36" si="27">V28*W28</f>
        <v>3239.8537500000002</v>
      </c>
      <c r="Y28" s="175">
        <f t="shared" ref="Y28:Y36" si="28">IF(M28&gt;0,0,X28+T28*W28)*W28</f>
        <v>4103.8147500000005</v>
      </c>
      <c r="Z28" s="175">
        <f t="shared" si="9"/>
        <v>4967.7757500000007</v>
      </c>
      <c r="AA28" s="175">
        <f t="shared" si="10"/>
        <v>113.5</v>
      </c>
      <c r="AB28" s="175">
        <f t="shared" si="11"/>
        <v>118.25</v>
      </c>
      <c r="AC28" s="175">
        <f t="shared" si="12"/>
        <v>123.5</v>
      </c>
      <c r="AD28" s="175">
        <f t="shared" si="13"/>
        <v>117.25</v>
      </c>
      <c r="AE28" s="175">
        <f t="shared" si="14"/>
        <v>-8.3333333333333329E-2</v>
      </c>
      <c r="AF28" s="175">
        <f t="shared" si="15"/>
        <v>0</v>
      </c>
    </row>
    <row r="29" spans="2:32" s="163" customFormat="1">
      <c r="B29" s="163" t="s">
        <v>854</v>
      </c>
      <c r="C29" s="294">
        <v>2013</v>
      </c>
      <c r="D29" s="163">
        <v>113</v>
      </c>
      <c r="E29" s="163">
        <v>10</v>
      </c>
      <c r="F29" s="178">
        <v>0</v>
      </c>
      <c r="G29" s="177" t="s">
        <v>491</v>
      </c>
      <c r="H29" s="163">
        <v>10</v>
      </c>
      <c r="I29" s="163">
        <f t="shared" si="18"/>
        <v>123</v>
      </c>
      <c r="L29" s="175">
        <v>8501.76</v>
      </c>
      <c r="M29" s="175">
        <v>0</v>
      </c>
      <c r="N29" s="175">
        <f t="shared" si="19"/>
        <v>8501.76</v>
      </c>
      <c r="O29" s="175">
        <f t="shared" si="20"/>
        <v>70.847999999999999</v>
      </c>
      <c r="P29" s="175">
        <f t="shared" si="21"/>
        <v>850.17599999999993</v>
      </c>
      <c r="Q29" s="175">
        <f t="shared" si="22"/>
        <v>0</v>
      </c>
      <c r="R29" s="175">
        <f t="shared" si="23"/>
        <v>850.17599999999993</v>
      </c>
      <c r="S29" s="176">
        <v>1</v>
      </c>
      <c r="T29" s="175">
        <f t="shared" si="24"/>
        <v>850.17599999999993</v>
      </c>
      <c r="U29" s="175">
        <f t="shared" si="25"/>
        <v>2975.616</v>
      </c>
      <c r="V29" s="175">
        <f t="shared" si="26"/>
        <v>2975.616</v>
      </c>
      <c r="W29" s="176">
        <v>1</v>
      </c>
      <c r="X29" s="175">
        <f t="shared" si="27"/>
        <v>2975.616</v>
      </c>
      <c r="Y29" s="175">
        <f t="shared" si="28"/>
        <v>3825.7919999999999</v>
      </c>
      <c r="Z29" s="175">
        <f t="shared" si="9"/>
        <v>5101.0560000000005</v>
      </c>
      <c r="AA29" s="175">
        <f t="shared" si="10"/>
        <v>113.75</v>
      </c>
      <c r="AB29" s="175">
        <f t="shared" si="11"/>
        <v>118.25</v>
      </c>
      <c r="AC29" s="175">
        <f t="shared" si="12"/>
        <v>123.75</v>
      </c>
      <c r="AD29" s="175">
        <f t="shared" si="13"/>
        <v>117.25</v>
      </c>
      <c r="AE29" s="175">
        <f t="shared" si="14"/>
        <v>-8.3333333333333329E-2</v>
      </c>
      <c r="AF29" s="175">
        <f t="shared" si="15"/>
        <v>0</v>
      </c>
    </row>
    <row r="30" spans="2:32" s="163" customFormat="1">
      <c r="B30" s="163" t="s">
        <v>597</v>
      </c>
      <c r="C30" s="294">
        <v>2014</v>
      </c>
      <c r="D30" s="163">
        <v>114</v>
      </c>
      <c r="E30" s="163">
        <v>2</v>
      </c>
      <c r="F30" s="178">
        <v>0</v>
      </c>
      <c r="G30" s="177" t="s">
        <v>491</v>
      </c>
      <c r="H30" s="163">
        <v>10</v>
      </c>
      <c r="I30" s="163">
        <f t="shared" si="18"/>
        <v>124</v>
      </c>
      <c r="L30" s="175">
        <v>8617.7099999999991</v>
      </c>
      <c r="M30" s="175">
        <v>0</v>
      </c>
      <c r="N30" s="175">
        <f t="shared" si="19"/>
        <v>8617.7099999999991</v>
      </c>
      <c r="O30" s="175">
        <f t="shared" si="20"/>
        <v>71.814250000000001</v>
      </c>
      <c r="P30" s="175">
        <f t="shared" si="21"/>
        <v>861.77099999999996</v>
      </c>
      <c r="Q30" s="175">
        <f t="shared" si="22"/>
        <v>0</v>
      </c>
      <c r="R30" s="175">
        <f t="shared" si="23"/>
        <v>861.77099999999996</v>
      </c>
      <c r="S30" s="176">
        <v>1</v>
      </c>
      <c r="T30" s="175">
        <f t="shared" si="24"/>
        <v>861.77099999999996</v>
      </c>
      <c r="U30" s="175">
        <f t="shared" si="25"/>
        <v>2728.941500000004</v>
      </c>
      <c r="V30" s="175">
        <f t="shared" si="26"/>
        <v>2728.941500000004</v>
      </c>
      <c r="W30" s="176">
        <v>1</v>
      </c>
      <c r="X30" s="175">
        <f t="shared" si="27"/>
        <v>2728.941500000004</v>
      </c>
      <c r="Y30" s="175">
        <f t="shared" si="28"/>
        <v>3590.7125000000042</v>
      </c>
      <c r="Z30" s="175">
        <f t="shared" si="9"/>
        <v>5457.8829999999944</v>
      </c>
      <c r="AA30" s="175">
        <f t="shared" si="10"/>
        <v>114.08333333333333</v>
      </c>
      <c r="AB30" s="175">
        <f t="shared" si="11"/>
        <v>118.25</v>
      </c>
      <c r="AC30" s="175">
        <f t="shared" si="12"/>
        <v>124.08333333333333</v>
      </c>
      <c r="AD30" s="175">
        <f t="shared" si="13"/>
        <v>117.25</v>
      </c>
      <c r="AE30" s="175">
        <f t="shared" si="14"/>
        <v>-8.3333333333333329E-2</v>
      </c>
      <c r="AF30" s="175">
        <f t="shared" si="15"/>
        <v>0</v>
      </c>
    </row>
    <row r="31" spans="2:32" s="163" customFormat="1">
      <c r="B31" s="163" t="s">
        <v>597</v>
      </c>
      <c r="C31" s="294">
        <v>2014</v>
      </c>
      <c r="D31" s="163">
        <v>114</v>
      </c>
      <c r="E31" s="163">
        <v>7</v>
      </c>
      <c r="F31" s="178">
        <v>0</v>
      </c>
      <c r="G31" s="177" t="s">
        <v>491</v>
      </c>
      <c r="H31" s="163">
        <v>10</v>
      </c>
      <c r="I31" s="163">
        <f t="shared" si="18"/>
        <v>124</v>
      </c>
      <c r="L31" s="175">
        <v>7329.78</v>
      </c>
      <c r="M31" s="175">
        <v>0</v>
      </c>
      <c r="N31" s="175">
        <f t="shared" si="19"/>
        <v>7329.78</v>
      </c>
      <c r="O31" s="175">
        <f t="shared" si="20"/>
        <v>61.081499999999998</v>
      </c>
      <c r="P31" s="175">
        <f t="shared" si="21"/>
        <v>732.97799999999995</v>
      </c>
      <c r="Q31" s="175">
        <f t="shared" si="22"/>
        <v>0</v>
      </c>
      <c r="R31" s="175">
        <f t="shared" si="23"/>
        <v>732.97799999999995</v>
      </c>
      <c r="S31" s="176">
        <v>1</v>
      </c>
      <c r="T31" s="175">
        <f t="shared" si="24"/>
        <v>732.97799999999995</v>
      </c>
      <c r="U31" s="175">
        <f t="shared" si="25"/>
        <v>2015.6895</v>
      </c>
      <c r="V31" s="175">
        <f t="shared" si="26"/>
        <v>2015.6895</v>
      </c>
      <c r="W31" s="176">
        <v>1</v>
      </c>
      <c r="X31" s="175">
        <f t="shared" si="27"/>
        <v>2015.6895</v>
      </c>
      <c r="Y31" s="175">
        <f t="shared" si="28"/>
        <v>2748.6675</v>
      </c>
      <c r="Z31" s="175">
        <f t="shared" si="9"/>
        <v>4947.6014999999998</v>
      </c>
      <c r="AA31" s="175">
        <f t="shared" si="10"/>
        <v>114.5</v>
      </c>
      <c r="AB31" s="175">
        <f t="shared" si="11"/>
        <v>118.25</v>
      </c>
      <c r="AC31" s="175">
        <f t="shared" si="12"/>
        <v>124.5</v>
      </c>
      <c r="AD31" s="175">
        <f t="shared" si="13"/>
        <v>117.25</v>
      </c>
      <c r="AE31" s="175">
        <f t="shared" si="14"/>
        <v>-8.3333333333333329E-2</v>
      </c>
      <c r="AF31" s="175">
        <f t="shared" si="15"/>
        <v>0</v>
      </c>
    </row>
    <row r="32" spans="2:32" s="163" customFormat="1">
      <c r="B32" s="163" t="s">
        <v>597</v>
      </c>
      <c r="C32" s="294">
        <v>2017</v>
      </c>
      <c r="D32" s="163">
        <v>117</v>
      </c>
      <c r="E32" s="163">
        <v>5</v>
      </c>
      <c r="F32" s="178">
        <v>0</v>
      </c>
      <c r="G32" s="177" t="s">
        <v>491</v>
      </c>
      <c r="H32" s="163">
        <v>10</v>
      </c>
      <c r="I32" s="163">
        <f t="shared" si="18"/>
        <v>127</v>
      </c>
      <c r="L32" s="175">
        <v>6613.56</v>
      </c>
      <c r="M32" s="175">
        <v>0</v>
      </c>
      <c r="N32" s="175">
        <f t="shared" si="19"/>
        <v>6613.56</v>
      </c>
      <c r="O32" s="175">
        <f t="shared" si="20"/>
        <v>55.113</v>
      </c>
      <c r="P32" s="175">
        <f t="shared" si="21"/>
        <v>606.24300000000312</v>
      </c>
      <c r="Q32" s="175">
        <f t="shared" si="22"/>
        <v>0</v>
      </c>
      <c r="R32" s="175">
        <f t="shared" si="23"/>
        <v>606.24300000000312</v>
      </c>
      <c r="S32" s="176">
        <v>1</v>
      </c>
      <c r="T32" s="175">
        <f t="shared" si="24"/>
        <v>606.24300000000312</v>
      </c>
      <c r="U32" s="175">
        <f t="shared" si="25"/>
        <v>0</v>
      </c>
      <c r="V32" s="175">
        <f t="shared" si="26"/>
        <v>0</v>
      </c>
      <c r="W32" s="176">
        <v>1</v>
      </c>
      <c r="X32" s="175">
        <f t="shared" si="27"/>
        <v>0</v>
      </c>
      <c r="Y32" s="175">
        <f t="shared" si="28"/>
        <v>606.24300000000312</v>
      </c>
      <c r="Z32" s="175">
        <f t="shared" ref="Z32:Z38" si="29">L32-((+X32+Y32)/2)</f>
        <v>6310.4384999999984</v>
      </c>
      <c r="AA32" s="175">
        <f t="shared" si="10"/>
        <v>117.33333333333333</v>
      </c>
      <c r="AB32" s="175">
        <f t="shared" si="11"/>
        <v>118.25</v>
      </c>
      <c r="AC32" s="175">
        <f t="shared" si="12"/>
        <v>127.33333333333333</v>
      </c>
      <c r="AD32" s="175">
        <f t="shared" si="13"/>
        <v>117.25</v>
      </c>
      <c r="AE32" s="175">
        <f t="shared" si="14"/>
        <v>-8.3333333333333329E-2</v>
      </c>
      <c r="AF32" s="175">
        <f t="shared" si="15"/>
        <v>0</v>
      </c>
    </row>
    <row r="33" spans="1:37" s="163" customFormat="1">
      <c r="B33" s="163" t="s">
        <v>853</v>
      </c>
      <c r="C33" s="294">
        <v>2017</v>
      </c>
      <c r="D33" s="163">
        <v>117</v>
      </c>
      <c r="E33" s="163">
        <v>5</v>
      </c>
      <c r="F33" s="178">
        <v>0</v>
      </c>
      <c r="G33" s="177" t="s">
        <v>491</v>
      </c>
      <c r="H33" s="163">
        <v>10</v>
      </c>
      <c r="I33" s="163">
        <f t="shared" si="18"/>
        <v>127</v>
      </c>
      <c r="L33" s="175">
        <v>8211.2800000000007</v>
      </c>
      <c r="M33" s="175">
        <v>0</v>
      </c>
      <c r="N33" s="175">
        <f t="shared" si="19"/>
        <v>8211.2800000000007</v>
      </c>
      <c r="O33" s="175">
        <f t="shared" si="20"/>
        <v>68.427333333333337</v>
      </c>
      <c r="P33" s="175">
        <f t="shared" si="21"/>
        <v>752.7006666666706</v>
      </c>
      <c r="Q33" s="175">
        <f t="shared" si="22"/>
        <v>0</v>
      </c>
      <c r="R33" s="175">
        <f t="shared" si="23"/>
        <v>752.7006666666706</v>
      </c>
      <c r="S33" s="176">
        <v>1</v>
      </c>
      <c r="T33" s="175">
        <f t="shared" si="24"/>
        <v>752.7006666666706</v>
      </c>
      <c r="U33" s="175">
        <f t="shared" si="25"/>
        <v>0</v>
      </c>
      <c r="V33" s="175">
        <f t="shared" si="26"/>
        <v>0</v>
      </c>
      <c r="W33" s="176">
        <v>1</v>
      </c>
      <c r="X33" s="175">
        <f t="shared" si="27"/>
        <v>0</v>
      </c>
      <c r="Y33" s="175">
        <f t="shared" si="28"/>
        <v>752.7006666666706</v>
      </c>
      <c r="Z33" s="175">
        <f t="shared" si="29"/>
        <v>7834.9296666666651</v>
      </c>
      <c r="AA33" s="175">
        <f t="shared" si="10"/>
        <v>117.33333333333333</v>
      </c>
      <c r="AB33" s="175">
        <f t="shared" si="11"/>
        <v>118.25</v>
      </c>
      <c r="AC33" s="175">
        <f t="shared" si="12"/>
        <v>127.33333333333333</v>
      </c>
      <c r="AD33" s="175">
        <f t="shared" si="13"/>
        <v>117.25</v>
      </c>
      <c r="AE33" s="175">
        <f t="shared" si="14"/>
        <v>-8.3333333333333329E-2</v>
      </c>
      <c r="AF33" s="175">
        <f t="shared" si="15"/>
        <v>0</v>
      </c>
    </row>
    <row r="34" spans="1:37" s="163" customFormat="1">
      <c r="B34" s="163" t="s">
        <v>852</v>
      </c>
      <c r="C34" s="294">
        <v>2017</v>
      </c>
      <c r="D34" s="163">
        <v>117</v>
      </c>
      <c r="E34" s="163">
        <v>11</v>
      </c>
      <c r="F34" s="178">
        <v>0</v>
      </c>
      <c r="G34" s="177" t="s">
        <v>491</v>
      </c>
      <c r="H34" s="163">
        <v>10</v>
      </c>
      <c r="I34" s="163">
        <f t="shared" si="18"/>
        <v>127</v>
      </c>
      <c r="L34" s="175">
        <v>7920.48</v>
      </c>
      <c r="M34" s="175">
        <v>0</v>
      </c>
      <c r="N34" s="175">
        <f t="shared" si="19"/>
        <v>7920.48</v>
      </c>
      <c r="O34" s="175">
        <f t="shared" si="20"/>
        <v>66.004000000000005</v>
      </c>
      <c r="P34" s="175">
        <f t="shared" si="21"/>
        <v>330.02000000000379</v>
      </c>
      <c r="Q34" s="175">
        <f t="shared" si="22"/>
        <v>0</v>
      </c>
      <c r="R34" s="175">
        <f t="shared" si="23"/>
        <v>330.02000000000379</v>
      </c>
      <c r="S34" s="176">
        <v>1</v>
      </c>
      <c r="T34" s="175">
        <f t="shared" si="24"/>
        <v>330.02000000000379</v>
      </c>
      <c r="U34" s="175">
        <f t="shared" si="25"/>
        <v>0</v>
      </c>
      <c r="V34" s="175">
        <f t="shared" si="26"/>
        <v>0</v>
      </c>
      <c r="W34" s="176">
        <v>1</v>
      </c>
      <c r="X34" s="175">
        <f t="shared" si="27"/>
        <v>0</v>
      </c>
      <c r="Y34" s="175">
        <f t="shared" si="28"/>
        <v>330.02000000000379</v>
      </c>
      <c r="Z34" s="175">
        <f t="shared" si="29"/>
        <v>7755.4699999999975</v>
      </c>
      <c r="AA34" s="175">
        <f t="shared" si="10"/>
        <v>117.83333333333333</v>
      </c>
      <c r="AB34" s="175">
        <f t="shared" si="11"/>
        <v>118.25</v>
      </c>
      <c r="AC34" s="175">
        <f t="shared" si="12"/>
        <v>127.83333333333333</v>
      </c>
      <c r="AD34" s="175">
        <f t="shared" si="13"/>
        <v>117.25</v>
      </c>
      <c r="AE34" s="175">
        <f t="shared" si="14"/>
        <v>-8.3333333333333329E-2</v>
      </c>
      <c r="AF34" s="175">
        <f t="shared" si="15"/>
        <v>0</v>
      </c>
    </row>
    <row r="35" spans="1:37" s="163" customFormat="1">
      <c r="B35" s="163" t="s">
        <v>851</v>
      </c>
      <c r="C35" s="294">
        <v>2017</v>
      </c>
      <c r="D35" s="163">
        <v>117</v>
      </c>
      <c r="E35" s="163">
        <v>12</v>
      </c>
      <c r="F35" s="178">
        <v>0</v>
      </c>
      <c r="G35" s="177" t="s">
        <v>491</v>
      </c>
      <c r="H35" s="163">
        <v>10</v>
      </c>
      <c r="I35" s="163">
        <f t="shared" si="18"/>
        <v>127</v>
      </c>
      <c r="L35" s="175">
        <v>2928.03</v>
      </c>
      <c r="M35" s="175">
        <v>0</v>
      </c>
      <c r="N35" s="175">
        <f t="shared" si="19"/>
        <v>2928.03</v>
      </c>
      <c r="O35" s="175">
        <f t="shared" si="20"/>
        <v>24.40025</v>
      </c>
      <c r="P35" s="175">
        <f t="shared" si="21"/>
        <v>97.600999999998606</v>
      </c>
      <c r="Q35" s="175">
        <f t="shared" si="22"/>
        <v>0</v>
      </c>
      <c r="R35" s="175">
        <f t="shared" si="23"/>
        <v>97.600999999998606</v>
      </c>
      <c r="S35" s="176">
        <v>1</v>
      </c>
      <c r="T35" s="175">
        <f t="shared" si="24"/>
        <v>97.600999999998606</v>
      </c>
      <c r="U35" s="175">
        <f t="shared" si="25"/>
        <v>0</v>
      </c>
      <c r="V35" s="175">
        <f t="shared" si="26"/>
        <v>0</v>
      </c>
      <c r="W35" s="176">
        <v>1</v>
      </c>
      <c r="X35" s="175">
        <f t="shared" si="27"/>
        <v>0</v>
      </c>
      <c r="Y35" s="175">
        <f t="shared" si="28"/>
        <v>97.600999999998606</v>
      </c>
      <c r="Z35" s="175">
        <f t="shared" si="29"/>
        <v>2879.2295000000008</v>
      </c>
      <c r="AA35" s="175">
        <f t="shared" si="10"/>
        <v>117.91666666666667</v>
      </c>
      <c r="AB35" s="175">
        <f t="shared" si="11"/>
        <v>118.25</v>
      </c>
      <c r="AC35" s="175">
        <f t="shared" si="12"/>
        <v>127.91666666666667</v>
      </c>
      <c r="AD35" s="175">
        <f t="shared" si="13"/>
        <v>117.25</v>
      </c>
      <c r="AE35" s="175">
        <f t="shared" si="14"/>
        <v>-8.3333333333333329E-2</v>
      </c>
      <c r="AF35" s="175">
        <f t="shared" si="15"/>
        <v>0</v>
      </c>
    </row>
    <row r="36" spans="1:37" s="163" customFormat="1">
      <c r="B36" s="163" t="s">
        <v>850</v>
      </c>
      <c r="C36" s="294">
        <v>2018</v>
      </c>
      <c r="D36" s="163">
        <v>118</v>
      </c>
      <c r="E36" s="163">
        <v>1</v>
      </c>
      <c r="F36" s="178">
        <v>0</v>
      </c>
      <c r="G36" s="177" t="s">
        <v>491</v>
      </c>
      <c r="H36" s="163">
        <v>10</v>
      </c>
      <c r="I36" s="163">
        <f t="shared" si="18"/>
        <v>128</v>
      </c>
      <c r="L36" s="175">
        <v>7920.48</v>
      </c>
      <c r="M36" s="175">
        <v>0</v>
      </c>
      <c r="N36" s="175">
        <f t="shared" si="19"/>
        <v>7920.48</v>
      </c>
      <c r="O36" s="175">
        <f t="shared" si="20"/>
        <v>66.004000000000005</v>
      </c>
      <c r="P36" s="175">
        <f t="shared" si="21"/>
        <v>198.012</v>
      </c>
      <c r="Q36" s="175">
        <f t="shared" si="22"/>
        <v>0</v>
      </c>
      <c r="R36" s="175">
        <f t="shared" si="23"/>
        <v>198.012</v>
      </c>
      <c r="S36" s="176">
        <v>1</v>
      </c>
      <c r="T36" s="175">
        <f t="shared" si="24"/>
        <v>198.012</v>
      </c>
      <c r="U36" s="175">
        <f t="shared" si="25"/>
        <v>0</v>
      </c>
      <c r="V36" s="175">
        <f t="shared" si="26"/>
        <v>0</v>
      </c>
      <c r="W36" s="176">
        <v>1</v>
      </c>
      <c r="X36" s="175">
        <f t="shared" si="27"/>
        <v>0</v>
      </c>
      <c r="Y36" s="175">
        <f t="shared" si="28"/>
        <v>198.012</v>
      </c>
      <c r="Z36" s="175">
        <f t="shared" si="29"/>
        <v>7821.4739999999993</v>
      </c>
      <c r="AA36" s="175">
        <f t="shared" si="10"/>
        <v>118</v>
      </c>
      <c r="AB36" s="175">
        <f t="shared" si="11"/>
        <v>118.25</v>
      </c>
      <c r="AC36" s="175">
        <f t="shared" si="12"/>
        <v>128</v>
      </c>
      <c r="AD36" s="175">
        <f t="shared" si="13"/>
        <v>117.25</v>
      </c>
      <c r="AE36" s="175">
        <f t="shared" si="14"/>
        <v>-8.3333333333333329E-2</v>
      </c>
      <c r="AF36" s="175">
        <f t="shared" si="15"/>
        <v>0</v>
      </c>
    </row>
    <row r="37" spans="1:37" s="163" customFormat="1">
      <c r="B37" s="163" t="s">
        <v>919</v>
      </c>
      <c r="C37" s="294">
        <v>2018</v>
      </c>
      <c r="D37" s="163">
        <v>118</v>
      </c>
      <c r="E37" s="163">
        <v>2</v>
      </c>
      <c r="F37" s="178">
        <v>0</v>
      </c>
      <c r="G37" s="177" t="s">
        <v>491</v>
      </c>
      <c r="H37" s="163">
        <v>10</v>
      </c>
      <c r="I37" s="163">
        <f t="shared" si="18"/>
        <v>128</v>
      </c>
      <c r="L37" s="175">
        <v>6727.06</v>
      </c>
      <c r="M37" s="175"/>
      <c r="N37" s="175">
        <f t="shared" si="19"/>
        <v>6727.06</v>
      </c>
      <c r="O37" s="175">
        <f t="shared" si="20"/>
        <v>56.058833333333332</v>
      </c>
      <c r="P37" s="175">
        <f>IF(Q37&gt;0,0,IF(OR(AA37&gt;AB37,AC37&lt;AD37),0,IF(AND(AC37&gt;=AD37,AC37&lt;=AB37),O37*((AC37-AD37)*12),IF(AND(AD37&lt;=AA37,AB37&gt;=AA37),((AB37-AA37)*12)*O37,IF(AC37&gt;AB37,12*O37,0)))))</f>
        <v>112.11766666666985</v>
      </c>
      <c r="Q37" s="175">
        <f>IF(M37=0,0,IF(AND(AE37&gt;=AD37,AE37&lt;=AC37),((AE37-AD37)*12)*O37,0))</f>
        <v>0</v>
      </c>
      <c r="R37" s="175">
        <f>IF(Q37&gt;0,Q37,P37)</f>
        <v>112.11766666666985</v>
      </c>
      <c r="S37" s="176">
        <v>1</v>
      </c>
      <c r="T37" s="175">
        <f>S37*SUM(P37:Q37)</f>
        <v>112.11766666666985</v>
      </c>
      <c r="U37" s="175">
        <f>IF(AA37&gt;AB37,0,IF(AC37&lt;AD37,N37,IF(AND(AC37&gt;=AD37,AC37&lt;=AB37),(N37-R37),IF(AND(AD37&lt;=AA37,AB37&gt;=AA37),0,IF(AC37&gt;AB37,((AD37-AA37)*12)*O37,0)))))</f>
        <v>0</v>
      </c>
      <c r="V37" s="175">
        <f>U37*S37</f>
        <v>0</v>
      </c>
      <c r="W37" s="176">
        <v>1</v>
      </c>
      <c r="X37" s="175">
        <f>V37*W37</f>
        <v>0</v>
      </c>
      <c r="Y37" s="175">
        <f>IF(M37&gt;0,0,X37+T37*W37)*W37</f>
        <v>112.11766666666985</v>
      </c>
      <c r="Z37" s="175">
        <f t="shared" si="29"/>
        <v>6671.0011666666651</v>
      </c>
      <c r="AA37" s="175">
        <f t="shared" si="10"/>
        <v>118.08333333333333</v>
      </c>
      <c r="AB37" s="175">
        <f t="shared" si="11"/>
        <v>118.25</v>
      </c>
      <c r="AC37" s="175">
        <f t="shared" si="12"/>
        <v>128.08333333333334</v>
      </c>
      <c r="AD37" s="175">
        <f t="shared" si="13"/>
        <v>117.25</v>
      </c>
      <c r="AE37" s="175">
        <f t="shared" si="14"/>
        <v>-8.3333333333333329E-2</v>
      </c>
      <c r="AF37" s="175">
        <f t="shared" si="15"/>
        <v>0</v>
      </c>
    </row>
    <row r="38" spans="1:37" s="163" customFormat="1">
      <c r="B38" s="163" t="s">
        <v>920</v>
      </c>
      <c r="C38" s="294">
        <v>2018</v>
      </c>
      <c r="D38" s="163">
        <v>118</v>
      </c>
      <c r="E38" s="163">
        <v>3</v>
      </c>
      <c r="F38" s="178">
        <v>0</v>
      </c>
      <c r="G38" s="177" t="s">
        <v>491</v>
      </c>
      <c r="H38" s="163">
        <v>10</v>
      </c>
      <c r="I38" s="163">
        <f t="shared" si="18"/>
        <v>128</v>
      </c>
      <c r="L38" s="175">
        <v>15840.98</v>
      </c>
      <c r="M38" s="175"/>
      <c r="N38" s="175">
        <f t="shared" si="19"/>
        <v>15840.98</v>
      </c>
      <c r="O38" s="175">
        <f t="shared" si="20"/>
        <v>132.00816666666665</v>
      </c>
      <c r="P38" s="175">
        <f>IF(Q38&gt;0,0,IF(OR(AA38&gt;AB38,AC38&lt;AD38),0,IF(AND(AC38&gt;=AD38,AC38&lt;=AB38),O38*((AC38-AD38)*12),IF(AND(AD38&lt;=AA38,AB38&gt;=AA38),((AB38-AA38)*12)*O38,IF(AC38&gt;AB38,12*O38,0)))))</f>
        <v>132.00816666665915</v>
      </c>
      <c r="Q38" s="175">
        <f>IF(M38=0,0,IF(AND(AE38&gt;=AD38,AE38&lt;=AC38),((AE38-AD38)*12)*O38,0))</f>
        <v>0</v>
      </c>
      <c r="R38" s="175">
        <f>IF(Q38&gt;0,Q38,P38)</f>
        <v>132.00816666665915</v>
      </c>
      <c r="S38" s="176">
        <v>1</v>
      </c>
      <c r="T38" s="175">
        <f>S38*SUM(P38:Q38)</f>
        <v>132.00816666665915</v>
      </c>
      <c r="U38" s="175">
        <f>IF(AA38&gt;AB38,0,IF(AC38&lt;AD38,N38,IF(AND(AC38&gt;=AD38,AC38&lt;=AB38),(N38-R38),IF(AND(AD38&lt;=AA38,AB38&gt;=AA38),0,IF(AC38&gt;AB38,((AD38-AA38)*12)*O38,0)))))</f>
        <v>0</v>
      </c>
      <c r="V38" s="175">
        <f>U38*S38</f>
        <v>0</v>
      </c>
      <c r="W38" s="176">
        <v>1</v>
      </c>
      <c r="X38" s="175">
        <f>V38*W38</f>
        <v>0</v>
      </c>
      <c r="Y38" s="175">
        <f>IF(M38&gt;0,0,X38+T38*W38)*W38</f>
        <v>132.00816666665915</v>
      </c>
      <c r="Z38" s="175">
        <f t="shared" si="29"/>
        <v>15774.97591666667</v>
      </c>
      <c r="AA38" s="175">
        <f t="shared" si="10"/>
        <v>118.16666666666667</v>
      </c>
      <c r="AB38" s="175">
        <f t="shared" si="11"/>
        <v>118.25</v>
      </c>
      <c r="AC38" s="175">
        <f t="shared" si="12"/>
        <v>128.16666666666666</v>
      </c>
      <c r="AD38" s="175">
        <f t="shared" si="13"/>
        <v>117.25</v>
      </c>
      <c r="AE38" s="175">
        <f t="shared" si="14"/>
        <v>-8.3333333333333329E-2</v>
      </c>
      <c r="AF38" s="175">
        <f t="shared" si="15"/>
        <v>0</v>
      </c>
    </row>
    <row r="39" spans="1:37">
      <c r="A39" s="163"/>
      <c r="B39" s="163" t="s">
        <v>607</v>
      </c>
      <c r="C39" s="294">
        <v>2018</v>
      </c>
      <c r="D39" s="163">
        <v>118</v>
      </c>
      <c r="E39" s="163">
        <v>4</v>
      </c>
      <c r="F39" s="178">
        <v>0</v>
      </c>
      <c r="G39" s="177" t="s">
        <v>491</v>
      </c>
      <c r="H39" s="163">
        <v>11</v>
      </c>
      <c r="I39" s="163">
        <f t="shared" ref="I39" si="30">D39+H39</f>
        <v>129</v>
      </c>
      <c r="L39" s="184">
        <v>17209.52</v>
      </c>
      <c r="M39" s="175"/>
      <c r="N39" s="184">
        <f t="shared" si="19"/>
        <v>17209.52</v>
      </c>
      <c r="O39" s="184">
        <f t="shared" si="20"/>
        <v>130.37515151515152</v>
      </c>
      <c r="P39" s="175">
        <f>IF(Q39&gt;0,0,IF(OR(AA39&gt;AB39,AC39&lt;AD39),0,IF(AND(AC39&gt;=AD39,AC39&lt;=AB39),O39*((AC39-AD39)*12),IF(AND(AD39&lt;=AA39,AB39&gt;=AA39),((AB39-AA39)*12)*O39,IF(AC39&gt;AB39,12*O39,0)))))</f>
        <v>0</v>
      </c>
      <c r="Q39" s="184"/>
      <c r="R39" s="175">
        <f>IF(Q39&gt;0,Q39,P39)</f>
        <v>0</v>
      </c>
      <c r="S39" s="176">
        <v>2</v>
      </c>
      <c r="T39" s="175">
        <f>S39*SUM(P39:Q39)</f>
        <v>0</v>
      </c>
      <c r="U39" s="175">
        <f>IF(AA39&gt;AB39,0,IF(AC39&lt;AD39,N39,IF(AND(AC39&gt;=AD39,AC39&lt;=AB39),(N39-R39),IF(AND(AD39&lt;=AA39,AB39&gt;=AA39),0,IF(AC39&gt;AB39,((AD39-AA39)*12)*O39,0)))))</f>
        <v>0</v>
      </c>
      <c r="V39" s="175">
        <f>U39*S39</f>
        <v>0</v>
      </c>
      <c r="W39" s="176">
        <v>1</v>
      </c>
      <c r="X39" s="175">
        <f>V39*W39</f>
        <v>0</v>
      </c>
      <c r="Y39" s="175">
        <f>IF(M39&gt;0,0,X39+T39*W39)*W39</f>
        <v>0</v>
      </c>
      <c r="Z39" s="175">
        <f t="shared" ref="Z39" si="31">L39-((+X39+Y39)/2)</f>
        <v>17209.52</v>
      </c>
      <c r="AA39" s="175">
        <f t="shared" si="10"/>
        <v>118.25</v>
      </c>
      <c r="AB39" s="175">
        <f t="shared" si="11"/>
        <v>118.25</v>
      </c>
      <c r="AC39" s="175">
        <f t="shared" si="12"/>
        <v>129.25</v>
      </c>
      <c r="AD39" s="175">
        <f t="shared" si="13"/>
        <v>117.25</v>
      </c>
      <c r="AE39" s="175">
        <f t="shared" si="14"/>
        <v>-8.3333333333333329E-2</v>
      </c>
      <c r="AF39" s="184"/>
    </row>
    <row r="40" spans="1:37">
      <c r="A40" s="163"/>
      <c r="B40" s="183" t="s">
        <v>516</v>
      </c>
      <c r="C40" s="294"/>
      <c r="F40" s="178"/>
      <c r="G40" s="177"/>
      <c r="L40" s="175">
        <f>SUM(L17:L39)</f>
        <v>167092.39999999997</v>
      </c>
      <c r="M40" s="175"/>
      <c r="N40" s="175">
        <f>SUM(N17:N39)</f>
        <v>167092.39999999997</v>
      </c>
      <c r="O40" s="175">
        <f>SUM(O17:O39)</f>
        <v>1379.3991515151515</v>
      </c>
      <c r="P40" s="175">
        <f>SUM(P17:P38)</f>
        <v>8542.3845000000074</v>
      </c>
      <c r="Q40" s="175">
        <f>SUM(Q17:Q38)</f>
        <v>0</v>
      </c>
      <c r="R40" s="175">
        <f>SUM(R17:R38)</f>
        <v>8542.3845000000074</v>
      </c>
      <c r="S40" s="175"/>
      <c r="T40" s="175">
        <f>SUM(T17:T38)</f>
        <v>8542.3845000000074</v>
      </c>
      <c r="U40" s="175">
        <f>SUM(U17:U38)</f>
        <v>60917.582333333339</v>
      </c>
      <c r="V40" s="175">
        <f>SUM(V17:V38)</f>
        <v>60917.582333333339</v>
      </c>
      <c r="W40" s="175"/>
      <c r="X40" s="175">
        <f>SUM(X17:X38)</f>
        <v>60917.582333333339</v>
      </c>
      <c r="Y40" s="175">
        <f>SUM(Y17:Y38)</f>
        <v>69459.966833333339</v>
      </c>
      <c r="Z40" s="175">
        <f>SUM(Z17:Z38)</f>
        <v>84694.105416666658</v>
      </c>
      <c r="AA40" s="175">
        <f t="shared" si="10"/>
        <v>-8.3333333333333329E-2</v>
      </c>
      <c r="AB40" s="175">
        <f t="shared" si="11"/>
        <v>118.25</v>
      </c>
      <c r="AC40" s="175">
        <f t="shared" si="12"/>
        <v>-8.3333333333333329E-2</v>
      </c>
      <c r="AD40" s="175">
        <f t="shared" si="13"/>
        <v>117.25</v>
      </c>
      <c r="AE40" s="175">
        <f t="shared" si="14"/>
        <v>-8.3333333333333329E-2</v>
      </c>
      <c r="AF40" s="175">
        <f>SUM(AF17:AF38)</f>
        <v>0</v>
      </c>
    </row>
    <row r="41" spans="1:37">
      <c r="A41" s="163"/>
      <c r="C41" s="294"/>
      <c r="F41" s="178"/>
      <c r="G41" s="177"/>
      <c r="L41" s="175"/>
      <c r="M41" s="175"/>
      <c r="N41" s="175"/>
      <c r="O41" s="175"/>
      <c r="P41" s="175"/>
      <c r="Q41" s="175"/>
      <c r="R41" s="175"/>
      <c r="S41" s="176"/>
      <c r="T41" s="175"/>
      <c r="U41" s="175"/>
      <c r="V41" s="175"/>
      <c r="W41" s="176"/>
      <c r="X41" s="175"/>
      <c r="Y41" s="175"/>
      <c r="Z41" s="175"/>
      <c r="AA41" s="175"/>
      <c r="AB41" s="175"/>
      <c r="AC41" s="175"/>
      <c r="AD41" s="175"/>
      <c r="AE41" s="175"/>
      <c r="AF41" s="175"/>
    </row>
    <row r="42" spans="1:37" ht="16.5" thickBot="1">
      <c r="A42" s="163"/>
      <c r="B42" s="174" t="s">
        <v>596</v>
      </c>
      <c r="C42" s="295"/>
      <c r="K42" s="896" t="s">
        <v>966</v>
      </c>
      <c r="L42" s="173">
        <f>SUM(L40:L41)</f>
        <v>167092.39999999997</v>
      </c>
      <c r="M42" s="175"/>
      <c r="N42" s="173">
        <f>SUM(N40:N41)</f>
        <v>167092.39999999997</v>
      </c>
      <c r="O42" s="173">
        <f>SUM(O40:O41)</f>
        <v>1379.3991515151515</v>
      </c>
      <c r="P42" s="173">
        <f>SUM(P40:P41)</f>
        <v>8542.3845000000074</v>
      </c>
      <c r="Q42" s="173"/>
      <c r="R42" s="173">
        <f>SUM(R40:R41)</f>
        <v>8542.3845000000074</v>
      </c>
      <c r="S42" s="165"/>
      <c r="T42" s="173">
        <f>SUM(T40:T41)</f>
        <v>8542.3845000000074</v>
      </c>
      <c r="U42" s="173">
        <f>SUM(U40:U41)</f>
        <v>60917.582333333339</v>
      </c>
      <c r="V42" s="173">
        <f>SUM(V40:V41)</f>
        <v>60917.582333333339</v>
      </c>
      <c r="W42" s="165"/>
      <c r="X42" s="173">
        <f>SUM(X40:X41)</f>
        <v>60917.582333333339</v>
      </c>
      <c r="Y42" s="173">
        <f>SUM(Y40:Y41)</f>
        <v>69459.966833333339</v>
      </c>
      <c r="Z42" s="173">
        <f>SUM(Z40:Z41)</f>
        <v>84694.105416666658</v>
      </c>
      <c r="AA42" s="168"/>
      <c r="AB42" s="168"/>
      <c r="AC42" s="168"/>
      <c r="AD42" s="168"/>
      <c r="AE42" s="168"/>
      <c r="AF42" s="181">
        <f>SUM(AF40:AF41)</f>
        <v>0</v>
      </c>
      <c r="AG42" s="167"/>
      <c r="AH42" s="167"/>
      <c r="AI42" s="167"/>
      <c r="AJ42" s="167"/>
      <c r="AK42" s="167"/>
    </row>
    <row r="43" spans="1:37" ht="16.5" thickTop="1">
      <c r="C43" s="293"/>
      <c r="L43" s="168"/>
      <c r="M43" s="166"/>
      <c r="N43" s="166"/>
      <c r="O43" s="166"/>
      <c r="P43" s="166"/>
      <c r="Q43" s="166"/>
      <c r="R43" s="166"/>
      <c r="S43" s="167"/>
      <c r="T43" s="166"/>
      <c r="U43" s="166"/>
      <c r="V43" s="166"/>
      <c r="W43" s="167"/>
      <c r="X43" s="166"/>
      <c r="Y43" s="166"/>
      <c r="Z43" s="166"/>
      <c r="AA43" s="166"/>
      <c r="AB43" s="166"/>
      <c r="AC43" s="166"/>
      <c r="AD43" s="166"/>
      <c r="AE43" s="166"/>
      <c r="AF43" s="166"/>
      <c r="AG43" s="167"/>
      <c r="AH43" s="167"/>
      <c r="AI43" s="167"/>
      <c r="AJ43" s="167"/>
      <c r="AK43" s="167"/>
    </row>
    <row r="44" spans="1:37">
      <c r="B44" s="174" t="s">
        <v>250</v>
      </c>
      <c r="C44" s="292"/>
      <c r="L44" s="170"/>
      <c r="M44" s="164"/>
      <c r="N44" s="164"/>
      <c r="O44" s="164"/>
      <c r="P44" s="164"/>
      <c r="Q44" s="164"/>
      <c r="R44" s="164"/>
      <c r="T44" s="164"/>
      <c r="U44" s="164"/>
      <c r="V44" s="164"/>
      <c r="X44" s="164"/>
      <c r="Y44" s="164"/>
      <c r="Z44" s="164"/>
      <c r="AA44" s="164"/>
      <c r="AB44" s="164"/>
      <c r="AC44" s="164"/>
      <c r="AD44" s="164"/>
      <c r="AE44" s="164"/>
      <c r="AF44" s="164"/>
    </row>
    <row r="45" spans="1:37" s="163" customFormat="1">
      <c r="B45" s="163" t="s">
        <v>595</v>
      </c>
      <c r="C45" s="294">
        <v>2002</v>
      </c>
      <c r="D45" s="163">
        <v>102</v>
      </c>
      <c r="E45" s="163">
        <v>4</v>
      </c>
      <c r="F45" s="178">
        <v>0</v>
      </c>
      <c r="G45" s="177" t="s">
        <v>491</v>
      </c>
      <c r="H45" s="163">
        <v>10</v>
      </c>
      <c r="I45" s="163">
        <f>D45+H45</f>
        <v>112</v>
      </c>
      <c r="L45" s="168">
        <v>902.44</v>
      </c>
      <c r="M45" s="170">
        <v>0</v>
      </c>
      <c r="N45" s="168">
        <f>L45-(+L45*F45)</f>
        <v>902.44</v>
      </c>
      <c r="O45" s="168">
        <f>N45/H45/12</f>
        <v>7.5203333333333333</v>
      </c>
      <c r="P45" s="168">
        <f>IF(Q45&gt;0,0,IF(OR(AA45&gt;AB45,AC45&lt;AD45),0,IF(AND(AC45&gt;=AD45,AC45&lt;=AB45),O45*((AC45-AD45)*12),IF(AND(AD45&lt;=AA45,AB45&gt;=AA45),((AB45-AA45)*12)*O45,IF(AC45&gt;AB45,12*O45,0)))))</f>
        <v>0</v>
      </c>
      <c r="Q45" s="168">
        <f>IF(M45=0,0,IF(AND(AE45&gt;=AD45,AE45&lt;=AC45),((AE45-AD45)*12)*O45,0))</f>
        <v>0</v>
      </c>
      <c r="R45" s="168">
        <f>IF(Q45&gt;0,Q45,P45)</f>
        <v>0</v>
      </c>
      <c r="S45" s="179">
        <v>1</v>
      </c>
      <c r="T45" s="168">
        <f>S45*SUM(P45:Q45)</f>
        <v>0</v>
      </c>
      <c r="U45" s="168">
        <f>IF(AA45&gt;AB45,0,IF(AC45&lt;AD45,N45,IF(AND(AC45&gt;=AD45,AC45&lt;=AB45),(N45-R45),IF(AND(AD45&lt;=AA45,AB45&gt;=AA45),0,IF(AC45&gt;AB45,((AD45-AA45)*12)*O45,0)))))</f>
        <v>902.44</v>
      </c>
      <c r="V45" s="168">
        <f>U45*S45</f>
        <v>902.44</v>
      </c>
      <c r="W45" s="179">
        <v>1</v>
      </c>
      <c r="X45" s="168">
        <f>V45*W45</f>
        <v>902.44</v>
      </c>
      <c r="Y45" s="168">
        <f>IF(M45&gt;0,0,X45+T45*W45)*W45</f>
        <v>902.44</v>
      </c>
      <c r="Z45" s="168">
        <f>IF(M45&gt;0,(L45-X45)/2,IF(AA45&gt;=AD45,(((L45*S45)*W45)-Y45)/2,((((L45*S45)*W45)-X45)+(((L45*S45)*W45)-Y45))/2))</f>
        <v>0</v>
      </c>
      <c r="AA45" s="168">
        <f>$D45+(($E45-1)/12)</f>
        <v>102.25</v>
      </c>
      <c r="AB45" s="168">
        <f>($B$10+1)-($B$7/12)</f>
        <v>118.25</v>
      </c>
      <c r="AC45" s="168">
        <f>$I45+(($E45-1)/12)</f>
        <v>112.25</v>
      </c>
      <c r="AD45" s="168">
        <f>$B$9+($B$8/12)</f>
        <v>117.25</v>
      </c>
      <c r="AE45" s="168">
        <f>$J45+(($K45-1)/12)</f>
        <v>-8.3333333333333329E-2</v>
      </c>
      <c r="AF45" s="168">
        <f>L45-((X45+Y45)/2)-Z45</f>
        <v>0</v>
      </c>
      <c r="AG45" s="168"/>
      <c r="AH45" s="170"/>
      <c r="AI45" s="170"/>
    </row>
    <row r="46" spans="1:37" s="163" customFormat="1">
      <c r="B46" s="163" t="s">
        <v>592</v>
      </c>
      <c r="C46" s="294">
        <v>2005</v>
      </c>
      <c r="D46" s="163">
        <v>105</v>
      </c>
      <c r="E46" s="163">
        <v>8</v>
      </c>
      <c r="F46" s="178">
        <v>0</v>
      </c>
      <c r="G46" s="177" t="s">
        <v>491</v>
      </c>
      <c r="H46" s="163">
        <v>8</v>
      </c>
      <c r="I46" s="163">
        <f>D46+H46</f>
        <v>113</v>
      </c>
      <c r="L46" s="175">
        <v>722.56</v>
      </c>
      <c r="M46" s="186">
        <v>0</v>
      </c>
      <c r="N46" s="175">
        <f>L46-(+L46*F46)</f>
        <v>722.56</v>
      </c>
      <c r="O46" s="175">
        <f>N46/H46/12</f>
        <v>7.5266666666666664</v>
      </c>
      <c r="P46" s="175">
        <f>IF(Q46&gt;0,0,IF(OR(AA46&gt;AB46,AC46&lt;AD46),0,IF(AND(AC46&gt;=AD46,AC46&lt;=AB46),O46*((AC46-AD46)*12),IF(AND(AD46&lt;=AA46,AB46&gt;=AA46),((AB46-AA46)*12)*O46,IF(AC46&gt;AB46,12*O46,0)))))</f>
        <v>0</v>
      </c>
      <c r="Q46" s="175">
        <f>IF(M46=0,0,IF(AND(AE46&gt;=AD46,AE46&lt;=AC46),((AE46-AD46)*12)*O46,0))</f>
        <v>0</v>
      </c>
      <c r="R46" s="175">
        <f>IF(Q46&gt;0,Q46,P46)</f>
        <v>0</v>
      </c>
      <c r="S46" s="176">
        <v>1</v>
      </c>
      <c r="T46" s="175">
        <f>S46*SUM(P46:Q46)</f>
        <v>0</v>
      </c>
      <c r="U46" s="175">
        <f>IF(AA46&gt;AB46,0,IF(AC46&lt;AD46,N46,IF(AND(AC46&gt;=AD46,AC46&lt;=AB46),(N46-R46),IF(AND(AD46&lt;=AA46,AB46&gt;=AA46),0,IF(AC46&gt;AB46,((AD46-AA46)*12)*O46,0)))))</f>
        <v>722.56</v>
      </c>
      <c r="V46" s="175">
        <f>U46*S46</f>
        <v>722.56</v>
      </c>
      <c r="W46" s="176">
        <v>1</v>
      </c>
      <c r="X46" s="175">
        <f>V46*W46</f>
        <v>722.56</v>
      </c>
      <c r="Y46" s="175">
        <f>IF(M46&gt;0,0,X46+T46*W46)*W46</f>
        <v>722.56</v>
      </c>
      <c r="Z46" s="168">
        <f>IF(M46&gt;0,(L46-X46)/2,IF(AA46&gt;=AD46,(((L46*S46)*W46)-Y46)/2,((((L46*S46)*W46)-X46)+(((L46*S46)*W46)-Y46))/2))</f>
        <v>0</v>
      </c>
      <c r="AA46" s="175">
        <f>$D46+(($E46-1)/12)</f>
        <v>105.58333333333333</v>
      </c>
      <c r="AB46" s="175">
        <f>($B$10+1)-($B$7/12)</f>
        <v>118.25</v>
      </c>
      <c r="AC46" s="175">
        <f>$I46+(($E46-1)/12)</f>
        <v>113.58333333333333</v>
      </c>
      <c r="AD46" s="175">
        <f>$B$9+($B$8/12)</f>
        <v>117.25</v>
      </c>
      <c r="AE46" s="175">
        <f>$J46+(($K46-1)/12)</f>
        <v>-8.3333333333333329E-2</v>
      </c>
      <c r="AF46" s="175">
        <f>L46-((X46+Y46)/2)-Z46</f>
        <v>0</v>
      </c>
      <c r="AG46" s="168"/>
      <c r="AH46" s="170"/>
      <c r="AI46" s="170"/>
    </row>
    <row r="47" spans="1:37" s="163" customFormat="1">
      <c r="B47" s="163" t="s">
        <v>592</v>
      </c>
      <c r="C47" s="294">
        <v>2005</v>
      </c>
      <c r="D47" s="163">
        <v>105</v>
      </c>
      <c r="E47" s="163">
        <v>9</v>
      </c>
      <c r="F47" s="178">
        <v>0</v>
      </c>
      <c r="G47" s="177" t="s">
        <v>491</v>
      </c>
      <c r="H47" s="163">
        <v>8</v>
      </c>
      <c r="I47" s="163">
        <f t="shared" ref="I47:I78" si="32">D47+H47</f>
        <v>113</v>
      </c>
      <c r="L47" s="175">
        <v>722.56</v>
      </c>
      <c r="M47" s="186">
        <v>0</v>
      </c>
      <c r="N47" s="175">
        <f t="shared" ref="N47:N81" si="33">L47-(+L47*F47)</f>
        <v>722.56</v>
      </c>
      <c r="O47" s="175">
        <f t="shared" ref="O47:O78" si="34">N47/H47/12</f>
        <v>7.5266666666666664</v>
      </c>
      <c r="P47" s="175">
        <f t="shared" ref="P47:P78" si="35">IF(Q47&gt;0,0,IF(OR(AA47&gt;AB47,AC47&lt;AD47),0,IF(AND(AC47&gt;=AD47,AC47&lt;=AB47),O47*((AC47-AD47)*12),IF(AND(AD47&lt;=AA47,AB47&gt;=AA47),((AB47-AA47)*12)*O47,IF(AC47&gt;AB47,12*O47,0)))))</f>
        <v>0</v>
      </c>
      <c r="Q47" s="175">
        <f t="shared" ref="Q47:Q98" si="36">IF(M47=0,0,IF(AND(AE47&gt;=AD47,AE47&lt;=AC47),((AE47-AD47)*12)*O47,0))</f>
        <v>0</v>
      </c>
      <c r="R47" s="175">
        <f t="shared" ref="R47:R78" si="37">IF(Q47&gt;0,Q47,P47)</f>
        <v>0</v>
      </c>
      <c r="S47" s="176">
        <v>1</v>
      </c>
      <c r="T47" s="175">
        <f t="shared" ref="T47:T78" si="38">S47*SUM(P47:Q47)</f>
        <v>0</v>
      </c>
      <c r="U47" s="175">
        <f t="shared" ref="U47:U81" si="39">IF(AA47&gt;AB47,0,IF(AC47&lt;AD47,N47,IF(AND(AC47&gt;=AD47,AC47&lt;=AB47),(N47-R47),IF(AND(AD47&lt;=AA47,AB47&gt;=AA47),0,IF(AC47&gt;AB47,((AD47-AA47)*12)*O47,0)))))</f>
        <v>722.56</v>
      </c>
      <c r="V47" s="175">
        <f t="shared" ref="V47:V78" si="40">U47*S47</f>
        <v>722.56</v>
      </c>
      <c r="W47" s="176">
        <v>1</v>
      </c>
      <c r="X47" s="175">
        <f t="shared" ref="X47:X78" si="41">V47*W47</f>
        <v>722.56</v>
      </c>
      <c r="Y47" s="175">
        <f t="shared" ref="Y47:Y78" si="42">IF(M47&gt;0,0,X47+T47*W47)*W47</f>
        <v>722.56</v>
      </c>
      <c r="Z47" s="168">
        <f t="shared" ref="Z47:Z70" si="43">IF(M47&gt;0,(L47-X47)/2,IF(AA47&gt;=AD47,(((L47*S47)*W47)-Y47)/2,((((L47*S47)*W47)-X47)+(((L47*S47)*W47)-Y47))/2))</f>
        <v>0</v>
      </c>
      <c r="AA47" s="175">
        <f t="shared" ref="AA47:AA98" si="44">$D47+(($E47-1)/12)</f>
        <v>105.66666666666667</v>
      </c>
      <c r="AB47" s="175">
        <f t="shared" ref="AB47:AB98" si="45">($B$10+1)-($B$7/12)</f>
        <v>118.25</v>
      </c>
      <c r="AC47" s="175">
        <f t="shared" ref="AC47:AC98" si="46">$I47+(($E47-1)/12)</f>
        <v>113.66666666666667</v>
      </c>
      <c r="AD47" s="175">
        <f t="shared" ref="AD47:AD98" si="47">$B$9+($B$8/12)</f>
        <v>117.25</v>
      </c>
      <c r="AE47" s="175">
        <f t="shared" ref="AE47:AE98" si="48">$J47+(($K47-1)/12)</f>
        <v>-8.3333333333333329E-2</v>
      </c>
      <c r="AF47" s="175">
        <f t="shared" ref="AF47:AF98" si="49">L47-((X47+Y47)/2)-Z47</f>
        <v>0</v>
      </c>
      <c r="AG47" s="168"/>
      <c r="AH47" s="170"/>
      <c r="AI47" s="170"/>
    </row>
    <row r="48" spans="1:37" s="163" customFormat="1">
      <c r="B48" s="163" t="s">
        <v>592</v>
      </c>
      <c r="C48" s="294">
        <v>2005</v>
      </c>
      <c r="D48" s="163">
        <v>105</v>
      </c>
      <c r="E48" s="163">
        <v>10</v>
      </c>
      <c r="F48" s="178">
        <v>0</v>
      </c>
      <c r="G48" s="177" t="s">
        <v>491</v>
      </c>
      <c r="H48" s="163">
        <v>8</v>
      </c>
      <c r="I48" s="163">
        <f t="shared" si="32"/>
        <v>113</v>
      </c>
      <c r="L48" s="175">
        <v>707.78</v>
      </c>
      <c r="M48" s="186">
        <v>0</v>
      </c>
      <c r="N48" s="175">
        <f t="shared" si="33"/>
        <v>707.78</v>
      </c>
      <c r="O48" s="175">
        <f t="shared" si="34"/>
        <v>7.3727083333333328</v>
      </c>
      <c r="P48" s="175">
        <f t="shared" si="35"/>
        <v>0</v>
      </c>
      <c r="Q48" s="175">
        <f t="shared" si="36"/>
        <v>0</v>
      </c>
      <c r="R48" s="175">
        <f t="shared" si="37"/>
        <v>0</v>
      </c>
      <c r="S48" s="176">
        <v>1</v>
      </c>
      <c r="T48" s="175">
        <f t="shared" si="38"/>
        <v>0</v>
      </c>
      <c r="U48" s="175">
        <f t="shared" si="39"/>
        <v>707.78</v>
      </c>
      <c r="V48" s="175">
        <f t="shared" si="40"/>
        <v>707.78</v>
      </c>
      <c r="W48" s="176">
        <v>1</v>
      </c>
      <c r="X48" s="175">
        <f t="shared" si="41"/>
        <v>707.78</v>
      </c>
      <c r="Y48" s="175">
        <f t="shared" si="42"/>
        <v>707.78</v>
      </c>
      <c r="Z48" s="168">
        <f t="shared" si="43"/>
        <v>0</v>
      </c>
      <c r="AA48" s="175">
        <f t="shared" si="44"/>
        <v>105.75</v>
      </c>
      <c r="AB48" s="175">
        <f t="shared" si="45"/>
        <v>118.25</v>
      </c>
      <c r="AC48" s="175">
        <f t="shared" si="46"/>
        <v>113.75</v>
      </c>
      <c r="AD48" s="175">
        <f t="shared" si="47"/>
        <v>117.25</v>
      </c>
      <c r="AE48" s="175">
        <f t="shared" si="48"/>
        <v>-8.3333333333333329E-2</v>
      </c>
      <c r="AF48" s="175">
        <f t="shared" si="49"/>
        <v>0</v>
      </c>
      <c r="AG48" s="168"/>
      <c r="AH48" s="170"/>
      <c r="AI48" s="170"/>
    </row>
    <row r="49" spans="2:35" s="163" customFormat="1">
      <c r="B49" s="163" t="s">
        <v>594</v>
      </c>
      <c r="C49" s="294">
        <v>2006</v>
      </c>
      <c r="D49" s="163">
        <v>106</v>
      </c>
      <c r="E49" s="163">
        <v>3</v>
      </c>
      <c r="F49" s="178">
        <v>0</v>
      </c>
      <c r="G49" s="177" t="s">
        <v>491</v>
      </c>
      <c r="H49" s="163">
        <v>10</v>
      </c>
      <c r="I49" s="163">
        <f t="shared" si="32"/>
        <v>116</v>
      </c>
      <c r="L49" s="175">
        <v>546.58000000000004</v>
      </c>
      <c r="M49" s="186">
        <v>0</v>
      </c>
      <c r="N49" s="175">
        <f t="shared" si="33"/>
        <v>546.58000000000004</v>
      </c>
      <c r="O49" s="175">
        <f t="shared" si="34"/>
        <v>4.5548333333333337</v>
      </c>
      <c r="P49" s="175">
        <f t="shared" si="35"/>
        <v>0</v>
      </c>
      <c r="Q49" s="175">
        <f t="shared" si="36"/>
        <v>0</v>
      </c>
      <c r="R49" s="175">
        <f t="shared" si="37"/>
        <v>0</v>
      </c>
      <c r="S49" s="176">
        <v>1</v>
      </c>
      <c r="T49" s="175">
        <f t="shared" si="38"/>
        <v>0</v>
      </c>
      <c r="U49" s="175">
        <f t="shared" si="39"/>
        <v>546.58000000000004</v>
      </c>
      <c r="V49" s="175">
        <f t="shared" si="40"/>
        <v>546.58000000000004</v>
      </c>
      <c r="W49" s="176">
        <v>1</v>
      </c>
      <c r="X49" s="175">
        <f t="shared" si="41"/>
        <v>546.58000000000004</v>
      </c>
      <c r="Y49" s="175">
        <f t="shared" si="42"/>
        <v>546.58000000000004</v>
      </c>
      <c r="Z49" s="168">
        <f t="shared" si="43"/>
        <v>0</v>
      </c>
      <c r="AA49" s="175">
        <f t="shared" si="44"/>
        <v>106.16666666666667</v>
      </c>
      <c r="AB49" s="175">
        <f t="shared" si="45"/>
        <v>118.25</v>
      </c>
      <c r="AC49" s="175">
        <f t="shared" si="46"/>
        <v>116.16666666666667</v>
      </c>
      <c r="AD49" s="175">
        <f t="shared" si="47"/>
        <v>117.25</v>
      </c>
      <c r="AE49" s="175">
        <f t="shared" si="48"/>
        <v>-8.3333333333333329E-2</v>
      </c>
      <c r="AF49" s="175">
        <f t="shared" si="49"/>
        <v>0</v>
      </c>
      <c r="AG49" s="168"/>
      <c r="AH49" s="170"/>
      <c r="AI49" s="170"/>
    </row>
    <row r="50" spans="2:35" s="163" customFormat="1">
      <c r="B50" s="163" t="s">
        <v>592</v>
      </c>
      <c r="C50" s="294">
        <v>2006</v>
      </c>
      <c r="D50" s="163">
        <v>106</v>
      </c>
      <c r="E50" s="163">
        <v>6</v>
      </c>
      <c r="F50" s="178">
        <v>0</v>
      </c>
      <c r="G50" s="177" t="s">
        <v>491</v>
      </c>
      <c r="H50" s="163">
        <v>10</v>
      </c>
      <c r="I50" s="163">
        <f t="shared" si="32"/>
        <v>116</v>
      </c>
      <c r="L50" s="175">
        <v>702.74</v>
      </c>
      <c r="M50" s="186">
        <v>0</v>
      </c>
      <c r="N50" s="175">
        <f t="shared" si="33"/>
        <v>702.74</v>
      </c>
      <c r="O50" s="175">
        <f t="shared" si="34"/>
        <v>5.8561666666666667</v>
      </c>
      <c r="P50" s="175">
        <f t="shared" si="35"/>
        <v>0</v>
      </c>
      <c r="Q50" s="175">
        <f t="shared" si="36"/>
        <v>0</v>
      </c>
      <c r="R50" s="175">
        <f t="shared" si="37"/>
        <v>0</v>
      </c>
      <c r="S50" s="176">
        <v>1</v>
      </c>
      <c r="T50" s="175">
        <f t="shared" si="38"/>
        <v>0</v>
      </c>
      <c r="U50" s="175">
        <f t="shared" si="39"/>
        <v>702.74</v>
      </c>
      <c r="V50" s="175">
        <f t="shared" si="40"/>
        <v>702.74</v>
      </c>
      <c r="W50" s="176">
        <v>1</v>
      </c>
      <c r="X50" s="175">
        <f t="shared" si="41"/>
        <v>702.74</v>
      </c>
      <c r="Y50" s="175">
        <f t="shared" si="42"/>
        <v>702.74</v>
      </c>
      <c r="Z50" s="168">
        <f t="shared" si="43"/>
        <v>0</v>
      </c>
      <c r="AA50" s="175">
        <f t="shared" si="44"/>
        <v>106.41666666666667</v>
      </c>
      <c r="AB50" s="175">
        <f t="shared" si="45"/>
        <v>118.25</v>
      </c>
      <c r="AC50" s="175">
        <f t="shared" si="46"/>
        <v>116.41666666666667</v>
      </c>
      <c r="AD50" s="175">
        <f t="shared" si="47"/>
        <v>117.25</v>
      </c>
      <c r="AE50" s="175">
        <f t="shared" si="48"/>
        <v>-8.3333333333333329E-2</v>
      </c>
      <c r="AF50" s="175">
        <f t="shared" si="49"/>
        <v>0</v>
      </c>
      <c r="AG50" s="168"/>
      <c r="AH50" s="170"/>
      <c r="AI50" s="170"/>
    </row>
    <row r="51" spans="2:35" s="163" customFormat="1">
      <c r="B51" s="163" t="s">
        <v>593</v>
      </c>
      <c r="C51" s="294">
        <v>2006</v>
      </c>
      <c r="D51" s="163">
        <v>106</v>
      </c>
      <c r="E51" s="163">
        <v>6</v>
      </c>
      <c r="F51" s="178">
        <v>0</v>
      </c>
      <c r="G51" s="177" t="s">
        <v>491</v>
      </c>
      <c r="H51" s="163">
        <v>10</v>
      </c>
      <c r="I51" s="163">
        <f t="shared" si="32"/>
        <v>116</v>
      </c>
      <c r="L51" s="175">
        <v>606.89</v>
      </c>
      <c r="M51" s="186">
        <v>0</v>
      </c>
      <c r="N51" s="175">
        <f t="shared" si="33"/>
        <v>606.89</v>
      </c>
      <c r="O51" s="175">
        <f t="shared" si="34"/>
        <v>5.0574166666666667</v>
      </c>
      <c r="P51" s="175">
        <f t="shared" si="35"/>
        <v>0</v>
      </c>
      <c r="Q51" s="175">
        <f t="shared" si="36"/>
        <v>0</v>
      </c>
      <c r="R51" s="175">
        <f t="shared" si="37"/>
        <v>0</v>
      </c>
      <c r="S51" s="176">
        <v>1</v>
      </c>
      <c r="T51" s="175">
        <f t="shared" si="38"/>
        <v>0</v>
      </c>
      <c r="U51" s="175">
        <f t="shared" si="39"/>
        <v>606.89</v>
      </c>
      <c r="V51" s="175">
        <f t="shared" si="40"/>
        <v>606.89</v>
      </c>
      <c r="W51" s="176">
        <v>1</v>
      </c>
      <c r="X51" s="175">
        <f t="shared" si="41"/>
        <v>606.89</v>
      </c>
      <c r="Y51" s="175">
        <f t="shared" si="42"/>
        <v>606.89</v>
      </c>
      <c r="Z51" s="168">
        <f t="shared" si="43"/>
        <v>0</v>
      </c>
      <c r="AA51" s="175">
        <f t="shared" si="44"/>
        <v>106.41666666666667</v>
      </c>
      <c r="AB51" s="175">
        <f t="shared" si="45"/>
        <v>118.25</v>
      </c>
      <c r="AC51" s="175">
        <f t="shared" si="46"/>
        <v>116.41666666666667</v>
      </c>
      <c r="AD51" s="175">
        <f t="shared" si="47"/>
        <v>117.25</v>
      </c>
      <c r="AE51" s="175">
        <f t="shared" si="48"/>
        <v>-8.3333333333333329E-2</v>
      </c>
      <c r="AF51" s="175">
        <f t="shared" si="49"/>
        <v>0</v>
      </c>
      <c r="AG51" s="168"/>
      <c r="AH51" s="170"/>
      <c r="AI51" s="170"/>
    </row>
    <row r="52" spans="2:35" s="163" customFormat="1">
      <c r="B52" s="163" t="s">
        <v>591</v>
      </c>
      <c r="C52" s="294">
        <v>2006</v>
      </c>
      <c r="D52" s="163">
        <v>106</v>
      </c>
      <c r="E52" s="163">
        <v>6</v>
      </c>
      <c r="F52" s="178">
        <v>0</v>
      </c>
      <c r="G52" s="177" t="s">
        <v>491</v>
      </c>
      <c r="H52" s="163">
        <v>10</v>
      </c>
      <c r="I52" s="163">
        <f t="shared" si="32"/>
        <v>116</v>
      </c>
      <c r="L52" s="175">
        <v>919.22</v>
      </c>
      <c r="M52" s="186">
        <v>0</v>
      </c>
      <c r="N52" s="175">
        <f t="shared" si="33"/>
        <v>919.22</v>
      </c>
      <c r="O52" s="175">
        <f t="shared" si="34"/>
        <v>7.6601666666666661</v>
      </c>
      <c r="P52" s="175">
        <f t="shared" si="35"/>
        <v>0</v>
      </c>
      <c r="Q52" s="175">
        <f t="shared" si="36"/>
        <v>0</v>
      </c>
      <c r="R52" s="175">
        <f t="shared" si="37"/>
        <v>0</v>
      </c>
      <c r="S52" s="176">
        <v>1</v>
      </c>
      <c r="T52" s="175">
        <f t="shared" si="38"/>
        <v>0</v>
      </c>
      <c r="U52" s="175">
        <f t="shared" si="39"/>
        <v>919.22</v>
      </c>
      <c r="V52" s="175">
        <f t="shared" si="40"/>
        <v>919.22</v>
      </c>
      <c r="W52" s="176">
        <v>1</v>
      </c>
      <c r="X52" s="175">
        <f t="shared" si="41"/>
        <v>919.22</v>
      </c>
      <c r="Y52" s="175">
        <f t="shared" si="42"/>
        <v>919.22</v>
      </c>
      <c r="Z52" s="168">
        <f t="shared" si="43"/>
        <v>0</v>
      </c>
      <c r="AA52" s="175">
        <f t="shared" si="44"/>
        <v>106.41666666666667</v>
      </c>
      <c r="AB52" s="175">
        <f t="shared" si="45"/>
        <v>118.25</v>
      </c>
      <c r="AC52" s="175">
        <f t="shared" si="46"/>
        <v>116.41666666666667</v>
      </c>
      <c r="AD52" s="175">
        <f t="shared" si="47"/>
        <v>117.25</v>
      </c>
      <c r="AE52" s="175">
        <f t="shared" si="48"/>
        <v>-8.3333333333333329E-2</v>
      </c>
      <c r="AF52" s="175">
        <f t="shared" si="49"/>
        <v>0</v>
      </c>
      <c r="AG52" s="168"/>
      <c r="AH52" s="170"/>
      <c r="AI52" s="170"/>
    </row>
    <row r="53" spans="2:35" s="163" customFormat="1">
      <c r="B53" s="163" t="s">
        <v>592</v>
      </c>
      <c r="C53" s="294">
        <v>2006</v>
      </c>
      <c r="D53" s="163">
        <v>106</v>
      </c>
      <c r="E53" s="163">
        <v>6</v>
      </c>
      <c r="F53" s="178">
        <v>0</v>
      </c>
      <c r="G53" s="177" t="s">
        <v>491</v>
      </c>
      <c r="H53" s="163">
        <v>10</v>
      </c>
      <c r="I53" s="163">
        <f t="shared" si="32"/>
        <v>116</v>
      </c>
      <c r="L53" s="175">
        <v>663.97</v>
      </c>
      <c r="M53" s="186">
        <v>0</v>
      </c>
      <c r="N53" s="175">
        <f t="shared" si="33"/>
        <v>663.97</v>
      </c>
      <c r="O53" s="175">
        <f t="shared" si="34"/>
        <v>5.5330833333333338</v>
      </c>
      <c r="P53" s="175">
        <f t="shared" si="35"/>
        <v>0</v>
      </c>
      <c r="Q53" s="175">
        <f t="shared" si="36"/>
        <v>0</v>
      </c>
      <c r="R53" s="175">
        <f t="shared" si="37"/>
        <v>0</v>
      </c>
      <c r="S53" s="176">
        <v>1</v>
      </c>
      <c r="T53" s="175">
        <f t="shared" si="38"/>
        <v>0</v>
      </c>
      <c r="U53" s="175">
        <f t="shared" si="39"/>
        <v>663.97</v>
      </c>
      <c r="V53" s="175">
        <f t="shared" si="40"/>
        <v>663.97</v>
      </c>
      <c r="W53" s="176">
        <v>1</v>
      </c>
      <c r="X53" s="175">
        <f t="shared" si="41"/>
        <v>663.97</v>
      </c>
      <c r="Y53" s="175">
        <f t="shared" si="42"/>
        <v>663.97</v>
      </c>
      <c r="Z53" s="168">
        <f t="shared" si="43"/>
        <v>0</v>
      </c>
      <c r="AA53" s="175">
        <f t="shared" si="44"/>
        <v>106.41666666666667</v>
      </c>
      <c r="AB53" s="175">
        <f t="shared" si="45"/>
        <v>118.25</v>
      </c>
      <c r="AC53" s="175">
        <f t="shared" si="46"/>
        <v>116.41666666666667</v>
      </c>
      <c r="AD53" s="175">
        <f t="shared" si="47"/>
        <v>117.25</v>
      </c>
      <c r="AE53" s="175">
        <f t="shared" si="48"/>
        <v>-8.3333333333333329E-2</v>
      </c>
      <c r="AF53" s="175">
        <f t="shared" si="49"/>
        <v>0</v>
      </c>
      <c r="AG53" s="168"/>
      <c r="AH53" s="170"/>
      <c r="AI53" s="170"/>
    </row>
    <row r="54" spans="2:35" s="163" customFormat="1">
      <c r="B54" s="163" t="s">
        <v>591</v>
      </c>
      <c r="C54" s="294">
        <v>2006</v>
      </c>
      <c r="D54" s="163">
        <v>106</v>
      </c>
      <c r="E54" s="163">
        <v>6</v>
      </c>
      <c r="F54" s="178">
        <v>0</v>
      </c>
      <c r="G54" s="177" t="s">
        <v>491</v>
      </c>
      <c r="H54" s="163">
        <v>10</v>
      </c>
      <c r="I54" s="163">
        <f t="shared" si="32"/>
        <v>116</v>
      </c>
      <c r="L54" s="175">
        <v>919.22</v>
      </c>
      <c r="M54" s="186">
        <v>0</v>
      </c>
      <c r="N54" s="175">
        <f t="shared" si="33"/>
        <v>919.22</v>
      </c>
      <c r="O54" s="175">
        <f t="shared" si="34"/>
        <v>7.6601666666666661</v>
      </c>
      <c r="P54" s="175">
        <f t="shared" si="35"/>
        <v>0</v>
      </c>
      <c r="Q54" s="175">
        <f t="shared" si="36"/>
        <v>0</v>
      </c>
      <c r="R54" s="175">
        <f t="shared" si="37"/>
        <v>0</v>
      </c>
      <c r="S54" s="176">
        <v>1</v>
      </c>
      <c r="T54" s="175">
        <f t="shared" si="38"/>
        <v>0</v>
      </c>
      <c r="U54" s="175">
        <f t="shared" si="39"/>
        <v>919.22</v>
      </c>
      <c r="V54" s="175">
        <f t="shared" si="40"/>
        <v>919.22</v>
      </c>
      <c r="W54" s="176">
        <v>1</v>
      </c>
      <c r="X54" s="175">
        <f t="shared" si="41"/>
        <v>919.22</v>
      </c>
      <c r="Y54" s="175">
        <f t="shared" si="42"/>
        <v>919.22</v>
      </c>
      <c r="Z54" s="175">
        <f t="shared" si="43"/>
        <v>0</v>
      </c>
      <c r="AA54" s="175">
        <f t="shared" si="44"/>
        <v>106.41666666666667</v>
      </c>
      <c r="AB54" s="175">
        <f t="shared" si="45"/>
        <v>118.25</v>
      </c>
      <c r="AC54" s="175">
        <f t="shared" si="46"/>
        <v>116.41666666666667</v>
      </c>
      <c r="AD54" s="175">
        <f t="shared" si="47"/>
        <v>117.25</v>
      </c>
      <c r="AE54" s="175">
        <f t="shared" si="48"/>
        <v>-8.3333333333333329E-2</v>
      </c>
      <c r="AF54" s="175">
        <f t="shared" si="49"/>
        <v>0</v>
      </c>
      <c r="AG54" s="168"/>
      <c r="AH54" s="170"/>
      <c r="AI54" s="170"/>
    </row>
    <row r="55" spans="2:35" s="163" customFormat="1">
      <c r="B55" s="163" t="s">
        <v>581</v>
      </c>
      <c r="C55" s="294">
        <v>2006</v>
      </c>
      <c r="D55" s="163">
        <v>106</v>
      </c>
      <c r="E55" s="163">
        <v>7</v>
      </c>
      <c r="F55" s="178">
        <v>0</v>
      </c>
      <c r="G55" s="177" t="s">
        <v>491</v>
      </c>
      <c r="H55" s="163">
        <v>10</v>
      </c>
      <c r="I55" s="163">
        <f t="shared" si="32"/>
        <v>116</v>
      </c>
      <c r="L55" s="175">
        <v>2757.66</v>
      </c>
      <c r="M55" s="186">
        <v>0</v>
      </c>
      <c r="N55" s="175">
        <f t="shared" si="33"/>
        <v>2757.66</v>
      </c>
      <c r="O55" s="175">
        <f t="shared" si="34"/>
        <v>22.980499999999996</v>
      </c>
      <c r="P55" s="175">
        <f t="shared" si="35"/>
        <v>0</v>
      </c>
      <c r="Q55" s="175">
        <f t="shared" si="36"/>
        <v>0</v>
      </c>
      <c r="R55" s="175">
        <f t="shared" si="37"/>
        <v>0</v>
      </c>
      <c r="S55" s="176">
        <v>1</v>
      </c>
      <c r="T55" s="175">
        <f t="shared" si="38"/>
        <v>0</v>
      </c>
      <c r="U55" s="175">
        <f t="shared" si="39"/>
        <v>2757.66</v>
      </c>
      <c r="V55" s="175">
        <f t="shared" si="40"/>
        <v>2757.66</v>
      </c>
      <c r="W55" s="176">
        <v>1</v>
      </c>
      <c r="X55" s="175">
        <f t="shared" si="41"/>
        <v>2757.66</v>
      </c>
      <c r="Y55" s="175">
        <f t="shared" si="42"/>
        <v>2757.66</v>
      </c>
      <c r="Z55" s="175">
        <f t="shared" si="43"/>
        <v>0</v>
      </c>
      <c r="AA55" s="175">
        <f t="shared" si="44"/>
        <v>106.5</v>
      </c>
      <c r="AB55" s="175">
        <f t="shared" si="45"/>
        <v>118.25</v>
      </c>
      <c r="AC55" s="175">
        <f t="shared" si="46"/>
        <v>116.5</v>
      </c>
      <c r="AD55" s="175">
        <f t="shared" si="47"/>
        <v>117.25</v>
      </c>
      <c r="AE55" s="175">
        <f t="shared" si="48"/>
        <v>-8.3333333333333329E-2</v>
      </c>
      <c r="AF55" s="175">
        <f t="shared" si="49"/>
        <v>0</v>
      </c>
      <c r="AG55" s="168"/>
      <c r="AH55" s="170"/>
      <c r="AI55" s="170"/>
    </row>
    <row r="56" spans="2:35" s="163" customFormat="1">
      <c r="B56" s="163" t="s">
        <v>590</v>
      </c>
      <c r="C56" s="294">
        <v>2006</v>
      </c>
      <c r="D56" s="163">
        <v>106</v>
      </c>
      <c r="E56" s="163">
        <v>11</v>
      </c>
      <c r="F56" s="178">
        <v>0</v>
      </c>
      <c r="G56" s="177" t="s">
        <v>491</v>
      </c>
      <c r="H56" s="163">
        <v>10</v>
      </c>
      <c r="I56" s="163">
        <f t="shared" si="32"/>
        <v>116</v>
      </c>
      <c r="L56" s="175">
        <v>2739.89</v>
      </c>
      <c r="M56" s="186">
        <v>0</v>
      </c>
      <c r="N56" s="175">
        <f t="shared" si="33"/>
        <v>2739.89</v>
      </c>
      <c r="O56" s="175">
        <f t="shared" si="34"/>
        <v>22.832416666666663</v>
      </c>
      <c r="P56" s="175">
        <f t="shared" si="35"/>
        <v>0</v>
      </c>
      <c r="Q56" s="175">
        <f t="shared" si="36"/>
        <v>0</v>
      </c>
      <c r="R56" s="175">
        <f t="shared" si="37"/>
        <v>0</v>
      </c>
      <c r="S56" s="176">
        <v>1</v>
      </c>
      <c r="T56" s="175">
        <f t="shared" si="38"/>
        <v>0</v>
      </c>
      <c r="U56" s="175">
        <f t="shared" si="39"/>
        <v>2739.89</v>
      </c>
      <c r="V56" s="175">
        <f t="shared" si="40"/>
        <v>2739.89</v>
      </c>
      <c r="W56" s="176">
        <v>1</v>
      </c>
      <c r="X56" s="175">
        <f t="shared" si="41"/>
        <v>2739.89</v>
      </c>
      <c r="Y56" s="175">
        <f t="shared" si="42"/>
        <v>2739.89</v>
      </c>
      <c r="Z56" s="175">
        <f t="shared" si="43"/>
        <v>0</v>
      </c>
      <c r="AA56" s="175">
        <f t="shared" si="44"/>
        <v>106.83333333333333</v>
      </c>
      <c r="AB56" s="175">
        <f t="shared" si="45"/>
        <v>118.25</v>
      </c>
      <c r="AC56" s="175">
        <f t="shared" si="46"/>
        <v>116.83333333333333</v>
      </c>
      <c r="AD56" s="175">
        <f t="shared" si="47"/>
        <v>117.25</v>
      </c>
      <c r="AE56" s="175">
        <f t="shared" si="48"/>
        <v>-8.3333333333333329E-2</v>
      </c>
      <c r="AF56" s="175">
        <f t="shared" si="49"/>
        <v>0</v>
      </c>
      <c r="AG56" s="168"/>
      <c r="AH56" s="170"/>
      <c r="AI56" s="170"/>
    </row>
    <row r="57" spans="2:35" s="163" customFormat="1">
      <c r="B57" s="163" t="s">
        <v>589</v>
      </c>
      <c r="C57" s="294">
        <v>2007</v>
      </c>
      <c r="D57" s="163">
        <v>107</v>
      </c>
      <c r="E57" s="163">
        <v>2</v>
      </c>
      <c r="F57" s="178">
        <v>0</v>
      </c>
      <c r="G57" s="177" t="s">
        <v>491</v>
      </c>
      <c r="H57" s="163">
        <v>10</v>
      </c>
      <c r="I57" s="163">
        <f t="shared" si="32"/>
        <v>117</v>
      </c>
      <c r="L57" s="175">
        <v>835.75</v>
      </c>
      <c r="M57" s="186">
        <v>0</v>
      </c>
      <c r="N57" s="175">
        <f t="shared" si="33"/>
        <v>835.75</v>
      </c>
      <c r="O57" s="175">
        <f t="shared" si="34"/>
        <v>6.9645833333333336</v>
      </c>
      <c r="P57" s="175">
        <f t="shared" si="35"/>
        <v>0</v>
      </c>
      <c r="Q57" s="175">
        <f t="shared" si="36"/>
        <v>0</v>
      </c>
      <c r="R57" s="175">
        <f t="shared" si="37"/>
        <v>0</v>
      </c>
      <c r="S57" s="176">
        <v>1</v>
      </c>
      <c r="T57" s="175">
        <f t="shared" si="38"/>
        <v>0</v>
      </c>
      <c r="U57" s="175">
        <f t="shared" si="39"/>
        <v>835.75</v>
      </c>
      <c r="V57" s="175">
        <f t="shared" si="40"/>
        <v>835.75</v>
      </c>
      <c r="W57" s="176">
        <v>1</v>
      </c>
      <c r="X57" s="175">
        <f t="shared" si="41"/>
        <v>835.75</v>
      </c>
      <c r="Y57" s="175">
        <f t="shared" si="42"/>
        <v>835.75</v>
      </c>
      <c r="Z57" s="175">
        <f t="shared" si="43"/>
        <v>0</v>
      </c>
      <c r="AA57" s="175">
        <f t="shared" si="44"/>
        <v>107.08333333333333</v>
      </c>
      <c r="AB57" s="175">
        <f t="shared" si="45"/>
        <v>118.25</v>
      </c>
      <c r="AC57" s="175">
        <f t="shared" si="46"/>
        <v>117.08333333333333</v>
      </c>
      <c r="AD57" s="175">
        <f t="shared" si="47"/>
        <v>117.25</v>
      </c>
      <c r="AE57" s="175">
        <f t="shared" si="48"/>
        <v>-8.3333333333333329E-2</v>
      </c>
      <c r="AF57" s="175">
        <f t="shared" si="49"/>
        <v>0</v>
      </c>
      <c r="AG57" s="168"/>
      <c r="AH57" s="170"/>
      <c r="AI57" s="170"/>
    </row>
    <row r="58" spans="2:35" s="163" customFormat="1">
      <c r="B58" s="163" t="s">
        <v>588</v>
      </c>
      <c r="C58" s="294">
        <v>2007</v>
      </c>
      <c r="D58" s="163">
        <v>107</v>
      </c>
      <c r="E58" s="163">
        <v>2</v>
      </c>
      <c r="F58" s="178">
        <v>0</v>
      </c>
      <c r="G58" s="177" t="s">
        <v>491</v>
      </c>
      <c r="H58" s="163">
        <v>10</v>
      </c>
      <c r="I58" s="163">
        <f t="shared" si="32"/>
        <v>117</v>
      </c>
      <c r="L58" s="175">
        <v>1009.15</v>
      </c>
      <c r="M58" s="186">
        <v>0</v>
      </c>
      <c r="N58" s="175">
        <f t="shared" si="33"/>
        <v>1009.15</v>
      </c>
      <c r="O58" s="175">
        <f t="shared" si="34"/>
        <v>8.4095833333333321</v>
      </c>
      <c r="P58" s="175">
        <f t="shared" si="35"/>
        <v>0</v>
      </c>
      <c r="Q58" s="175">
        <f t="shared" si="36"/>
        <v>0</v>
      </c>
      <c r="R58" s="175">
        <f t="shared" si="37"/>
        <v>0</v>
      </c>
      <c r="S58" s="176">
        <v>1</v>
      </c>
      <c r="T58" s="175">
        <f t="shared" si="38"/>
        <v>0</v>
      </c>
      <c r="U58" s="175">
        <f t="shared" si="39"/>
        <v>1009.15</v>
      </c>
      <c r="V58" s="175">
        <f t="shared" si="40"/>
        <v>1009.15</v>
      </c>
      <c r="W58" s="176">
        <v>1</v>
      </c>
      <c r="X58" s="175">
        <f t="shared" si="41"/>
        <v>1009.15</v>
      </c>
      <c r="Y58" s="175">
        <f t="shared" si="42"/>
        <v>1009.15</v>
      </c>
      <c r="Z58" s="175">
        <f t="shared" si="43"/>
        <v>0</v>
      </c>
      <c r="AA58" s="175">
        <f t="shared" si="44"/>
        <v>107.08333333333333</v>
      </c>
      <c r="AB58" s="175">
        <f t="shared" si="45"/>
        <v>118.25</v>
      </c>
      <c r="AC58" s="175">
        <f t="shared" si="46"/>
        <v>117.08333333333333</v>
      </c>
      <c r="AD58" s="175">
        <f t="shared" si="47"/>
        <v>117.25</v>
      </c>
      <c r="AE58" s="175">
        <f t="shared" si="48"/>
        <v>-8.3333333333333329E-2</v>
      </c>
      <c r="AF58" s="175">
        <f t="shared" si="49"/>
        <v>0</v>
      </c>
      <c r="AG58" s="168"/>
      <c r="AH58" s="170"/>
      <c r="AI58" s="170"/>
    </row>
    <row r="59" spans="2:35" s="163" customFormat="1">
      <c r="B59" s="163" t="s">
        <v>587</v>
      </c>
      <c r="C59" s="294">
        <v>2007</v>
      </c>
      <c r="D59" s="163">
        <v>107</v>
      </c>
      <c r="E59" s="163">
        <v>5</v>
      </c>
      <c r="F59" s="178">
        <v>0</v>
      </c>
      <c r="G59" s="177" t="s">
        <v>491</v>
      </c>
      <c r="H59" s="163">
        <v>10</v>
      </c>
      <c r="I59" s="163">
        <f t="shared" si="32"/>
        <v>117</v>
      </c>
      <c r="L59" s="175">
        <v>606.89</v>
      </c>
      <c r="M59" s="186">
        <v>0</v>
      </c>
      <c r="N59" s="175">
        <f t="shared" si="33"/>
        <v>606.89</v>
      </c>
      <c r="O59" s="175">
        <f t="shared" si="34"/>
        <v>5.0574166666666667</v>
      </c>
      <c r="P59" s="175">
        <f t="shared" si="35"/>
        <v>5.0574166666663789</v>
      </c>
      <c r="Q59" s="175">
        <f t="shared" si="36"/>
        <v>0</v>
      </c>
      <c r="R59" s="175">
        <f t="shared" si="37"/>
        <v>5.0574166666663789</v>
      </c>
      <c r="S59" s="176">
        <v>1</v>
      </c>
      <c r="T59" s="175">
        <f t="shared" si="38"/>
        <v>5.0574166666663789</v>
      </c>
      <c r="U59" s="175">
        <f t="shared" si="39"/>
        <v>601.83258333333356</v>
      </c>
      <c r="V59" s="175">
        <f t="shared" si="40"/>
        <v>601.83258333333356</v>
      </c>
      <c r="W59" s="176">
        <v>1</v>
      </c>
      <c r="X59" s="175">
        <f t="shared" si="41"/>
        <v>601.83258333333356</v>
      </c>
      <c r="Y59" s="175">
        <f t="shared" si="42"/>
        <v>606.89</v>
      </c>
      <c r="Z59" s="175">
        <f t="shared" si="43"/>
        <v>2.5287083333332134</v>
      </c>
      <c r="AA59" s="175">
        <f t="shared" si="44"/>
        <v>107.33333333333333</v>
      </c>
      <c r="AB59" s="175">
        <f t="shared" si="45"/>
        <v>118.25</v>
      </c>
      <c r="AC59" s="175">
        <f t="shared" si="46"/>
        <v>117.33333333333333</v>
      </c>
      <c r="AD59" s="175">
        <f t="shared" si="47"/>
        <v>117.25</v>
      </c>
      <c r="AE59" s="175">
        <f t="shared" si="48"/>
        <v>-8.3333333333333329E-2</v>
      </c>
      <c r="AF59" s="175">
        <f t="shared" si="49"/>
        <v>-5.6843418860808015E-14</v>
      </c>
      <c r="AG59" s="168"/>
      <c r="AH59" s="170"/>
      <c r="AI59" s="170"/>
    </row>
    <row r="60" spans="2:35" s="163" customFormat="1">
      <c r="B60" s="163" t="s">
        <v>586</v>
      </c>
      <c r="C60" s="294">
        <v>2007</v>
      </c>
      <c r="D60" s="163">
        <v>107</v>
      </c>
      <c r="E60" s="163">
        <v>5</v>
      </c>
      <c r="F60" s="178">
        <v>0</v>
      </c>
      <c r="G60" s="177" t="s">
        <v>491</v>
      </c>
      <c r="H60" s="163">
        <v>10</v>
      </c>
      <c r="I60" s="163">
        <f t="shared" si="32"/>
        <v>117</v>
      </c>
      <c r="L60" s="175">
        <v>702.74</v>
      </c>
      <c r="M60" s="186">
        <v>0</v>
      </c>
      <c r="N60" s="175">
        <f t="shared" si="33"/>
        <v>702.74</v>
      </c>
      <c r="O60" s="175">
        <f t="shared" si="34"/>
        <v>5.8561666666666667</v>
      </c>
      <c r="P60" s="175">
        <f t="shared" si="35"/>
        <v>5.8561666666663337</v>
      </c>
      <c r="Q60" s="175">
        <f t="shared" si="36"/>
        <v>0</v>
      </c>
      <c r="R60" s="175">
        <f t="shared" si="37"/>
        <v>5.8561666666663337</v>
      </c>
      <c r="S60" s="176">
        <v>1</v>
      </c>
      <c r="T60" s="175">
        <f t="shared" si="38"/>
        <v>5.8561666666663337</v>
      </c>
      <c r="U60" s="175">
        <f t="shared" si="39"/>
        <v>696.88383333333365</v>
      </c>
      <c r="V60" s="175">
        <f t="shared" si="40"/>
        <v>696.88383333333365</v>
      </c>
      <c r="W60" s="176">
        <v>1</v>
      </c>
      <c r="X60" s="175">
        <f t="shared" si="41"/>
        <v>696.88383333333365</v>
      </c>
      <c r="Y60" s="175">
        <f t="shared" si="42"/>
        <v>702.74</v>
      </c>
      <c r="Z60" s="175">
        <f t="shared" si="43"/>
        <v>2.9280833333331771</v>
      </c>
      <c r="AA60" s="175">
        <f t="shared" si="44"/>
        <v>107.33333333333333</v>
      </c>
      <c r="AB60" s="175">
        <f t="shared" si="45"/>
        <v>118.25</v>
      </c>
      <c r="AC60" s="175">
        <f t="shared" si="46"/>
        <v>117.33333333333333</v>
      </c>
      <c r="AD60" s="175">
        <f t="shared" si="47"/>
        <v>117.25</v>
      </c>
      <c r="AE60" s="175">
        <f t="shared" si="48"/>
        <v>-8.3333333333333329E-2</v>
      </c>
      <c r="AF60" s="175">
        <f t="shared" si="49"/>
        <v>5.6843418860808015E-14</v>
      </c>
      <c r="AG60" s="168"/>
      <c r="AH60" s="170"/>
      <c r="AI60" s="170"/>
    </row>
    <row r="61" spans="2:35" s="163" customFormat="1">
      <c r="B61" s="163" t="s">
        <v>585</v>
      </c>
      <c r="C61" s="294">
        <v>2007</v>
      </c>
      <c r="D61" s="163">
        <v>107</v>
      </c>
      <c r="E61" s="163">
        <v>7</v>
      </c>
      <c r="F61" s="178">
        <v>0</v>
      </c>
      <c r="G61" s="177" t="s">
        <v>491</v>
      </c>
      <c r="H61" s="163">
        <v>10</v>
      </c>
      <c r="I61" s="163">
        <f t="shared" si="32"/>
        <v>117</v>
      </c>
      <c r="L61" s="175">
        <v>1010.23</v>
      </c>
      <c r="M61" s="186">
        <v>0</v>
      </c>
      <c r="N61" s="175">
        <f t="shared" si="33"/>
        <v>1010.23</v>
      </c>
      <c r="O61" s="175">
        <f t="shared" si="34"/>
        <v>8.4185833333333324</v>
      </c>
      <c r="P61" s="175">
        <f t="shared" si="35"/>
        <v>25.255749999999999</v>
      </c>
      <c r="Q61" s="175">
        <f t="shared" si="36"/>
        <v>0</v>
      </c>
      <c r="R61" s="175">
        <f t="shared" si="37"/>
        <v>25.255749999999999</v>
      </c>
      <c r="S61" s="176">
        <v>1</v>
      </c>
      <c r="T61" s="175">
        <f t="shared" si="38"/>
        <v>25.255749999999999</v>
      </c>
      <c r="U61" s="175">
        <f t="shared" si="39"/>
        <v>984.97424999999998</v>
      </c>
      <c r="V61" s="175">
        <f t="shared" si="40"/>
        <v>984.97424999999998</v>
      </c>
      <c r="W61" s="176">
        <v>1</v>
      </c>
      <c r="X61" s="175">
        <f t="shared" si="41"/>
        <v>984.97424999999998</v>
      </c>
      <c r="Y61" s="175">
        <f t="shared" si="42"/>
        <v>1010.23</v>
      </c>
      <c r="Z61" s="175">
        <f t="shared" si="43"/>
        <v>12.627875000000017</v>
      </c>
      <c r="AA61" s="175">
        <f t="shared" si="44"/>
        <v>107.5</v>
      </c>
      <c r="AB61" s="175">
        <f t="shared" si="45"/>
        <v>118.25</v>
      </c>
      <c r="AC61" s="175">
        <f t="shared" si="46"/>
        <v>117.5</v>
      </c>
      <c r="AD61" s="175">
        <f t="shared" si="47"/>
        <v>117.25</v>
      </c>
      <c r="AE61" s="175">
        <f t="shared" si="48"/>
        <v>-8.3333333333333329E-2</v>
      </c>
      <c r="AF61" s="175">
        <f t="shared" si="49"/>
        <v>0</v>
      </c>
      <c r="AG61" s="168"/>
      <c r="AH61" s="170"/>
      <c r="AI61" s="170"/>
    </row>
    <row r="62" spans="2:35" s="163" customFormat="1">
      <c r="B62" s="163" t="s">
        <v>584</v>
      </c>
      <c r="C62" s="294">
        <v>2007</v>
      </c>
      <c r="D62" s="163">
        <v>107</v>
      </c>
      <c r="E62" s="163">
        <v>7</v>
      </c>
      <c r="F62" s="178">
        <v>0</v>
      </c>
      <c r="G62" s="177" t="s">
        <v>491</v>
      </c>
      <c r="H62" s="163">
        <v>10</v>
      </c>
      <c r="I62" s="163">
        <f t="shared" si="32"/>
        <v>117</v>
      </c>
      <c r="L62" s="175">
        <v>1213.78</v>
      </c>
      <c r="M62" s="186">
        <v>0</v>
      </c>
      <c r="N62" s="175">
        <f t="shared" si="33"/>
        <v>1213.78</v>
      </c>
      <c r="O62" s="175">
        <f t="shared" si="34"/>
        <v>10.114833333333333</v>
      </c>
      <c r="P62" s="175">
        <f t="shared" si="35"/>
        <v>30.3445</v>
      </c>
      <c r="Q62" s="175">
        <f t="shared" si="36"/>
        <v>0</v>
      </c>
      <c r="R62" s="175">
        <f t="shared" si="37"/>
        <v>30.3445</v>
      </c>
      <c r="S62" s="176">
        <v>1</v>
      </c>
      <c r="T62" s="175">
        <f t="shared" si="38"/>
        <v>30.3445</v>
      </c>
      <c r="U62" s="175">
        <f t="shared" si="39"/>
        <v>1183.4355</v>
      </c>
      <c r="V62" s="175">
        <f t="shared" si="40"/>
        <v>1183.4355</v>
      </c>
      <c r="W62" s="176">
        <v>1</v>
      </c>
      <c r="X62" s="175">
        <f t="shared" si="41"/>
        <v>1183.4355</v>
      </c>
      <c r="Y62" s="175">
        <f t="shared" si="42"/>
        <v>1213.78</v>
      </c>
      <c r="Z62" s="175">
        <f t="shared" si="43"/>
        <v>15.172249999999963</v>
      </c>
      <c r="AA62" s="175">
        <f t="shared" si="44"/>
        <v>107.5</v>
      </c>
      <c r="AB62" s="175">
        <f t="shared" si="45"/>
        <v>118.25</v>
      </c>
      <c r="AC62" s="175">
        <f t="shared" si="46"/>
        <v>117.5</v>
      </c>
      <c r="AD62" s="175">
        <f t="shared" si="47"/>
        <v>117.25</v>
      </c>
      <c r="AE62" s="175">
        <f t="shared" si="48"/>
        <v>-8.3333333333333329E-2</v>
      </c>
      <c r="AF62" s="175">
        <f t="shared" si="49"/>
        <v>-1.1368683772161603E-13</v>
      </c>
      <c r="AG62" s="168"/>
      <c r="AH62" s="170"/>
      <c r="AI62" s="170"/>
    </row>
    <row r="63" spans="2:35" s="163" customFormat="1">
      <c r="B63" s="163" t="s">
        <v>580</v>
      </c>
      <c r="C63" s="294">
        <v>2007</v>
      </c>
      <c r="D63" s="163">
        <v>107</v>
      </c>
      <c r="E63" s="163">
        <v>7</v>
      </c>
      <c r="F63" s="178">
        <v>0</v>
      </c>
      <c r="G63" s="177" t="s">
        <v>491</v>
      </c>
      <c r="H63" s="163">
        <v>10</v>
      </c>
      <c r="I63" s="163">
        <f t="shared" si="32"/>
        <v>117</v>
      </c>
      <c r="L63" s="175">
        <v>606.89</v>
      </c>
      <c r="M63" s="186">
        <v>0</v>
      </c>
      <c r="N63" s="175">
        <f t="shared" si="33"/>
        <v>606.89</v>
      </c>
      <c r="O63" s="175">
        <f t="shared" si="34"/>
        <v>5.0574166666666667</v>
      </c>
      <c r="P63" s="175">
        <f t="shared" si="35"/>
        <v>15.17225</v>
      </c>
      <c r="Q63" s="175">
        <f t="shared" si="36"/>
        <v>0</v>
      </c>
      <c r="R63" s="175">
        <f t="shared" si="37"/>
        <v>15.17225</v>
      </c>
      <c r="S63" s="176">
        <v>1</v>
      </c>
      <c r="T63" s="175">
        <f t="shared" si="38"/>
        <v>15.17225</v>
      </c>
      <c r="U63" s="175">
        <f t="shared" si="39"/>
        <v>591.71775000000002</v>
      </c>
      <c r="V63" s="175">
        <f t="shared" si="40"/>
        <v>591.71775000000002</v>
      </c>
      <c r="W63" s="176">
        <v>1</v>
      </c>
      <c r="X63" s="175">
        <f t="shared" si="41"/>
        <v>591.71775000000002</v>
      </c>
      <c r="Y63" s="175">
        <f t="shared" si="42"/>
        <v>606.89</v>
      </c>
      <c r="Z63" s="175">
        <f t="shared" si="43"/>
        <v>7.5861249999999814</v>
      </c>
      <c r="AA63" s="175">
        <f t="shared" si="44"/>
        <v>107.5</v>
      </c>
      <c r="AB63" s="175">
        <f t="shared" si="45"/>
        <v>118.25</v>
      </c>
      <c r="AC63" s="175">
        <f t="shared" si="46"/>
        <v>117.5</v>
      </c>
      <c r="AD63" s="175">
        <f t="shared" si="47"/>
        <v>117.25</v>
      </c>
      <c r="AE63" s="175">
        <f t="shared" si="48"/>
        <v>-8.3333333333333329E-2</v>
      </c>
      <c r="AF63" s="175">
        <f t="shared" si="49"/>
        <v>-5.6843418860808015E-14</v>
      </c>
      <c r="AG63" s="168"/>
      <c r="AH63" s="170"/>
      <c r="AI63" s="170"/>
    </row>
    <row r="64" spans="2:35" s="163" customFormat="1">
      <c r="B64" s="163" t="s">
        <v>583</v>
      </c>
      <c r="C64" s="294">
        <v>2007</v>
      </c>
      <c r="D64" s="163">
        <v>107</v>
      </c>
      <c r="E64" s="163">
        <v>7</v>
      </c>
      <c r="F64" s="178">
        <v>0</v>
      </c>
      <c r="G64" s="177" t="s">
        <v>491</v>
      </c>
      <c r="H64" s="163">
        <v>10</v>
      </c>
      <c r="I64" s="163">
        <f t="shared" si="32"/>
        <v>117</v>
      </c>
      <c r="L64" s="175">
        <v>702.74</v>
      </c>
      <c r="M64" s="186">
        <v>0</v>
      </c>
      <c r="N64" s="175">
        <f t="shared" si="33"/>
        <v>702.74</v>
      </c>
      <c r="O64" s="175">
        <f t="shared" si="34"/>
        <v>5.8561666666666667</v>
      </c>
      <c r="P64" s="175">
        <f t="shared" si="35"/>
        <v>17.5685</v>
      </c>
      <c r="Q64" s="175">
        <f t="shared" si="36"/>
        <v>0</v>
      </c>
      <c r="R64" s="175">
        <f t="shared" si="37"/>
        <v>17.5685</v>
      </c>
      <c r="S64" s="176">
        <v>1</v>
      </c>
      <c r="T64" s="175">
        <f t="shared" si="38"/>
        <v>17.5685</v>
      </c>
      <c r="U64" s="175">
        <f t="shared" si="39"/>
        <v>685.17150000000004</v>
      </c>
      <c r="V64" s="175">
        <f t="shared" si="40"/>
        <v>685.17150000000004</v>
      </c>
      <c r="W64" s="176">
        <v>1</v>
      </c>
      <c r="X64" s="175">
        <f t="shared" si="41"/>
        <v>685.17150000000004</v>
      </c>
      <c r="Y64" s="175">
        <f t="shared" si="42"/>
        <v>702.74</v>
      </c>
      <c r="Z64" s="175">
        <f t="shared" si="43"/>
        <v>8.7842499999999859</v>
      </c>
      <c r="AA64" s="175">
        <f t="shared" si="44"/>
        <v>107.5</v>
      </c>
      <c r="AB64" s="175">
        <f t="shared" si="45"/>
        <v>118.25</v>
      </c>
      <c r="AC64" s="175">
        <f t="shared" si="46"/>
        <v>117.5</v>
      </c>
      <c r="AD64" s="175">
        <f t="shared" si="47"/>
        <v>117.25</v>
      </c>
      <c r="AE64" s="175">
        <f t="shared" si="48"/>
        <v>-8.3333333333333329E-2</v>
      </c>
      <c r="AF64" s="175">
        <f t="shared" si="49"/>
        <v>-5.6843418860808015E-14</v>
      </c>
      <c r="AG64" s="168"/>
      <c r="AH64" s="170"/>
      <c r="AI64" s="170"/>
    </row>
    <row r="65" spans="2:35" s="163" customFormat="1">
      <c r="B65" s="163" t="s">
        <v>582</v>
      </c>
      <c r="C65" s="294">
        <v>2007</v>
      </c>
      <c r="D65" s="163">
        <v>107</v>
      </c>
      <c r="E65" s="163">
        <v>9</v>
      </c>
      <c r="F65" s="178">
        <v>0</v>
      </c>
      <c r="G65" s="177" t="s">
        <v>491</v>
      </c>
      <c r="H65" s="163">
        <v>10</v>
      </c>
      <c r="I65" s="163">
        <f t="shared" si="32"/>
        <v>117</v>
      </c>
      <c r="L65" s="175">
        <v>835.32</v>
      </c>
      <c r="M65" s="186">
        <v>0</v>
      </c>
      <c r="N65" s="175">
        <f t="shared" si="33"/>
        <v>835.32</v>
      </c>
      <c r="O65" s="175">
        <f t="shared" si="34"/>
        <v>6.9610000000000012</v>
      </c>
      <c r="P65" s="175">
        <f t="shared" si="35"/>
        <v>34.805000000000405</v>
      </c>
      <c r="Q65" s="175">
        <f t="shared" si="36"/>
        <v>0</v>
      </c>
      <c r="R65" s="175">
        <f t="shared" si="37"/>
        <v>34.805000000000405</v>
      </c>
      <c r="S65" s="176">
        <v>1</v>
      </c>
      <c r="T65" s="175">
        <f t="shared" si="38"/>
        <v>34.805000000000405</v>
      </c>
      <c r="U65" s="175">
        <f t="shared" si="39"/>
        <v>800.51499999999965</v>
      </c>
      <c r="V65" s="175">
        <f t="shared" si="40"/>
        <v>800.51499999999965</v>
      </c>
      <c r="W65" s="176">
        <v>1</v>
      </c>
      <c r="X65" s="175">
        <f t="shared" si="41"/>
        <v>800.51499999999965</v>
      </c>
      <c r="Y65" s="175">
        <f t="shared" si="42"/>
        <v>835.32</v>
      </c>
      <c r="Z65" s="175">
        <f t="shared" si="43"/>
        <v>17.402500000000202</v>
      </c>
      <c r="AA65" s="175">
        <f t="shared" si="44"/>
        <v>107.66666666666667</v>
      </c>
      <c r="AB65" s="175">
        <f t="shared" si="45"/>
        <v>118.25</v>
      </c>
      <c r="AC65" s="175">
        <f t="shared" si="46"/>
        <v>117.66666666666667</v>
      </c>
      <c r="AD65" s="175">
        <f t="shared" si="47"/>
        <v>117.25</v>
      </c>
      <c r="AE65" s="175">
        <f t="shared" si="48"/>
        <v>-8.3333333333333329E-2</v>
      </c>
      <c r="AF65" s="175">
        <f t="shared" si="49"/>
        <v>5.6843418860808015E-14</v>
      </c>
      <c r="AG65" s="168"/>
      <c r="AH65" s="170"/>
      <c r="AI65" s="170"/>
    </row>
    <row r="66" spans="2:35" s="163" customFormat="1">
      <c r="B66" s="163" t="s">
        <v>582</v>
      </c>
      <c r="C66" s="294">
        <v>2007</v>
      </c>
      <c r="D66" s="163">
        <v>107</v>
      </c>
      <c r="E66" s="163">
        <v>9</v>
      </c>
      <c r="F66" s="178">
        <v>0</v>
      </c>
      <c r="G66" s="177" t="s">
        <v>491</v>
      </c>
      <c r="H66" s="163">
        <v>10</v>
      </c>
      <c r="I66" s="163">
        <f t="shared" si="32"/>
        <v>117</v>
      </c>
      <c r="L66" s="175">
        <v>835.32</v>
      </c>
      <c r="M66" s="186">
        <v>0</v>
      </c>
      <c r="N66" s="175">
        <f t="shared" si="33"/>
        <v>835.32</v>
      </c>
      <c r="O66" s="175">
        <f t="shared" si="34"/>
        <v>6.9610000000000012</v>
      </c>
      <c r="P66" s="175">
        <f t="shared" si="35"/>
        <v>34.805000000000405</v>
      </c>
      <c r="Q66" s="175">
        <f t="shared" si="36"/>
        <v>0</v>
      </c>
      <c r="R66" s="175">
        <f t="shared" si="37"/>
        <v>34.805000000000405</v>
      </c>
      <c r="S66" s="176">
        <v>1</v>
      </c>
      <c r="T66" s="175">
        <f t="shared" si="38"/>
        <v>34.805000000000405</v>
      </c>
      <c r="U66" s="175">
        <f t="shared" si="39"/>
        <v>800.51499999999965</v>
      </c>
      <c r="V66" s="175">
        <f t="shared" si="40"/>
        <v>800.51499999999965</v>
      </c>
      <c r="W66" s="176">
        <v>1</v>
      </c>
      <c r="X66" s="175">
        <f t="shared" si="41"/>
        <v>800.51499999999965</v>
      </c>
      <c r="Y66" s="175">
        <f t="shared" si="42"/>
        <v>835.32</v>
      </c>
      <c r="Z66" s="175">
        <f t="shared" si="43"/>
        <v>17.402500000000202</v>
      </c>
      <c r="AA66" s="175">
        <f t="shared" si="44"/>
        <v>107.66666666666667</v>
      </c>
      <c r="AB66" s="175">
        <f t="shared" si="45"/>
        <v>118.25</v>
      </c>
      <c r="AC66" s="175">
        <f t="shared" si="46"/>
        <v>117.66666666666667</v>
      </c>
      <c r="AD66" s="175">
        <f t="shared" si="47"/>
        <v>117.25</v>
      </c>
      <c r="AE66" s="175">
        <f t="shared" si="48"/>
        <v>-8.3333333333333329E-2</v>
      </c>
      <c r="AF66" s="175">
        <f t="shared" si="49"/>
        <v>5.6843418860808015E-14</v>
      </c>
      <c r="AG66" s="168"/>
      <c r="AH66" s="170"/>
      <c r="AI66" s="170"/>
    </row>
    <row r="67" spans="2:35" s="163" customFormat="1">
      <c r="B67" s="163" t="s">
        <v>581</v>
      </c>
      <c r="C67" s="294">
        <v>2007</v>
      </c>
      <c r="D67" s="163">
        <v>107</v>
      </c>
      <c r="E67" s="163">
        <v>9</v>
      </c>
      <c r="F67" s="178">
        <v>0</v>
      </c>
      <c r="G67" s="177" t="s">
        <v>491</v>
      </c>
      <c r="H67" s="163">
        <v>10</v>
      </c>
      <c r="I67" s="163">
        <f t="shared" si="32"/>
        <v>117</v>
      </c>
      <c r="L67" s="175">
        <v>2757.66</v>
      </c>
      <c r="M67" s="186">
        <v>0</v>
      </c>
      <c r="N67" s="175">
        <f t="shared" si="33"/>
        <v>2757.66</v>
      </c>
      <c r="O67" s="175">
        <f t="shared" si="34"/>
        <v>22.980499999999996</v>
      </c>
      <c r="P67" s="175">
        <f t="shared" si="35"/>
        <v>114.90250000000128</v>
      </c>
      <c r="Q67" s="175">
        <f t="shared" si="36"/>
        <v>0</v>
      </c>
      <c r="R67" s="175">
        <f t="shared" si="37"/>
        <v>114.90250000000128</v>
      </c>
      <c r="S67" s="176">
        <v>1</v>
      </c>
      <c r="T67" s="175">
        <f t="shared" si="38"/>
        <v>114.90250000000128</v>
      </c>
      <c r="U67" s="175">
        <f t="shared" si="39"/>
        <v>2642.7574999999988</v>
      </c>
      <c r="V67" s="175">
        <f t="shared" si="40"/>
        <v>2642.7574999999988</v>
      </c>
      <c r="W67" s="176">
        <v>1</v>
      </c>
      <c r="X67" s="175">
        <f t="shared" si="41"/>
        <v>2642.7574999999988</v>
      </c>
      <c r="Y67" s="175">
        <f t="shared" si="42"/>
        <v>2757.66</v>
      </c>
      <c r="Z67" s="175">
        <f t="shared" si="43"/>
        <v>57.451250000000528</v>
      </c>
      <c r="AA67" s="175">
        <f t="shared" si="44"/>
        <v>107.66666666666667</v>
      </c>
      <c r="AB67" s="175">
        <f t="shared" si="45"/>
        <v>118.25</v>
      </c>
      <c r="AC67" s="175">
        <f t="shared" si="46"/>
        <v>117.66666666666667</v>
      </c>
      <c r="AD67" s="175">
        <f t="shared" si="47"/>
        <v>117.25</v>
      </c>
      <c r="AE67" s="175">
        <f t="shared" si="48"/>
        <v>-8.3333333333333329E-2</v>
      </c>
      <c r="AF67" s="175">
        <f t="shared" si="49"/>
        <v>0</v>
      </c>
      <c r="AG67" s="168"/>
      <c r="AH67" s="170"/>
      <c r="AI67" s="170"/>
    </row>
    <row r="68" spans="2:35" s="163" customFormat="1">
      <c r="B68" s="163" t="s">
        <v>580</v>
      </c>
      <c r="C68" s="294">
        <v>2007</v>
      </c>
      <c r="D68" s="163">
        <v>107</v>
      </c>
      <c r="E68" s="163">
        <v>9</v>
      </c>
      <c r="F68" s="178">
        <v>0</v>
      </c>
      <c r="G68" s="177" t="s">
        <v>491</v>
      </c>
      <c r="H68" s="163">
        <v>10</v>
      </c>
      <c r="I68" s="163">
        <f t="shared" si="32"/>
        <v>117</v>
      </c>
      <c r="L68" s="175">
        <v>606.89</v>
      </c>
      <c r="M68" s="186">
        <v>0</v>
      </c>
      <c r="N68" s="175">
        <f t="shared" si="33"/>
        <v>606.89</v>
      </c>
      <c r="O68" s="175">
        <f t="shared" si="34"/>
        <v>5.0574166666666667</v>
      </c>
      <c r="P68" s="175">
        <f t="shared" si="35"/>
        <v>25.287083333333619</v>
      </c>
      <c r="Q68" s="175">
        <f t="shared" si="36"/>
        <v>0</v>
      </c>
      <c r="R68" s="175">
        <f t="shared" si="37"/>
        <v>25.287083333333619</v>
      </c>
      <c r="S68" s="176">
        <v>1</v>
      </c>
      <c r="T68" s="175">
        <f t="shared" si="38"/>
        <v>25.287083333333619</v>
      </c>
      <c r="U68" s="175">
        <f t="shared" si="39"/>
        <v>581.60291666666637</v>
      </c>
      <c r="V68" s="175">
        <f t="shared" si="40"/>
        <v>581.60291666666637</v>
      </c>
      <c r="W68" s="176">
        <v>1</v>
      </c>
      <c r="X68" s="175">
        <f t="shared" si="41"/>
        <v>581.60291666666637</v>
      </c>
      <c r="Y68" s="175">
        <f t="shared" si="42"/>
        <v>606.89</v>
      </c>
      <c r="Z68" s="175">
        <f t="shared" si="43"/>
        <v>12.643541666666806</v>
      </c>
      <c r="AA68" s="175">
        <f t="shared" si="44"/>
        <v>107.66666666666667</v>
      </c>
      <c r="AB68" s="175">
        <f t="shared" si="45"/>
        <v>118.25</v>
      </c>
      <c r="AC68" s="175">
        <f t="shared" si="46"/>
        <v>117.66666666666667</v>
      </c>
      <c r="AD68" s="175">
        <f t="shared" si="47"/>
        <v>117.25</v>
      </c>
      <c r="AE68" s="175">
        <f t="shared" si="48"/>
        <v>-8.3333333333333329E-2</v>
      </c>
      <c r="AF68" s="175">
        <f t="shared" si="49"/>
        <v>0</v>
      </c>
      <c r="AG68" s="168"/>
      <c r="AH68" s="170"/>
      <c r="AI68" s="170"/>
    </row>
    <row r="69" spans="2:35" s="163" customFormat="1">
      <c r="B69" s="163" t="s">
        <v>579</v>
      </c>
      <c r="C69" s="294">
        <v>2007</v>
      </c>
      <c r="D69" s="163">
        <v>107</v>
      </c>
      <c r="E69" s="163">
        <v>11</v>
      </c>
      <c r="F69" s="178">
        <v>0</v>
      </c>
      <c r="G69" s="177" t="s">
        <v>491</v>
      </c>
      <c r="H69" s="163">
        <v>10</v>
      </c>
      <c r="I69" s="163">
        <f t="shared" si="32"/>
        <v>117</v>
      </c>
      <c r="L69" s="175">
        <v>546.58000000000004</v>
      </c>
      <c r="M69" s="186">
        <v>0</v>
      </c>
      <c r="N69" s="175">
        <f t="shared" si="33"/>
        <v>546.58000000000004</v>
      </c>
      <c r="O69" s="175">
        <f t="shared" si="34"/>
        <v>4.5548333333333337</v>
      </c>
      <c r="P69" s="175">
        <f t="shared" si="35"/>
        <v>31.883833333333076</v>
      </c>
      <c r="Q69" s="175">
        <f t="shared" si="36"/>
        <v>0</v>
      </c>
      <c r="R69" s="175">
        <f t="shared" si="37"/>
        <v>31.883833333333076</v>
      </c>
      <c r="S69" s="176">
        <v>1</v>
      </c>
      <c r="T69" s="175">
        <f t="shared" si="38"/>
        <v>31.883833333333076</v>
      </c>
      <c r="U69" s="175">
        <f t="shared" si="39"/>
        <v>514.69616666666695</v>
      </c>
      <c r="V69" s="175">
        <f t="shared" si="40"/>
        <v>514.69616666666695</v>
      </c>
      <c r="W69" s="176">
        <v>1</v>
      </c>
      <c r="X69" s="175">
        <f t="shared" si="41"/>
        <v>514.69616666666695</v>
      </c>
      <c r="Y69" s="175">
        <f t="shared" si="42"/>
        <v>546.58000000000004</v>
      </c>
      <c r="Z69" s="175">
        <f t="shared" si="43"/>
        <v>15.941916666666543</v>
      </c>
      <c r="AA69" s="175">
        <f t="shared" si="44"/>
        <v>107.83333333333333</v>
      </c>
      <c r="AB69" s="175">
        <f t="shared" si="45"/>
        <v>118.25</v>
      </c>
      <c r="AC69" s="175">
        <f t="shared" si="46"/>
        <v>117.83333333333333</v>
      </c>
      <c r="AD69" s="175">
        <f t="shared" si="47"/>
        <v>117.25</v>
      </c>
      <c r="AE69" s="175">
        <f t="shared" si="48"/>
        <v>-8.3333333333333329E-2</v>
      </c>
      <c r="AF69" s="175">
        <f t="shared" si="49"/>
        <v>0</v>
      </c>
      <c r="AG69" s="168"/>
      <c r="AH69" s="170"/>
      <c r="AI69" s="170"/>
    </row>
    <row r="70" spans="2:35" s="163" customFormat="1">
      <c r="B70" s="163" t="s">
        <v>578</v>
      </c>
      <c r="C70" s="294">
        <v>2007</v>
      </c>
      <c r="D70" s="163">
        <v>107</v>
      </c>
      <c r="E70" s="163">
        <v>11</v>
      </c>
      <c r="F70" s="178">
        <v>0</v>
      </c>
      <c r="G70" s="177" t="s">
        <v>491</v>
      </c>
      <c r="H70" s="163">
        <v>10</v>
      </c>
      <c r="I70" s="163">
        <f t="shared" si="32"/>
        <v>117</v>
      </c>
      <c r="L70" s="175">
        <v>1670.64</v>
      </c>
      <c r="M70" s="186">
        <v>0</v>
      </c>
      <c r="N70" s="175">
        <f t="shared" si="33"/>
        <v>1670.64</v>
      </c>
      <c r="O70" s="175">
        <f t="shared" si="34"/>
        <v>13.922000000000002</v>
      </c>
      <c r="P70" s="175">
        <f t="shared" si="35"/>
        <v>97.453999999999226</v>
      </c>
      <c r="Q70" s="175">
        <f t="shared" si="36"/>
        <v>0</v>
      </c>
      <c r="R70" s="175">
        <f t="shared" si="37"/>
        <v>97.453999999999226</v>
      </c>
      <c r="S70" s="176">
        <v>1</v>
      </c>
      <c r="T70" s="175">
        <f t="shared" si="38"/>
        <v>97.453999999999226</v>
      </c>
      <c r="U70" s="175">
        <f t="shared" si="39"/>
        <v>1573.1860000000008</v>
      </c>
      <c r="V70" s="175">
        <f t="shared" si="40"/>
        <v>1573.1860000000008</v>
      </c>
      <c r="W70" s="176">
        <v>1</v>
      </c>
      <c r="X70" s="175">
        <f t="shared" si="41"/>
        <v>1573.1860000000008</v>
      </c>
      <c r="Y70" s="175">
        <f t="shared" si="42"/>
        <v>1670.64</v>
      </c>
      <c r="Z70" s="175">
        <f t="shared" si="43"/>
        <v>48.726999999999634</v>
      </c>
      <c r="AA70" s="175">
        <f t="shared" si="44"/>
        <v>107.83333333333333</v>
      </c>
      <c r="AB70" s="175">
        <f t="shared" si="45"/>
        <v>118.25</v>
      </c>
      <c r="AC70" s="175">
        <f t="shared" si="46"/>
        <v>117.83333333333333</v>
      </c>
      <c r="AD70" s="175">
        <f t="shared" si="47"/>
        <v>117.25</v>
      </c>
      <c r="AE70" s="175">
        <f t="shared" si="48"/>
        <v>-8.3333333333333329E-2</v>
      </c>
      <c r="AF70" s="175">
        <f t="shared" si="49"/>
        <v>0</v>
      </c>
      <c r="AG70" s="168"/>
      <c r="AH70" s="170"/>
      <c r="AI70" s="170"/>
    </row>
    <row r="71" spans="2:35" s="163" customFormat="1">
      <c r="B71" s="163" t="s">
        <v>573</v>
      </c>
      <c r="C71" s="294">
        <v>2008</v>
      </c>
      <c r="D71" s="163">
        <v>108</v>
      </c>
      <c r="E71" s="163">
        <v>1</v>
      </c>
      <c r="F71" s="178">
        <v>0</v>
      </c>
      <c r="G71" s="177" t="s">
        <v>491</v>
      </c>
      <c r="H71" s="163">
        <v>10</v>
      </c>
      <c r="I71" s="163">
        <f t="shared" si="32"/>
        <v>118</v>
      </c>
      <c r="L71" s="175">
        <v>702.74</v>
      </c>
      <c r="M71" s="186">
        <v>0</v>
      </c>
      <c r="N71" s="175">
        <f t="shared" si="33"/>
        <v>702.74</v>
      </c>
      <c r="O71" s="175">
        <f t="shared" si="34"/>
        <v>5.8561666666666667</v>
      </c>
      <c r="P71" s="175">
        <f t="shared" si="35"/>
        <v>52.705500000000001</v>
      </c>
      <c r="Q71" s="175">
        <f t="shared" si="36"/>
        <v>0</v>
      </c>
      <c r="R71" s="175">
        <f t="shared" si="37"/>
        <v>52.705500000000001</v>
      </c>
      <c r="S71" s="176">
        <v>1</v>
      </c>
      <c r="T71" s="175">
        <f t="shared" si="38"/>
        <v>52.705500000000001</v>
      </c>
      <c r="U71" s="175">
        <f t="shared" si="39"/>
        <v>650.03449999999998</v>
      </c>
      <c r="V71" s="175">
        <f t="shared" si="40"/>
        <v>650.03449999999998</v>
      </c>
      <c r="W71" s="176">
        <v>1</v>
      </c>
      <c r="X71" s="175">
        <f t="shared" si="41"/>
        <v>650.03449999999998</v>
      </c>
      <c r="Y71" s="175">
        <f t="shared" si="42"/>
        <v>702.74</v>
      </c>
      <c r="Z71" s="175">
        <f t="shared" ref="Z71:Z81" si="50">IF(M71&gt;0,(L71-X71)/2,IF(AA71&gt;=AD71,(((L71*S71)*W71)-Y71)/2,((((L71*S71)*W71)-X71)+(((L71*S71)*W71)-Y71))/2))</f>
        <v>26.352750000000015</v>
      </c>
      <c r="AA71" s="175">
        <f t="shared" si="44"/>
        <v>108</v>
      </c>
      <c r="AB71" s="175">
        <f t="shared" si="45"/>
        <v>118.25</v>
      </c>
      <c r="AC71" s="175">
        <f t="shared" si="46"/>
        <v>118</v>
      </c>
      <c r="AD71" s="175">
        <f t="shared" si="47"/>
        <v>117.25</v>
      </c>
      <c r="AE71" s="175">
        <f t="shared" si="48"/>
        <v>-8.3333333333333329E-2</v>
      </c>
      <c r="AF71" s="175">
        <f t="shared" si="49"/>
        <v>0</v>
      </c>
      <c r="AG71" s="168"/>
      <c r="AH71" s="170"/>
      <c r="AI71" s="170"/>
    </row>
    <row r="72" spans="2:35" s="163" customFormat="1">
      <c r="B72" s="163" t="s">
        <v>577</v>
      </c>
      <c r="C72" s="294">
        <v>2008</v>
      </c>
      <c r="D72" s="163">
        <v>108</v>
      </c>
      <c r="E72" s="163">
        <v>1</v>
      </c>
      <c r="F72" s="178">
        <v>0</v>
      </c>
      <c r="G72" s="177" t="s">
        <v>491</v>
      </c>
      <c r="H72" s="163">
        <v>10</v>
      </c>
      <c r="I72" s="163">
        <f t="shared" si="32"/>
        <v>118</v>
      </c>
      <c r="L72" s="175">
        <v>835.32</v>
      </c>
      <c r="M72" s="186">
        <v>0</v>
      </c>
      <c r="N72" s="175">
        <f t="shared" si="33"/>
        <v>835.32</v>
      </c>
      <c r="O72" s="175">
        <f t="shared" si="34"/>
        <v>6.9610000000000012</v>
      </c>
      <c r="P72" s="175">
        <f t="shared" si="35"/>
        <v>62.649000000000008</v>
      </c>
      <c r="Q72" s="175">
        <f t="shared" si="36"/>
        <v>0</v>
      </c>
      <c r="R72" s="175">
        <f t="shared" si="37"/>
        <v>62.649000000000008</v>
      </c>
      <c r="S72" s="176">
        <v>1</v>
      </c>
      <c r="T72" s="175">
        <f t="shared" si="38"/>
        <v>62.649000000000008</v>
      </c>
      <c r="U72" s="175">
        <f t="shared" si="39"/>
        <v>772.67100000000005</v>
      </c>
      <c r="V72" s="175">
        <f t="shared" si="40"/>
        <v>772.67100000000005</v>
      </c>
      <c r="W72" s="176">
        <v>1</v>
      </c>
      <c r="X72" s="175">
        <f t="shared" si="41"/>
        <v>772.67100000000005</v>
      </c>
      <c r="Y72" s="175">
        <f t="shared" si="42"/>
        <v>835.32</v>
      </c>
      <c r="Z72" s="175">
        <f t="shared" si="50"/>
        <v>31.3245</v>
      </c>
      <c r="AA72" s="175">
        <f t="shared" si="44"/>
        <v>108</v>
      </c>
      <c r="AB72" s="175">
        <f t="shared" si="45"/>
        <v>118.25</v>
      </c>
      <c r="AC72" s="175">
        <f t="shared" si="46"/>
        <v>118</v>
      </c>
      <c r="AD72" s="175">
        <f t="shared" si="47"/>
        <v>117.25</v>
      </c>
      <c r="AE72" s="175">
        <f t="shared" si="48"/>
        <v>-8.3333333333333329E-2</v>
      </c>
      <c r="AF72" s="175">
        <f t="shared" si="49"/>
        <v>5.6843418860808015E-14</v>
      </c>
      <c r="AG72" s="168"/>
      <c r="AH72" s="170"/>
      <c r="AI72" s="170"/>
    </row>
    <row r="73" spans="2:35" s="163" customFormat="1">
      <c r="B73" s="163" t="s">
        <v>576</v>
      </c>
      <c r="C73" s="294">
        <v>2008</v>
      </c>
      <c r="D73" s="163">
        <v>108</v>
      </c>
      <c r="E73" s="163">
        <v>1</v>
      </c>
      <c r="F73" s="178">
        <v>0</v>
      </c>
      <c r="G73" s="177" t="s">
        <v>491</v>
      </c>
      <c r="H73" s="163">
        <v>10</v>
      </c>
      <c r="I73" s="163">
        <f t="shared" si="32"/>
        <v>118</v>
      </c>
      <c r="L73" s="175">
        <v>919.22</v>
      </c>
      <c r="M73" s="186">
        <v>0</v>
      </c>
      <c r="N73" s="175">
        <f t="shared" si="33"/>
        <v>919.22</v>
      </c>
      <c r="O73" s="175">
        <f t="shared" si="34"/>
        <v>7.6601666666666661</v>
      </c>
      <c r="P73" s="175">
        <f t="shared" si="35"/>
        <v>68.941499999999991</v>
      </c>
      <c r="Q73" s="175">
        <f t="shared" si="36"/>
        <v>0</v>
      </c>
      <c r="R73" s="175">
        <f t="shared" si="37"/>
        <v>68.941499999999991</v>
      </c>
      <c r="S73" s="176">
        <v>1</v>
      </c>
      <c r="T73" s="175">
        <f t="shared" si="38"/>
        <v>68.941499999999991</v>
      </c>
      <c r="U73" s="175">
        <f t="shared" si="39"/>
        <v>850.27850000000001</v>
      </c>
      <c r="V73" s="175">
        <f t="shared" si="40"/>
        <v>850.27850000000001</v>
      </c>
      <c r="W73" s="176">
        <v>1</v>
      </c>
      <c r="X73" s="175">
        <f t="shared" si="41"/>
        <v>850.27850000000001</v>
      </c>
      <c r="Y73" s="175">
        <f t="shared" si="42"/>
        <v>919.22</v>
      </c>
      <c r="Z73" s="175">
        <f t="shared" si="50"/>
        <v>34.47075000000001</v>
      </c>
      <c r="AA73" s="175">
        <f t="shared" si="44"/>
        <v>108</v>
      </c>
      <c r="AB73" s="175">
        <f t="shared" si="45"/>
        <v>118.25</v>
      </c>
      <c r="AC73" s="175">
        <f t="shared" si="46"/>
        <v>118</v>
      </c>
      <c r="AD73" s="175">
        <f t="shared" si="47"/>
        <v>117.25</v>
      </c>
      <c r="AE73" s="175">
        <f t="shared" si="48"/>
        <v>-8.3333333333333329E-2</v>
      </c>
      <c r="AF73" s="175">
        <f t="shared" si="49"/>
        <v>-5.6843418860808015E-14</v>
      </c>
      <c r="AG73" s="168"/>
      <c r="AH73" s="170"/>
      <c r="AI73" s="170"/>
    </row>
    <row r="74" spans="2:35" s="163" customFormat="1">
      <c r="B74" s="163" t="s">
        <v>575</v>
      </c>
      <c r="C74" s="294">
        <v>2008</v>
      </c>
      <c r="D74" s="163">
        <v>108</v>
      </c>
      <c r="E74" s="163">
        <v>3</v>
      </c>
      <c r="F74" s="178">
        <v>0</v>
      </c>
      <c r="G74" s="177" t="s">
        <v>491</v>
      </c>
      <c r="H74" s="163">
        <v>10</v>
      </c>
      <c r="I74" s="163">
        <f t="shared" si="32"/>
        <v>118</v>
      </c>
      <c r="L74" s="175">
        <v>606.89</v>
      </c>
      <c r="M74" s="186">
        <v>0</v>
      </c>
      <c r="N74" s="175">
        <f t="shared" si="33"/>
        <v>606.89</v>
      </c>
      <c r="O74" s="175">
        <f t="shared" si="34"/>
        <v>5.0574166666666667</v>
      </c>
      <c r="P74" s="175">
        <f t="shared" si="35"/>
        <v>55.631583333333623</v>
      </c>
      <c r="Q74" s="175">
        <f t="shared" si="36"/>
        <v>0</v>
      </c>
      <c r="R74" s="175">
        <f t="shared" si="37"/>
        <v>55.631583333333623</v>
      </c>
      <c r="S74" s="176">
        <v>1</v>
      </c>
      <c r="T74" s="175">
        <f t="shared" si="38"/>
        <v>55.631583333333623</v>
      </c>
      <c r="U74" s="175">
        <f t="shared" si="39"/>
        <v>551.25841666666634</v>
      </c>
      <c r="V74" s="175">
        <f t="shared" si="40"/>
        <v>551.25841666666634</v>
      </c>
      <c r="W74" s="176">
        <v>1</v>
      </c>
      <c r="X74" s="175">
        <f t="shared" si="41"/>
        <v>551.25841666666634</v>
      </c>
      <c r="Y74" s="175">
        <f t="shared" si="42"/>
        <v>606.89</v>
      </c>
      <c r="Z74" s="175">
        <f t="shared" si="50"/>
        <v>27.815791666666826</v>
      </c>
      <c r="AA74" s="175">
        <f t="shared" si="44"/>
        <v>108.16666666666667</v>
      </c>
      <c r="AB74" s="175">
        <f t="shared" si="45"/>
        <v>118.25</v>
      </c>
      <c r="AC74" s="175">
        <f t="shared" si="46"/>
        <v>118.16666666666667</v>
      </c>
      <c r="AD74" s="175">
        <f t="shared" si="47"/>
        <v>117.25</v>
      </c>
      <c r="AE74" s="175">
        <f t="shared" si="48"/>
        <v>-8.3333333333333329E-2</v>
      </c>
      <c r="AF74" s="175">
        <f t="shared" si="49"/>
        <v>-5.6843418860808015E-14</v>
      </c>
      <c r="AG74" s="168"/>
      <c r="AH74" s="170"/>
      <c r="AI74" s="170"/>
    </row>
    <row r="75" spans="2:35" s="163" customFormat="1">
      <c r="B75" s="163" t="s">
        <v>573</v>
      </c>
      <c r="C75" s="294">
        <v>2008</v>
      </c>
      <c r="D75" s="163">
        <v>108</v>
      </c>
      <c r="E75" s="163">
        <v>3</v>
      </c>
      <c r="F75" s="178">
        <v>0</v>
      </c>
      <c r="G75" s="177" t="s">
        <v>491</v>
      </c>
      <c r="H75" s="163">
        <v>10</v>
      </c>
      <c r="I75" s="163">
        <f t="shared" si="32"/>
        <v>118</v>
      </c>
      <c r="L75" s="175">
        <v>702.2</v>
      </c>
      <c r="M75" s="186">
        <v>0</v>
      </c>
      <c r="N75" s="175">
        <f t="shared" si="33"/>
        <v>702.2</v>
      </c>
      <c r="O75" s="175">
        <f t="shared" si="34"/>
        <v>5.8516666666666666</v>
      </c>
      <c r="P75" s="175">
        <f t="shared" si="35"/>
        <v>64.368333333333666</v>
      </c>
      <c r="Q75" s="175">
        <f t="shared" si="36"/>
        <v>0</v>
      </c>
      <c r="R75" s="175">
        <f t="shared" si="37"/>
        <v>64.368333333333666</v>
      </c>
      <c r="S75" s="176">
        <v>1</v>
      </c>
      <c r="T75" s="175">
        <f t="shared" si="38"/>
        <v>64.368333333333666</v>
      </c>
      <c r="U75" s="175">
        <f t="shared" si="39"/>
        <v>637.83166666666637</v>
      </c>
      <c r="V75" s="175">
        <f t="shared" si="40"/>
        <v>637.83166666666637</v>
      </c>
      <c r="W75" s="176">
        <v>1</v>
      </c>
      <c r="X75" s="175">
        <f t="shared" si="41"/>
        <v>637.83166666666637</v>
      </c>
      <c r="Y75" s="175">
        <f t="shared" si="42"/>
        <v>702.2</v>
      </c>
      <c r="Z75" s="175">
        <f t="shared" si="50"/>
        <v>32.18416666666684</v>
      </c>
      <c r="AA75" s="175">
        <f t="shared" si="44"/>
        <v>108.16666666666667</v>
      </c>
      <c r="AB75" s="175">
        <f t="shared" si="45"/>
        <v>118.25</v>
      </c>
      <c r="AC75" s="175">
        <f t="shared" si="46"/>
        <v>118.16666666666667</v>
      </c>
      <c r="AD75" s="175">
        <f t="shared" si="47"/>
        <v>117.25</v>
      </c>
      <c r="AE75" s="175">
        <f t="shared" si="48"/>
        <v>-8.3333333333333329E-2</v>
      </c>
      <c r="AF75" s="175">
        <f t="shared" si="49"/>
        <v>5.6843418860808015E-14</v>
      </c>
      <c r="AG75" s="168"/>
      <c r="AH75" s="170"/>
      <c r="AI75" s="170"/>
    </row>
    <row r="76" spans="2:35" s="163" customFormat="1">
      <c r="B76" s="163" t="s">
        <v>574</v>
      </c>
      <c r="C76" s="294">
        <v>2008</v>
      </c>
      <c r="D76" s="163">
        <v>108</v>
      </c>
      <c r="E76" s="163">
        <v>3</v>
      </c>
      <c r="F76" s="178">
        <v>0</v>
      </c>
      <c r="G76" s="177" t="s">
        <v>491</v>
      </c>
      <c r="H76" s="163">
        <v>10</v>
      </c>
      <c r="I76" s="163">
        <f t="shared" si="32"/>
        <v>118</v>
      </c>
      <c r="L76" s="175">
        <v>835.32</v>
      </c>
      <c r="M76" s="186">
        <v>0</v>
      </c>
      <c r="N76" s="175">
        <f t="shared" si="33"/>
        <v>835.32</v>
      </c>
      <c r="O76" s="175">
        <f t="shared" si="34"/>
        <v>6.9610000000000012</v>
      </c>
      <c r="P76" s="175">
        <f t="shared" si="35"/>
        <v>76.57100000000041</v>
      </c>
      <c r="Q76" s="175">
        <f t="shared" si="36"/>
        <v>0</v>
      </c>
      <c r="R76" s="175">
        <f t="shared" si="37"/>
        <v>76.57100000000041</v>
      </c>
      <c r="S76" s="176">
        <v>1</v>
      </c>
      <c r="T76" s="175">
        <f t="shared" si="38"/>
        <v>76.57100000000041</v>
      </c>
      <c r="U76" s="175">
        <f t="shared" si="39"/>
        <v>758.74899999999968</v>
      </c>
      <c r="V76" s="175">
        <f t="shared" si="40"/>
        <v>758.74899999999968</v>
      </c>
      <c r="W76" s="176">
        <v>1</v>
      </c>
      <c r="X76" s="175">
        <f t="shared" si="41"/>
        <v>758.74899999999968</v>
      </c>
      <c r="Y76" s="175">
        <f t="shared" si="42"/>
        <v>835.32</v>
      </c>
      <c r="Z76" s="175">
        <f t="shared" si="50"/>
        <v>38.285500000000184</v>
      </c>
      <c r="AA76" s="175">
        <f t="shared" si="44"/>
        <v>108.16666666666667</v>
      </c>
      <c r="AB76" s="175">
        <f t="shared" si="45"/>
        <v>118.25</v>
      </c>
      <c r="AC76" s="175">
        <f t="shared" si="46"/>
        <v>118.16666666666667</v>
      </c>
      <c r="AD76" s="175">
        <f t="shared" si="47"/>
        <v>117.25</v>
      </c>
      <c r="AE76" s="175">
        <f t="shared" si="48"/>
        <v>-8.3333333333333329E-2</v>
      </c>
      <c r="AF76" s="175">
        <f t="shared" si="49"/>
        <v>0</v>
      </c>
      <c r="AG76" s="168"/>
      <c r="AH76" s="170"/>
      <c r="AI76" s="170"/>
    </row>
    <row r="77" spans="2:35" s="163" customFormat="1">
      <c r="B77" s="163" t="s">
        <v>573</v>
      </c>
      <c r="C77" s="294">
        <v>2008</v>
      </c>
      <c r="D77" s="163">
        <v>108</v>
      </c>
      <c r="E77" s="163">
        <v>5</v>
      </c>
      <c r="F77" s="178">
        <v>0</v>
      </c>
      <c r="G77" s="177" t="s">
        <v>491</v>
      </c>
      <c r="H77" s="163">
        <v>10</v>
      </c>
      <c r="I77" s="163">
        <f t="shared" si="32"/>
        <v>118</v>
      </c>
      <c r="L77" s="175">
        <v>776.52</v>
      </c>
      <c r="M77" s="186">
        <v>0</v>
      </c>
      <c r="N77" s="175">
        <f t="shared" si="33"/>
        <v>776.52</v>
      </c>
      <c r="O77" s="175">
        <f t="shared" si="34"/>
        <v>6.4710000000000001</v>
      </c>
      <c r="P77" s="175">
        <f t="shared" si="35"/>
        <v>77.652000000000001</v>
      </c>
      <c r="Q77" s="175">
        <f t="shared" si="36"/>
        <v>0</v>
      </c>
      <c r="R77" s="175">
        <f t="shared" si="37"/>
        <v>77.652000000000001</v>
      </c>
      <c r="S77" s="176">
        <v>1</v>
      </c>
      <c r="T77" s="175">
        <f t="shared" si="38"/>
        <v>77.652000000000001</v>
      </c>
      <c r="U77" s="175">
        <f t="shared" si="39"/>
        <v>692.39700000000039</v>
      </c>
      <c r="V77" s="175">
        <f t="shared" si="40"/>
        <v>692.39700000000039</v>
      </c>
      <c r="W77" s="176">
        <v>1</v>
      </c>
      <c r="X77" s="175">
        <f t="shared" si="41"/>
        <v>692.39700000000039</v>
      </c>
      <c r="Y77" s="175">
        <f t="shared" si="42"/>
        <v>770.04900000000043</v>
      </c>
      <c r="Z77" s="175">
        <f t="shared" si="50"/>
        <v>45.296999999999571</v>
      </c>
      <c r="AA77" s="175">
        <f t="shared" si="44"/>
        <v>108.33333333333333</v>
      </c>
      <c r="AB77" s="175">
        <f t="shared" si="45"/>
        <v>118.25</v>
      </c>
      <c r="AC77" s="175">
        <f t="shared" si="46"/>
        <v>118.33333333333333</v>
      </c>
      <c r="AD77" s="175">
        <f t="shared" si="47"/>
        <v>117.25</v>
      </c>
      <c r="AE77" s="175">
        <f t="shared" si="48"/>
        <v>-8.3333333333333329E-2</v>
      </c>
      <c r="AF77" s="175">
        <f t="shared" si="49"/>
        <v>0</v>
      </c>
      <c r="AG77" s="168"/>
      <c r="AH77" s="170"/>
      <c r="AI77" s="170"/>
    </row>
    <row r="78" spans="2:35" s="163" customFormat="1">
      <c r="B78" s="163" t="s">
        <v>572</v>
      </c>
      <c r="C78" s="294">
        <v>2008</v>
      </c>
      <c r="D78" s="163">
        <v>108</v>
      </c>
      <c r="E78" s="163">
        <v>5</v>
      </c>
      <c r="F78" s="178">
        <v>0</v>
      </c>
      <c r="G78" s="177" t="s">
        <v>491</v>
      </c>
      <c r="H78" s="163">
        <v>10</v>
      </c>
      <c r="I78" s="163">
        <f t="shared" si="32"/>
        <v>118</v>
      </c>
      <c r="L78" s="175">
        <v>1121.7</v>
      </c>
      <c r="M78" s="186">
        <v>0</v>
      </c>
      <c r="N78" s="175">
        <f t="shared" si="33"/>
        <v>1121.7</v>
      </c>
      <c r="O78" s="175">
        <f t="shared" si="34"/>
        <v>9.3475000000000001</v>
      </c>
      <c r="P78" s="175">
        <f t="shared" si="35"/>
        <v>112.17</v>
      </c>
      <c r="Q78" s="175">
        <f t="shared" si="36"/>
        <v>0</v>
      </c>
      <c r="R78" s="175">
        <f t="shared" si="37"/>
        <v>112.17</v>
      </c>
      <c r="S78" s="176">
        <v>1</v>
      </c>
      <c r="T78" s="175">
        <f t="shared" si="38"/>
        <v>112.17</v>
      </c>
      <c r="U78" s="175">
        <f t="shared" si="39"/>
        <v>1000.1825000000006</v>
      </c>
      <c r="V78" s="175">
        <f t="shared" si="40"/>
        <v>1000.1825000000006</v>
      </c>
      <c r="W78" s="176">
        <v>1</v>
      </c>
      <c r="X78" s="175">
        <f t="shared" si="41"/>
        <v>1000.1825000000006</v>
      </c>
      <c r="Y78" s="175">
        <f t="shared" si="42"/>
        <v>1112.3525000000006</v>
      </c>
      <c r="Z78" s="175">
        <f t="shared" si="50"/>
        <v>65.432499999999436</v>
      </c>
      <c r="AA78" s="175">
        <f t="shared" si="44"/>
        <v>108.33333333333333</v>
      </c>
      <c r="AB78" s="175">
        <f t="shared" si="45"/>
        <v>118.25</v>
      </c>
      <c r="AC78" s="175">
        <f t="shared" si="46"/>
        <v>118.33333333333333</v>
      </c>
      <c r="AD78" s="175">
        <f t="shared" si="47"/>
        <v>117.25</v>
      </c>
      <c r="AE78" s="175">
        <f t="shared" si="48"/>
        <v>-8.3333333333333329E-2</v>
      </c>
      <c r="AF78" s="175">
        <f t="shared" si="49"/>
        <v>0</v>
      </c>
      <c r="AG78" s="168"/>
      <c r="AH78" s="170"/>
      <c r="AI78" s="170"/>
    </row>
    <row r="79" spans="2:35" s="163" customFormat="1">
      <c r="B79" s="163" t="s">
        <v>572</v>
      </c>
      <c r="C79" s="294">
        <v>2008</v>
      </c>
      <c r="D79" s="163">
        <v>108</v>
      </c>
      <c r="E79" s="163">
        <v>8</v>
      </c>
      <c r="F79" s="178">
        <v>0</v>
      </c>
      <c r="G79" s="177" t="s">
        <v>491</v>
      </c>
      <c r="H79" s="163">
        <v>10</v>
      </c>
      <c r="I79" s="163">
        <f>D79+H79</f>
        <v>118</v>
      </c>
      <c r="L79" s="175">
        <v>1121.7</v>
      </c>
      <c r="M79" s="186">
        <v>0</v>
      </c>
      <c r="N79" s="175">
        <f t="shared" si="33"/>
        <v>1121.7</v>
      </c>
      <c r="O79" s="175">
        <f>N79/H79/12</f>
        <v>9.3475000000000001</v>
      </c>
      <c r="P79" s="175">
        <f>IF(Q79&gt;0,0,IF(OR(AA79&gt;AB79,AC79&lt;AD79),0,IF(AND(AC79&gt;=AD79,AC79&lt;=AB79),O79*((AC79-AD79)*12),IF(AND(AD79&lt;=AA79,AB79&gt;=AA79),((AB79-AA79)*12)*O79,IF(AC79&gt;AB79,12*O79,0)))))</f>
        <v>112.17</v>
      </c>
      <c r="Q79" s="175">
        <f t="shared" si="36"/>
        <v>0</v>
      </c>
      <c r="R79" s="175">
        <f>IF(Q79&gt;0,Q79,P79)</f>
        <v>112.17</v>
      </c>
      <c r="S79" s="176">
        <v>1</v>
      </c>
      <c r="T79" s="175">
        <f>S79*SUM(P79:Q79)</f>
        <v>112.17</v>
      </c>
      <c r="U79" s="175">
        <f t="shared" si="39"/>
        <v>972.14000000000055</v>
      </c>
      <c r="V79" s="175">
        <f>U79*S79</f>
        <v>972.14000000000055</v>
      </c>
      <c r="W79" s="176">
        <v>1</v>
      </c>
      <c r="X79" s="175">
        <f>V79*W79</f>
        <v>972.14000000000055</v>
      </c>
      <c r="Y79" s="175">
        <f>IF(M79&gt;0,0,X79+T79*W79)*W79</f>
        <v>1084.3100000000006</v>
      </c>
      <c r="Z79" s="175">
        <f t="shared" si="50"/>
        <v>93.474999999999454</v>
      </c>
      <c r="AA79" s="175">
        <f t="shared" si="44"/>
        <v>108.58333333333333</v>
      </c>
      <c r="AB79" s="175">
        <f t="shared" si="45"/>
        <v>118.25</v>
      </c>
      <c r="AC79" s="175">
        <f t="shared" si="46"/>
        <v>118.58333333333333</v>
      </c>
      <c r="AD79" s="175">
        <f t="shared" si="47"/>
        <v>117.25</v>
      </c>
      <c r="AE79" s="175">
        <f t="shared" si="48"/>
        <v>-8.3333333333333329E-2</v>
      </c>
      <c r="AF79" s="175">
        <f t="shared" si="49"/>
        <v>0</v>
      </c>
      <c r="AG79" s="168"/>
      <c r="AH79" s="170"/>
      <c r="AI79" s="170"/>
    </row>
    <row r="80" spans="2:35" s="163" customFormat="1">
      <c r="B80" s="163" t="s">
        <v>571</v>
      </c>
      <c r="C80" s="294">
        <v>2008</v>
      </c>
      <c r="D80" s="163">
        <v>108</v>
      </c>
      <c r="E80" s="163">
        <v>8</v>
      </c>
      <c r="F80" s="178">
        <v>0</v>
      </c>
      <c r="G80" s="177" t="s">
        <v>491</v>
      </c>
      <c r="H80" s="163">
        <v>10</v>
      </c>
      <c r="I80" s="163">
        <f>D80+H80</f>
        <v>118</v>
      </c>
      <c r="L80" s="175">
        <v>4305.8599999999997</v>
      </c>
      <c r="M80" s="186">
        <v>0</v>
      </c>
      <c r="N80" s="175">
        <f t="shared" si="33"/>
        <v>4305.8599999999997</v>
      </c>
      <c r="O80" s="175">
        <f>N80/H80/12</f>
        <v>35.882166666666663</v>
      </c>
      <c r="P80" s="175">
        <f>IF(Q80&gt;0,0,IF(OR(AA80&gt;AB80,AC80&lt;AD80),0,IF(AND(AC80&gt;=AD80,AC80&lt;=AB80),O80*((AC80-AD80)*12),IF(AND(AD80&lt;=AA80,AB80&gt;=AA80),((AB80-AA80)*12)*O80,IF(AC80&gt;AB80,12*O80,0)))))</f>
        <v>430.58599999999996</v>
      </c>
      <c r="Q80" s="175">
        <f t="shared" si="36"/>
        <v>0</v>
      </c>
      <c r="R80" s="175">
        <f>IF(Q80&gt;0,Q80,P80)</f>
        <v>430.58599999999996</v>
      </c>
      <c r="S80" s="176">
        <v>1</v>
      </c>
      <c r="T80" s="175">
        <f>S80*SUM(P80:Q80)</f>
        <v>430.58599999999996</v>
      </c>
      <c r="U80" s="175">
        <f t="shared" si="39"/>
        <v>3731.7453333333351</v>
      </c>
      <c r="V80" s="175">
        <f>U80*S80</f>
        <v>3731.7453333333351</v>
      </c>
      <c r="W80" s="176">
        <v>1</v>
      </c>
      <c r="X80" s="175">
        <f>V80*W80</f>
        <v>3731.7453333333351</v>
      </c>
      <c r="Y80" s="175">
        <f>IF(M80&gt;0,0,X80+T80*W80)*W80</f>
        <v>4162.3313333333354</v>
      </c>
      <c r="Z80" s="175">
        <f t="shared" si="50"/>
        <v>358.82166666666444</v>
      </c>
      <c r="AA80" s="175">
        <f t="shared" si="44"/>
        <v>108.58333333333333</v>
      </c>
      <c r="AB80" s="175">
        <f t="shared" si="45"/>
        <v>118.25</v>
      </c>
      <c r="AC80" s="175">
        <f t="shared" si="46"/>
        <v>118.58333333333333</v>
      </c>
      <c r="AD80" s="175">
        <f t="shared" si="47"/>
        <v>117.25</v>
      </c>
      <c r="AE80" s="175">
        <f t="shared" si="48"/>
        <v>-8.3333333333333329E-2</v>
      </c>
      <c r="AF80" s="175">
        <f t="shared" si="49"/>
        <v>0</v>
      </c>
      <c r="AG80" s="168"/>
      <c r="AH80" s="170"/>
      <c r="AI80" s="170"/>
    </row>
    <row r="81" spans="2:35" s="163" customFormat="1">
      <c r="B81" s="163" t="s">
        <v>570</v>
      </c>
      <c r="C81" s="294">
        <v>2011</v>
      </c>
      <c r="D81" s="163">
        <v>111</v>
      </c>
      <c r="E81" s="163">
        <v>6</v>
      </c>
      <c r="F81" s="178">
        <v>0</v>
      </c>
      <c r="G81" s="177" t="s">
        <v>491</v>
      </c>
      <c r="H81" s="163">
        <v>10</v>
      </c>
      <c r="I81" s="163">
        <f>D81+H81</f>
        <v>121</v>
      </c>
      <c r="L81" s="175">
        <v>636.61</v>
      </c>
      <c r="M81" s="186">
        <v>0</v>
      </c>
      <c r="N81" s="175">
        <f t="shared" si="33"/>
        <v>636.61</v>
      </c>
      <c r="O81" s="175">
        <f>N81/H81/12</f>
        <v>5.3050833333333332</v>
      </c>
      <c r="P81" s="175">
        <f>IF(Q81&gt;0,0,IF(OR(AA81&gt;AB81,AC81&lt;AD81),0,IF(AND(AC81&gt;=AD81,AC81&lt;=AB81),O81*((AC81-AD81)*12),IF(AND(AD81&lt;=AA81,AB81&gt;=AA81),((AB81-AA81)*12)*O81,IF(AC81&gt;AB81,12*O81,0)))))</f>
        <v>63.661000000000001</v>
      </c>
      <c r="Q81" s="175">
        <f t="shared" si="36"/>
        <v>0</v>
      </c>
      <c r="R81" s="175">
        <f>IF(Q81&gt;0,Q81,P81)</f>
        <v>63.661000000000001</v>
      </c>
      <c r="S81" s="176">
        <v>1</v>
      </c>
      <c r="T81" s="175">
        <f>S81*SUM(P81:Q81)</f>
        <v>63.661000000000001</v>
      </c>
      <c r="U81" s="175">
        <f t="shared" si="39"/>
        <v>371.35583333333301</v>
      </c>
      <c r="V81" s="175">
        <f>U81*S81</f>
        <v>371.35583333333301</v>
      </c>
      <c r="W81" s="176">
        <v>1</v>
      </c>
      <c r="X81" s="175">
        <f>V81*W81</f>
        <v>371.35583333333301</v>
      </c>
      <c r="Y81" s="175">
        <f>IF(M81&gt;0,0,X81+T81*W81)*W81</f>
        <v>435.01683333333301</v>
      </c>
      <c r="Z81" s="175">
        <f t="shared" si="50"/>
        <v>233.423666666667</v>
      </c>
      <c r="AA81" s="175">
        <f t="shared" si="44"/>
        <v>111.41666666666667</v>
      </c>
      <c r="AB81" s="175">
        <f t="shared" si="45"/>
        <v>118.25</v>
      </c>
      <c r="AC81" s="175">
        <f t="shared" si="46"/>
        <v>121.41666666666667</v>
      </c>
      <c r="AD81" s="175">
        <f t="shared" si="47"/>
        <v>117.25</v>
      </c>
      <c r="AE81" s="175">
        <f t="shared" si="48"/>
        <v>-8.3333333333333329E-2</v>
      </c>
      <c r="AF81" s="175">
        <f t="shared" si="49"/>
        <v>0</v>
      </c>
      <c r="AG81" s="168"/>
      <c r="AH81" s="170"/>
      <c r="AI81" s="170"/>
    </row>
    <row r="82" spans="2:35" s="163" customFormat="1">
      <c r="B82" s="163" t="s">
        <v>867</v>
      </c>
      <c r="C82" s="294">
        <v>2013</v>
      </c>
      <c r="D82" s="163">
        <v>113</v>
      </c>
      <c r="E82" s="163">
        <v>9</v>
      </c>
      <c r="F82" s="178">
        <v>0</v>
      </c>
      <c r="G82" s="177" t="s">
        <v>491</v>
      </c>
      <c r="H82" s="163">
        <v>10</v>
      </c>
      <c r="I82" s="163">
        <f t="shared" ref="I82:I98" si="51">D82+H82</f>
        <v>123</v>
      </c>
      <c r="L82" s="175">
        <v>603.72</v>
      </c>
      <c r="M82" s="186">
        <v>0</v>
      </c>
      <c r="N82" s="175">
        <f t="shared" ref="N82:N98" si="52">L82-(+L82*F82)</f>
        <v>603.72</v>
      </c>
      <c r="O82" s="175">
        <f t="shared" ref="O82:O98" si="53">N82/H82/12</f>
        <v>5.0309999999999997</v>
      </c>
      <c r="P82" s="175">
        <f t="shared" ref="P82:P98" si="54">IF(Q82&gt;0,0,IF(OR(AA82&gt;AB82,AC82&lt;AD82),0,IF(AND(AC82&gt;=AD82,AC82&lt;=AB82),O82*((AC82-AD82)*12),IF(AND(AD82&lt;=AA82,AB82&gt;=AA82),((AB82-AA82)*12)*O82,IF(AC82&gt;AB82,12*O82,0)))))</f>
        <v>60.372</v>
      </c>
      <c r="Q82" s="175">
        <f t="shared" si="36"/>
        <v>0</v>
      </c>
      <c r="R82" s="175">
        <f t="shared" ref="R82:R98" si="55">IF(Q82&gt;0,Q82,P82)</f>
        <v>60.372</v>
      </c>
      <c r="S82" s="176">
        <v>1</v>
      </c>
      <c r="T82" s="175">
        <f t="shared" ref="T82:T98" si="56">S82*SUM(P82:Q82)</f>
        <v>60.372</v>
      </c>
      <c r="U82" s="175">
        <f t="shared" ref="U82:U98" si="57">IF(AA82&gt;AB82,0,IF(AC82&lt;AD82,N82,IF(AND(AC82&gt;=AD82,AC82&lt;=AB82),(N82-R82),IF(AND(AD82&lt;=AA82,AB82&gt;=AA82),0,IF(AC82&gt;AB82,((AD82-AA82)*12)*O82,0)))))</f>
        <v>216.33299999999971</v>
      </c>
      <c r="V82" s="175">
        <f t="shared" ref="V82:V98" si="58">U82*S82</f>
        <v>216.33299999999971</v>
      </c>
      <c r="W82" s="176">
        <v>1</v>
      </c>
      <c r="X82" s="175">
        <f t="shared" ref="X82:X98" si="59">V82*W82</f>
        <v>216.33299999999971</v>
      </c>
      <c r="Y82" s="175">
        <f t="shared" ref="Y82:Y98" si="60">IF(M82&gt;0,0,X82+T82*W82)*W82</f>
        <v>276.7049999999997</v>
      </c>
      <c r="Z82" s="175">
        <f t="shared" ref="Z82:Z96" si="61">IF(M82&gt;0,(L82-X82)/2,IF(AA82&gt;=AD82,(((L82*S82)*W82)-Y82)/2,((((L82*S82)*W82)-X82)+(((L82*S82)*W82)-Y82))/2))</f>
        <v>357.20100000000031</v>
      </c>
      <c r="AA82" s="175">
        <f t="shared" si="44"/>
        <v>113.66666666666667</v>
      </c>
      <c r="AB82" s="175">
        <f t="shared" si="45"/>
        <v>118.25</v>
      </c>
      <c r="AC82" s="175">
        <f t="shared" si="46"/>
        <v>123.66666666666667</v>
      </c>
      <c r="AD82" s="175">
        <f t="shared" si="47"/>
        <v>117.25</v>
      </c>
      <c r="AE82" s="175">
        <f t="shared" si="48"/>
        <v>-8.3333333333333329E-2</v>
      </c>
      <c r="AF82" s="175">
        <f t="shared" si="49"/>
        <v>0</v>
      </c>
      <c r="AG82" s="168"/>
      <c r="AH82" s="170"/>
      <c r="AI82" s="170"/>
    </row>
    <row r="83" spans="2:35" s="163" customFormat="1">
      <c r="B83" s="163" t="s">
        <v>868</v>
      </c>
      <c r="C83" s="294">
        <v>2013</v>
      </c>
      <c r="D83" s="163">
        <v>113</v>
      </c>
      <c r="E83" s="163">
        <v>9</v>
      </c>
      <c r="F83" s="178">
        <v>0</v>
      </c>
      <c r="G83" s="177" t="s">
        <v>491</v>
      </c>
      <c r="H83" s="163">
        <v>10</v>
      </c>
      <c r="I83" s="163">
        <f t="shared" si="51"/>
        <v>123</v>
      </c>
      <c r="L83" s="175">
        <v>637.21</v>
      </c>
      <c r="M83" s="186">
        <v>0</v>
      </c>
      <c r="N83" s="175">
        <f t="shared" si="52"/>
        <v>637.21</v>
      </c>
      <c r="O83" s="175">
        <f t="shared" si="53"/>
        <v>5.3100833333333339</v>
      </c>
      <c r="P83" s="175">
        <f t="shared" si="54"/>
        <v>63.721000000000004</v>
      </c>
      <c r="Q83" s="175">
        <f t="shared" si="36"/>
        <v>0</v>
      </c>
      <c r="R83" s="175">
        <f t="shared" si="55"/>
        <v>63.721000000000004</v>
      </c>
      <c r="S83" s="176">
        <v>1</v>
      </c>
      <c r="T83" s="175">
        <f t="shared" si="56"/>
        <v>63.721000000000004</v>
      </c>
      <c r="U83" s="175">
        <f t="shared" si="57"/>
        <v>228.33358333333305</v>
      </c>
      <c r="V83" s="175">
        <f t="shared" si="58"/>
        <v>228.33358333333305</v>
      </c>
      <c r="W83" s="176">
        <v>1</v>
      </c>
      <c r="X83" s="175">
        <f t="shared" si="59"/>
        <v>228.33358333333305</v>
      </c>
      <c r="Y83" s="175">
        <f t="shared" si="60"/>
        <v>292.05458333333308</v>
      </c>
      <c r="Z83" s="175">
        <f t="shared" si="61"/>
        <v>377.01591666666695</v>
      </c>
      <c r="AA83" s="175">
        <f t="shared" si="44"/>
        <v>113.66666666666667</v>
      </c>
      <c r="AB83" s="175">
        <f t="shared" si="45"/>
        <v>118.25</v>
      </c>
      <c r="AC83" s="175">
        <f t="shared" si="46"/>
        <v>123.66666666666667</v>
      </c>
      <c r="AD83" s="175">
        <f t="shared" si="47"/>
        <v>117.25</v>
      </c>
      <c r="AE83" s="175">
        <f t="shared" si="48"/>
        <v>-8.3333333333333329E-2</v>
      </c>
      <c r="AF83" s="175">
        <f t="shared" si="49"/>
        <v>0</v>
      </c>
      <c r="AG83" s="168"/>
      <c r="AH83" s="170"/>
      <c r="AI83" s="170"/>
    </row>
    <row r="84" spans="2:35" s="163" customFormat="1">
      <c r="B84" s="163" t="s">
        <v>860</v>
      </c>
      <c r="C84" s="294">
        <v>2014</v>
      </c>
      <c r="D84" s="163">
        <v>114</v>
      </c>
      <c r="E84" s="163">
        <v>1</v>
      </c>
      <c r="F84" s="178">
        <v>0</v>
      </c>
      <c r="G84" s="177" t="s">
        <v>491</v>
      </c>
      <c r="H84" s="163">
        <v>10</v>
      </c>
      <c r="I84" s="163">
        <f t="shared" si="51"/>
        <v>124</v>
      </c>
      <c r="L84" s="175">
        <v>4060.89</v>
      </c>
      <c r="M84" s="186">
        <v>0</v>
      </c>
      <c r="N84" s="175">
        <f t="shared" si="52"/>
        <v>4060.89</v>
      </c>
      <c r="O84" s="175">
        <f t="shared" si="53"/>
        <v>33.84075</v>
      </c>
      <c r="P84" s="175">
        <f t="shared" si="54"/>
        <v>406.089</v>
      </c>
      <c r="Q84" s="175">
        <f t="shared" si="36"/>
        <v>0</v>
      </c>
      <c r="R84" s="175">
        <f t="shared" si="55"/>
        <v>406.089</v>
      </c>
      <c r="S84" s="176">
        <v>1</v>
      </c>
      <c r="T84" s="175">
        <f t="shared" si="56"/>
        <v>406.089</v>
      </c>
      <c r="U84" s="175">
        <f t="shared" si="57"/>
        <v>1319.78925</v>
      </c>
      <c r="V84" s="175">
        <f t="shared" si="58"/>
        <v>1319.78925</v>
      </c>
      <c r="W84" s="176">
        <v>1</v>
      </c>
      <c r="X84" s="175">
        <f t="shared" si="59"/>
        <v>1319.78925</v>
      </c>
      <c r="Y84" s="175">
        <f t="shared" si="60"/>
        <v>1725.87825</v>
      </c>
      <c r="Z84" s="175">
        <f t="shared" si="61"/>
        <v>2538.0562499999996</v>
      </c>
      <c r="AA84" s="175">
        <f t="shared" si="44"/>
        <v>114</v>
      </c>
      <c r="AB84" s="175">
        <f t="shared" si="45"/>
        <v>118.25</v>
      </c>
      <c r="AC84" s="175">
        <f t="shared" si="46"/>
        <v>124</v>
      </c>
      <c r="AD84" s="175">
        <f t="shared" si="47"/>
        <v>117.25</v>
      </c>
      <c r="AE84" s="175">
        <f t="shared" si="48"/>
        <v>-8.3333333333333329E-2</v>
      </c>
      <c r="AF84" s="175">
        <f t="shared" si="49"/>
        <v>0</v>
      </c>
      <c r="AG84" s="168"/>
      <c r="AH84" s="170"/>
      <c r="AI84" s="170"/>
    </row>
    <row r="85" spans="2:35" s="163" customFormat="1">
      <c r="B85" s="163" t="s">
        <v>861</v>
      </c>
      <c r="C85" s="294">
        <v>2014</v>
      </c>
      <c r="D85" s="163">
        <v>114</v>
      </c>
      <c r="E85" s="163">
        <v>1</v>
      </c>
      <c r="F85" s="178">
        <v>0</v>
      </c>
      <c r="G85" s="177" t="s">
        <v>491</v>
      </c>
      <c r="H85" s="163">
        <v>10</v>
      </c>
      <c r="I85" s="163">
        <f t="shared" si="51"/>
        <v>124</v>
      </c>
      <c r="L85" s="175">
        <v>1531.43</v>
      </c>
      <c r="M85" s="186">
        <v>0</v>
      </c>
      <c r="N85" s="175">
        <f t="shared" si="52"/>
        <v>1531.43</v>
      </c>
      <c r="O85" s="175">
        <f t="shared" si="53"/>
        <v>12.761916666666666</v>
      </c>
      <c r="P85" s="175">
        <f t="shared" si="54"/>
        <v>153.143</v>
      </c>
      <c r="Q85" s="175">
        <f t="shared" si="36"/>
        <v>0</v>
      </c>
      <c r="R85" s="175">
        <f t="shared" si="55"/>
        <v>153.143</v>
      </c>
      <c r="S85" s="176">
        <v>1</v>
      </c>
      <c r="T85" s="175">
        <f t="shared" si="56"/>
        <v>153.143</v>
      </c>
      <c r="U85" s="175">
        <f t="shared" si="57"/>
        <v>497.71474999999998</v>
      </c>
      <c r="V85" s="175">
        <f t="shared" si="58"/>
        <v>497.71474999999998</v>
      </c>
      <c r="W85" s="176">
        <v>1</v>
      </c>
      <c r="X85" s="175">
        <f t="shared" si="59"/>
        <v>497.71474999999998</v>
      </c>
      <c r="Y85" s="175">
        <f t="shared" si="60"/>
        <v>650.85775000000001</v>
      </c>
      <c r="Z85" s="175">
        <f t="shared" si="61"/>
        <v>957.14375000000018</v>
      </c>
      <c r="AA85" s="175">
        <f t="shared" si="44"/>
        <v>114</v>
      </c>
      <c r="AB85" s="175">
        <f t="shared" si="45"/>
        <v>118.25</v>
      </c>
      <c r="AC85" s="175">
        <f t="shared" si="46"/>
        <v>124</v>
      </c>
      <c r="AD85" s="175">
        <f t="shared" si="47"/>
        <v>117.25</v>
      </c>
      <c r="AE85" s="175">
        <f t="shared" si="48"/>
        <v>-8.3333333333333329E-2</v>
      </c>
      <c r="AF85" s="175">
        <f t="shared" si="49"/>
        <v>0</v>
      </c>
      <c r="AG85" s="168"/>
      <c r="AH85" s="170"/>
      <c r="AI85" s="170"/>
    </row>
    <row r="86" spans="2:35" s="163" customFormat="1">
      <c r="B86" s="163" t="s">
        <v>869</v>
      </c>
      <c r="C86" s="294">
        <v>2014</v>
      </c>
      <c r="D86" s="163">
        <v>114</v>
      </c>
      <c r="E86" s="163">
        <v>4</v>
      </c>
      <c r="F86" s="178">
        <v>0</v>
      </c>
      <c r="G86" s="177" t="s">
        <v>491</v>
      </c>
      <c r="H86" s="163">
        <v>10</v>
      </c>
      <c r="I86" s="163">
        <f t="shared" si="51"/>
        <v>124</v>
      </c>
      <c r="L86" s="175">
        <v>1318.56</v>
      </c>
      <c r="M86" s="186">
        <v>0</v>
      </c>
      <c r="N86" s="175">
        <f t="shared" si="52"/>
        <v>1318.56</v>
      </c>
      <c r="O86" s="175">
        <f t="shared" si="53"/>
        <v>10.988</v>
      </c>
      <c r="P86" s="175">
        <f t="shared" si="54"/>
        <v>131.85599999999999</v>
      </c>
      <c r="Q86" s="175">
        <f t="shared" si="36"/>
        <v>0</v>
      </c>
      <c r="R86" s="175">
        <f t="shared" si="55"/>
        <v>131.85599999999999</v>
      </c>
      <c r="S86" s="176">
        <v>1</v>
      </c>
      <c r="T86" s="175">
        <f t="shared" si="56"/>
        <v>131.85599999999999</v>
      </c>
      <c r="U86" s="175">
        <f t="shared" si="57"/>
        <v>395.56799999999998</v>
      </c>
      <c r="V86" s="175">
        <f t="shared" si="58"/>
        <v>395.56799999999998</v>
      </c>
      <c r="W86" s="176">
        <v>1</v>
      </c>
      <c r="X86" s="175">
        <f t="shared" si="59"/>
        <v>395.56799999999998</v>
      </c>
      <c r="Y86" s="175">
        <f t="shared" si="60"/>
        <v>527.42399999999998</v>
      </c>
      <c r="Z86" s="175">
        <f t="shared" si="61"/>
        <v>857.06399999999996</v>
      </c>
      <c r="AA86" s="175">
        <f t="shared" si="44"/>
        <v>114.25</v>
      </c>
      <c r="AB86" s="175">
        <f t="shared" si="45"/>
        <v>118.25</v>
      </c>
      <c r="AC86" s="175">
        <f t="shared" si="46"/>
        <v>124.25</v>
      </c>
      <c r="AD86" s="175">
        <f t="shared" si="47"/>
        <v>117.25</v>
      </c>
      <c r="AE86" s="175">
        <f t="shared" si="48"/>
        <v>-8.3333333333333329E-2</v>
      </c>
      <c r="AF86" s="175">
        <f t="shared" si="49"/>
        <v>0</v>
      </c>
      <c r="AG86" s="168"/>
      <c r="AH86" s="170"/>
      <c r="AI86" s="170"/>
    </row>
    <row r="87" spans="2:35" s="163" customFormat="1">
      <c r="B87" s="163" t="s">
        <v>870</v>
      </c>
      <c r="C87" s="294">
        <v>2014</v>
      </c>
      <c r="D87" s="163">
        <v>114</v>
      </c>
      <c r="E87" s="163">
        <v>4</v>
      </c>
      <c r="F87" s="178">
        <v>0</v>
      </c>
      <c r="G87" s="177" t="s">
        <v>491</v>
      </c>
      <c r="H87" s="163">
        <v>10</v>
      </c>
      <c r="I87" s="163">
        <f t="shared" si="51"/>
        <v>124</v>
      </c>
      <c r="L87" s="175">
        <v>1502.64</v>
      </c>
      <c r="M87" s="186">
        <v>0</v>
      </c>
      <c r="N87" s="175">
        <f t="shared" si="52"/>
        <v>1502.64</v>
      </c>
      <c r="O87" s="175">
        <f t="shared" si="53"/>
        <v>12.522</v>
      </c>
      <c r="P87" s="175">
        <f t="shared" si="54"/>
        <v>150.26400000000001</v>
      </c>
      <c r="Q87" s="175">
        <f t="shared" si="36"/>
        <v>0</v>
      </c>
      <c r="R87" s="175">
        <f t="shared" si="55"/>
        <v>150.26400000000001</v>
      </c>
      <c r="S87" s="176">
        <v>1</v>
      </c>
      <c r="T87" s="175">
        <f t="shared" si="56"/>
        <v>150.26400000000001</v>
      </c>
      <c r="U87" s="175">
        <f t="shared" si="57"/>
        <v>450.79200000000003</v>
      </c>
      <c r="V87" s="175">
        <f t="shared" si="58"/>
        <v>450.79200000000003</v>
      </c>
      <c r="W87" s="176">
        <v>1</v>
      </c>
      <c r="X87" s="175">
        <f t="shared" si="59"/>
        <v>450.79200000000003</v>
      </c>
      <c r="Y87" s="175">
        <f t="shared" si="60"/>
        <v>601.05600000000004</v>
      </c>
      <c r="Z87" s="175">
        <f t="shared" si="61"/>
        <v>976.71600000000001</v>
      </c>
      <c r="AA87" s="175">
        <f t="shared" si="44"/>
        <v>114.25</v>
      </c>
      <c r="AB87" s="175">
        <f t="shared" si="45"/>
        <v>118.25</v>
      </c>
      <c r="AC87" s="175">
        <f t="shared" si="46"/>
        <v>124.25</v>
      </c>
      <c r="AD87" s="175">
        <f t="shared" si="47"/>
        <v>117.25</v>
      </c>
      <c r="AE87" s="175">
        <f t="shared" si="48"/>
        <v>-8.3333333333333329E-2</v>
      </c>
      <c r="AF87" s="175">
        <f t="shared" si="49"/>
        <v>0</v>
      </c>
      <c r="AG87" s="168"/>
      <c r="AH87" s="170"/>
      <c r="AI87" s="170"/>
    </row>
    <row r="88" spans="2:35" s="163" customFormat="1">
      <c r="B88" s="163" t="s">
        <v>869</v>
      </c>
      <c r="C88" s="294">
        <v>2014</v>
      </c>
      <c r="D88" s="163">
        <v>114</v>
      </c>
      <c r="E88" s="163">
        <v>4</v>
      </c>
      <c r="F88" s="178">
        <v>0</v>
      </c>
      <c r="G88" s="177" t="s">
        <v>491</v>
      </c>
      <c r="H88" s="163">
        <v>10</v>
      </c>
      <c r="I88" s="163">
        <f t="shared" si="51"/>
        <v>124</v>
      </c>
      <c r="L88" s="175">
        <v>1930.8</v>
      </c>
      <c r="M88" s="186">
        <v>0</v>
      </c>
      <c r="N88" s="175">
        <f t="shared" si="52"/>
        <v>1930.8</v>
      </c>
      <c r="O88" s="175">
        <f t="shared" si="53"/>
        <v>16.09</v>
      </c>
      <c r="P88" s="175">
        <f t="shared" si="54"/>
        <v>193.07999999999998</v>
      </c>
      <c r="Q88" s="175">
        <f t="shared" si="36"/>
        <v>0</v>
      </c>
      <c r="R88" s="175">
        <f t="shared" si="55"/>
        <v>193.07999999999998</v>
      </c>
      <c r="S88" s="176">
        <v>1</v>
      </c>
      <c r="T88" s="175">
        <f t="shared" si="56"/>
        <v>193.07999999999998</v>
      </c>
      <c r="U88" s="175">
        <f t="shared" si="57"/>
        <v>579.24</v>
      </c>
      <c r="V88" s="175">
        <f t="shared" si="58"/>
        <v>579.24</v>
      </c>
      <c r="W88" s="176">
        <v>1</v>
      </c>
      <c r="X88" s="175">
        <f t="shared" si="59"/>
        <v>579.24</v>
      </c>
      <c r="Y88" s="175">
        <f t="shared" si="60"/>
        <v>772.31999999999994</v>
      </c>
      <c r="Z88" s="175">
        <f t="shared" si="61"/>
        <v>1255.02</v>
      </c>
      <c r="AA88" s="175">
        <f t="shared" si="44"/>
        <v>114.25</v>
      </c>
      <c r="AB88" s="175">
        <f t="shared" si="45"/>
        <v>118.25</v>
      </c>
      <c r="AC88" s="175">
        <f t="shared" si="46"/>
        <v>124.25</v>
      </c>
      <c r="AD88" s="175">
        <f t="shared" si="47"/>
        <v>117.25</v>
      </c>
      <c r="AE88" s="175">
        <f t="shared" si="48"/>
        <v>-8.3333333333333329E-2</v>
      </c>
      <c r="AF88" s="175">
        <f t="shared" si="49"/>
        <v>0</v>
      </c>
      <c r="AG88" s="168"/>
      <c r="AH88" s="170"/>
      <c r="AI88" s="170"/>
    </row>
    <row r="89" spans="2:35" s="163" customFormat="1">
      <c r="B89" s="163" t="s">
        <v>862</v>
      </c>
      <c r="C89" s="294">
        <v>2014</v>
      </c>
      <c r="D89" s="163">
        <v>114</v>
      </c>
      <c r="E89" s="163">
        <v>5</v>
      </c>
      <c r="F89" s="178">
        <v>0</v>
      </c>
      <c r="G89" s="177" t="s">
        <v>491</v>
      </c>
      <c r="H89" s="163">
        <v>10</v>
      </c>
      <c r="I89" s="163">
        <f t="shared" si="51"/>
        <v>124</v>
      </c>
      <c r="L89" s="175">
        <v>966.6</v>
      </c>
      <c r="M89" s="186">
        <v>0</v>
      </c>
      <c r="N89" s="175">
        <f t="shared" si="52"/>
        <v>966.6</v>
      </c>
      <c r="O89" s="175">
        <f t="shared" si="53"/>
        <v>8.0549999999999997</v>
      </c>
      <c r="P89" s="175">
        <f t="shared" si="54"/>
        <v>96.66</v>
      </c>
      <c r="Q89" s="175">
        <f t="shared" si="36"/>
        <v>0</v>
      </c>
      <c r="R89" s="175">
        <f t="shared" si="55"/>
        <v>96.66</v>
      </c>
      <c r="S89" s="176">
        <v>1</v>
      </c>
      <c r="T89" s="175">
        <f t="shared" si="56"/>
        <v>96.66</v>
      </c>
      <c r="U89" s="175">
        <f t="shared" si="57"/>
        <v>281.92500000000047</v>
      </c>
      <c r="V89" s="175">
        <f t="shared" si="58"/>
        <v>281.92500000000047</v>
      </c>
      <c r="W89" s="176">
        <v>1</v>
      </c>
      <c r="X89" s="175">
        <f t="shared" si="59"/>
        <v>281.92500000000047</v>
      </c>
      <c r="Y89" s="175">
        <f t="shared" si="60"/>
        <v>378.58500000000049</v>
      </c>
      <c r="Z89" s="175">
        <f t="shared" si="61"/>
        <v>636.34499999999957</v>
      </c>
      <c r="AA89" s="175">
        <f t="shared" si="44"/>
        <v>114.33333333333333</v>
      </c>
      <c r="AB89" s="175">
        <f t="shared" si="45"/>
        <v>118.25</v>
      </c>
      <c r="AC89" s="175">
        <f t="shared" si="46"/>
        <v>124.33333333333333</v>
      </c>
      <c r="AD89" s="175">
        <f t="shared" si="47"/>
        <v>117.25</v>
      </c>
      <c r="AE89" s="175">
        <f t="shared" si="48"/>
        <v>-8.3333333333333329E-2</v>
      </c>
      <c r="AF89" s="175">
        <f t="shared" si="49"/>
        <v>0</v>
      </c>
      <c r="AG89" s="168"/>
      <c r="AH89" s="170"/>
      <c r="AI89" s="170"/>
    </row>
    <row r="90" spans="2:35" s="163" customFormat="1">
      <c r="B90" s="163" t="s">
        <v>863</v>
      </c>
      <c r="C90" s="294">
        <v>2014</v>
      </c>
      <c r="D90" s="163">
        <v>114</v>
      </c>
      <c r="E90" s="163">
        <v>5</v>
      </c>
      <c r="F90" s="178">
        <v>0</v>
      </c>
      <c r="G90" s="177" t="s">
        <v>491</v>
      </c>
      <c r="H90" s="163">
        <v>10</v>
      </c>
      <c r="I90" s="163">
        <f t="shared" si="51"/>
        <v>124</v>
      </c>
      <c r="L90" s="175">
        <v>912.6</v>
      </c>
      <c r="M90" s="186">
        <v>0</v>
      </c>
      <c r="N90" s="175">
        <f t="shared" si="52"/>
        <v>912.6</v>
      </c>
      <c r="O90" s="175">
        <f t="shared" si="53"/>
        <v>7.6050000000000004</v>
      </c>
      <c r="P90" s="175">
        <f t="shared" si="54"/>
        <v>91.26</v>
      </c>
      <c r="Q90" s="175">
        <f t="shared" si="36"/>
        <v>0</v>
      </c>
      <c r="R90" s="175">
        <f t="shared" si="55"/>
        <v>91.26</v>
      </c>
      <c r="S90" s="176">
        <v>1</v>
      </c>
      <c r="T90" s="175">
        <f t="shared" si="56"/>
        <v>91.26</v>
      </c>
      <c r="U90" s="175">
        <f t="shared" si="57"/>
        <v>266.17500000000047</v>
      </c>
      <c r="V90" s="175">
        <f t="shared" si="58"/>
        <v>266.17500000000047</v>
      </c>
      <c r="W90" s="176">
        <v>1</v>
      </c>
      <c r="X90" s="175">
        <f t="shared" si="59"/>
        <v>266.17500000000047</v>
      </c>
      <c r="Y90" s="175">
        <f t="shared" si="60"/>
        <v>357.43500000000046</v>
      </c>
      <c r="Z90" s="175">
        <f t="shared" si="61"/>
        <v>600.7949999999995</v>
      </c>
      <c r="AA90" s="175">
        <f t="shared" si="44"/>
        <v>114.33333333333333</v>
      </c>
      <c r="AB90" s="175">
        <f t="shared" si="45"/>
        <v>118.25</v>
      </c>
      <c r="AC90" s="175">
        <f t="shared" si="46"/>
        <v>124.33333333333333</v>
      </c>
      <c r="AD90" s="175">
        <f t="shared" si="47"/>
        <v>117.25</v>
      </c>
      <c r="AE90" s="175">
        <f t="shared" si="48"/>
        <v>-8.3333333333333329E-2</v>
      </c>
      <c r="AF90" s="175">
        <f t="shared" si="49"/>
        <v>0</v>
      </c>
      <c r="AG90" s="168"/>
      <c r="AH90" s="170"/>
      <c r="AI90" s="170"/>
    </row>
    <row r="91" spans="2:35" s="163" customFormat="1">
      <c r="B91" s="163" t="s">
        <v>870</v>
      </c>
      <c r="C91" s="294">
        <v>2014</v>
      </c>
      <c r="D91" s="163">
        <v>114</v>
      </c>
      <c r="E91" s="163">
        <v>7</v>
      </c>
      <c r="F91" s="178">
        <v>0</v>
      </c>
      <c r="G91" s="177" t="s">
        <v>491</v>
      </c>
      <c r="H91" s="163">
        <v>10</v>
      </c>
      <c r="I91" s="163">
        <f t="shared" si="51"/>
        <v>124</v>
      </c>
      <c r="L91" s="175">
        <v>1480.35</v>
      </c>
      <c r="M91" s="186">
        <v>0</v>
      </c>
      <c r="N91" s="175">
        <f t="shared" si="52"/>
        <v>1480.35</v>
      </c>
      <c r="O91" s="175">
        <f t="shared" si="53"/>
        <v>12.33625</v>
      </c>
      <c r="P91" s="175">
        <f t="shared" si="54"/>
        <v>148.035</v>
      </c>
      <c r="Q91" s="175">
        <f t="shared" si="36"/>
        <v>0</v>
      </c>
      <c r="R91" s="175">
        <f t="shared" si="55"/>
        <v>148.035</v>
      </c>
      <c r="S91" s="176">
        <v>1</v>
      </c>
      <c r="T91" s="175">
        <f t="shared" si="56"/>
        <v>148.035</v>
      </c>
      <c r="U91" s="175">
        <f t="shared" si="57"/>
        <v>407.09625</v>
      </c>
      <c r="V91" s="175">
        <f t="shared" si="58"/>
        <v>407.09625</v>
      </c>
      <c r="W91" s="176">
        <v>1</v>
      </c>
      <c r="X91" s="175">
        <f t="shared" si="59"/>
        <v>407.09625</v>
      </c>
      <c r="Y91" s="175">
        <f t="shared" si="60"/>
        <v>555.13125000000002</v>
      </c>
      <c r="Z91" s="175">
        <f t="shared" si="61"/>
        <v>999.23624999999993</v>
      </c>
      <c r="AA91" s="175">
        <f t="shared" si="44"/>
        <v>114.5</v>
      </c>
      <c r="AB91" s="175">
        <f t="shared" si="45"/>
        <v>118.25</v>
      </c>
      <c r="AC91" s="175">
        <f t="shared" si="46"/>
        <v>124.5</v>
      </c>
      <c r="AD91" s="175">
        <f t="shared" si="47"/>
        <v>117.25</v>
      </c>
      <c r="AE91" s="175">
        <f t="shared" si="48"/>
        <v>-8.3333333333333329E-2</v>
      </c>
      <c r="AF91" s="175">
        <f t="shared" si="49"/>
        <v>0</v>
      </c>
      <c r="AG91" s="168"/>
      <c r="AH91" s="170"/>
      <c r="AI91" s="170"/>
    </row>
    <row r="92" spans="2:35" s="163" customFormat="1">
      <c r="B92" s="163" t="s">
        <v>862</v>
      </c>
      <c r="C92" s="294">
        <v>2015</v>
      </c>
      <c r="D92" s="163">
        <v>115</v>
      </c>
      <c r="E92" s="163">
        <v>1</v>
      </c>
      <c r="F92" s="178">
        <v>0</v>
      </c>
      <c r="G92" s="177" t="s">
        <v>491</v>
      </c>
      <c r="H92" s="163">
        <v>10</v>
      </c>
      <c r="I92" s="163">
        <f t="shared" si="51"/>
        <v>125</v>
      </c>
      <c r="L92" s="175">
        <v>1072.44</v>
      </c>
      <c r="M92" s="186">
        <v>0</v>
      </c>
      <c r="N92" s="175">
        <f t="shared" si="52"/>
        <v>1072.44</v>
      </c>
      <c r="O92" s="175">
        <f t="shared" si="53"/>
        <v>8.9369999999999994</v>
      </c>
      <c r="P92" s="175">
        <f t="shared" si="54"/>
        <v>107.244</v>
      </c>
      <c r="Q92" s="175">
        <f t="shared" si="36"/>
        <v>0</v>
      </c>
      <c r="R92" s="175">
        <f t="shared" si="55"/>
        <v>107.244</v>
      </c>
      <c r="S92" s="176">
        <v>1</v>
      </c>
      <c r="T92" s="175">
        <f t="shared" si="56"/>
        <v>107.244</v>
      </c>
      <c r="U92" s="175">
        <f t="shared" si="57"/>
        <v>241.29899999999998</v>
      </c>
      <c r="V92" s="175">
        <f t="shared" si="58"/>
        <v>241.29899999999998</v>
      </c>
      <c r="W92" s="176">
        <v>1</v>
      </c>
      <c r="X92" s="175">
        <f t="shared" si="59"/>
        <v>241.29899999999998</v>
      </c>
      <c r="Y92" s="175">
        <f t="shared" si="60"/>
        <v>348.54300000000001</v>
      </c>
      <c r="Z92" s="175">
        <f t="shared" si="61"/>
        <v>777.51900000000001</v>
      </c>
      <c r="AA92" s="175">
        <f t="shared" si="44"/>
        <v>115</v>
      </c>
      <c r="AB92" s="175">
        <f t="shared" si="45"/>
        <v>118.25</v>
      </c>
      <c r="AC92" s="175">
        <f t="shared" si="46"/>
        <v>125</v>
      </c>
      <c r="AD92" s="175">
        <f t="shared" si="47"/>
        <v>117.25</v>
      </c>
      <c r="AE92" s="175">
        <f t="shared" si="48"/>
        <v>-8.3333333333333329E-2</v>
      </c>
      <c r="AF92" s="175">
        <f t="shared" si="49"/>
        <v>0</v>
      </c>
      <c r="AG92" s="168"/>
      <c r="AH92" s="170"/>
      <c r="AI92" s="170"/>
    </row>
    <row r="93" spans="2:35" s="163" customFormat="1">
      <c r="B93" s="163" t="s">
        <v>862</v>
      </c>
      <c r="C93" s="294">
        <v>2015</v>
      </c>
      <c r="D93" s="163">
        <v>115</v>
      </c>
      <c r="E93" s="163">
        <v>6</v>
      </c>
      <c r="F93" s="178">
        <v>0</v>
      </c>
      <c r="G93" s="177" t="s">
        <v>491</v>
      </c>
      <c r="H93" s="163">
        <v>10</v>
      </c>
      <c r="I93" s="163">
        <f t="shared" si="51"/>
        <v>125</v>
      </c>
      <c r="L93" s="175">
        <v>1072.44</v>
      </c>
      <c r="M93" s="186">
        <v>0</v>
      </c>
      <c r="N93" s="175">
        <f t="shared" si="52"/>
        <v>1072.44</v>
      </c>
      <c r="O93" s="175">
        <f t="shared" si="53"/>
        <v>8.9369999999999994</v>
      </c>
      <c r="P93" s="175">
        <f t="shared" si="54"/>
        <v>107.244</v>
      </c>
      <c r="Q93" s="175">
        <f t="shared" si="36"/>
        <v>0</v>
      </c>
      <c r="R93" s="175">
        <f t="shared" si="55"/>
        <v>107.244</v>
      </c>
      <c r="S93" s="176">
        <v>1</v>
      </c>
      <c r="T93" s="175">
        <f t="shared" si="56"/>
        <v>107.244</v>
      </c>
      <c r="U93" s="175">
        <f t="shared" si="57"/>
        <v>196.61399999999949</v>
      </c>
      <c r="V93" s="175">
        <f t="shared" si="58"/>
        <v>196.61399999999949</v>
      </c>
      <c r="W93" s="176">
        <v>1</v>
      </c>
      <c r="X93" s="175">
        <f t="shared" si="59"/>
        <v>196.61399999999949</v>
      </c>
      <c r="Y93" s="175">
        <f t="shared" si="60"/>
        <v>303.85799999999949</v>
      </c>
      <c r="Z93" s="175">
        <f t="shared" si="61"/>
        <v>822.20400000000063</v>
      </c>
      <c r="AA93" s="175">
        <f t="shared" si="44"/>
        <v>115.41666666666667</v>
      </c>
      <c r="AB93" s="175">
        <f t="shared" si="45"/>
        <v>118.25</v>
      </c>
      <c r="AC93" s="175">
        <f t="shared" si="46"/>
        <v>125.41666666666667</v>
      </c>
      <c r="AD93" s="175">
        <f t="shared" si="47"/>
        <v>117.25</v>
      </c>
      <c r="AE93" s="175">
        <f t="shared" si="48"/>
        <v>-8.3333333333333329E-2</v>
      </c>
      <c r="AF93" s="175">
        <f t="shared" si="49"/>
        <v>0</v>
      </c>
      <c r="AG93" s="168"/>
      <c r="AH93" s="170"/>
      <c r="AI93" s="170"/>
    </row>
    <row r="94" spans="2:35" s="163" customFormat="1">
      <c r="B94" s="163" t="s">
        <v>863</v>
      </c>
      <c r="C94" s="294">
        <v>2015</v>
      </c>
      <c r="D94" s="163">
        <v>115</v>
      </c>
      <c r="E94" s="163">
        <v>9</v>
      </c>
      <c r="F94" s="178">
        <v>0</v>
      </c>
      <c r="G94" s="177" t="s">
        <v>491</v>
      </c>
      <c r="H94" s="163">
        <v>10</v>
      </c>
      <c r="I94" s="163">
        <f t="shared" si="51"/>
        <v>125</v>
      </c>
      <c r="L94" s="175">
        <v>1015.2</v>
      </c>
      <c r="M94" s="186">
        <v>0</v>
      </c>
      <c r="N94" s="175">
        <f t="shared" si="52"/>
        <v>1015.2</v>
      </c>
      <c r="O94" s="175">
        <f t="shared" si="53"/>
        <v>8.4600000000000009</v>
      </c>
      <c r="P94" s="175">
        <f t="shared" si="54"/>
        <v>101.52000000000001</v>
      </c>
      <c r="Q94" s="175">
        <f t="shared" si="36"/>
        <v>0</v>
      </c>
      <c r="R94" s="175">
        <f t="shared" si="55"/>
        <v>101.52000000000001</v>
      </c>
      <c r="S94" s="176">
        <v>1</v>
      </c>
      <c r="T94" s="175">
        <f t="shared" si="56"/>
        <v>101.52000000000001</v>
      </c>
      <c r="U94" s="175">
        <f t="shared" si="57"/>
        <v>160.73999999999953</v>
      </c>
      <c r="V94" s="175">
        <f t="shared" si="58"/>
        <v>160.73999999999953</v>
      </c>
      <c r="W94" s="176">
        <v>1</v>
      </c>
      <c r="X94" s="175">
        <f t="shared" si="59"/>
        <v>160.73999999999953</v>
      </c>
      <c r="Y94" s="175">
        <f t="shared" si="60"/>
        <v>262.25999999999954</v>
      </c>
      <c r="Z94" s="175">
        <f t="shared" si="61"/>
        <v>803.7000000000005</v>
      </c>
      <c r="AA94" s="175">
        <f t="shared" si="44"/>
        <v>115.66666666666667</v>
      </c>
      <c r="AB94" s="175">
        <f t="shared" si="45"/>
        <v>118.25</v>
      </c>
      <c r="AC94" s="175">
        <f t="shared" si="46"/>
        <v>125.66666666666667</v>
      </c>
      <c r="AD94" s="175">
        <f t="shared" si="47"/>
        <v>117.25</v>
      </c>
      <c r="AE94" s="175">
        <f t="shared" si="48"/>
        <v>-8.3333333333333329E-2</v>
      </c>
      <c r="AF94" s="175">
        <f t="shared" si="49"/>
        <v>0</v>
      </c>
      <c r="AG94" s="168"/>
      <c r="AH94" s="170"/>
      <c r="AI94" s="170"/>
    </row>
    <row r="95" spans="2:35" s="163" customFormat="1">
      <c r="B95" s="163" t="s">
        <v>862</v>
      </c>
      <c r="C95" s="294">
        <v>2015</v>
      </c>
      <c r="D95" s="163">
        <v>115</v>
      </c>
      <c r="E95" s="163">
        <v>12</v>
      </c>
      <c r="F95" s="178">
        <v>0</v>
      </c>
      <c r="G95" s="177" t="s">
        <v>491</v>
      </c>
      <c r="H95" s="163">
        <v>10</v>
      </c>
      <c r="I95" s="163">
        <f t="shared" si="51"/>
        <v>125</v>
      </c>
      <c r="L95" s="175">
        <v>1072.44</v>
      </c>
      <c r="M95" s="186">
        <v>0</v>
      </c>
      <c r="N95" s="175">
        <f t="shared" si="52"/>
        <v>1072.44</v>
      </c>
      <c r="O95" s="175">
        <f t="shared" si="53"/>
        <v>8.9369999999999994</v>
      </c>
      <c r="P95" s="175">
        <f t="shared" si="54"/>
        <v>107.244</v>
      </c>
      <c r="Q95" s="175">
        <f t="shared" si="36"/>
        <v>0</v>
      </c>
      <c r="R95" s="175">
        <f t="shared" si="55"/>
        <v>107.244</v>
      </c>
      <c r="S95" s="176">
        <v>1</v>
      </c>
      <c r="T95" s="175">
        <f t="shared" si="56"/>
        <v>107.244</v>
      </c>
      <c r="U95" s="175">
        <f t="shared" si="57"/>
        <v>142.99199999999948</v>
      </c>
      <c r="V95" s="175">
        <f t="shared" si="58"/>
        <v>142.99199999999948</v>
      </c>
      <c r="W95" s="176">
        <v>1</v>
      </c>
      <c r="X95" s="175">
        <f t="shared" si="59"/>
        <v>142.99199999999948</v>
      </c>
      <c r="Y95" s="175">
        <f t="shared" si="60"/>
        <v>250.23599999999948</v>
      </c>
      <c r="Z95" s="175">
        <f t="shared" si="61"/>
        <v>875.82600000000059</v>
      </c>
      <c r="AA95" s="175">
        <f t="shared" si="44"/>
        <v>115.91666666666667</v>
      </c>
      <c r="AB95" s="175">
        <f t="shared" si="45"/>
        <v>118.25</v>
      </c>
      <c r="AC95" s="175">
        <f t="shared" si="46"/>
        <v>125.91666666666667</v>
      </c>
      <c r="AD95" s="175">
        <f t="shared" si="47"/>
        <v>117.25</v>
      </c>
      <c r="AE95" s="175">
        <f t="shared" si="48"/>
        <v>-8.3333333333333329E-2</v>
      </c>
      <c r="AF95" s="175">
        <f t="shared" si="49"/>
        <v>0</v>
      </c>
      <c r="AG95" s="168"/>
      <c r="AH95" s="170"/>
      <c r="AI95" s="170"/>
    </row>
    <row r="96" spans="2:35" s="163" customFormat="1">
      <c r="B96" s="163" t="s">
        <v>864</v>
      </c>
      <c r="C96" s="294">
        <v>2016</v>
      </c>
      <c r="D96" s="163">
        <v>116</v>
      </c>
      <c r="E96" s="163">
        <v>6</v>
      </c>
      <c r="F96" s="178">
        <v>0</v>
      </c>
      <c r="G96" s="177" t="s">
        <v>491</v>
      </c>
      <c r="H96" s="163">
        <v>10</v>
      </c>
      <c r="I96" s="163">
        <f t="shared" si="51"/>
        <v>126</v>
      </c>
      <c r="L96" s="175">
        <v>3620.16</v>
      </c>
      <c r="M96" s="186">
        <v>0</v>
      </c>
      <c r="N96" s="175">
        <f t="shared" si="52"/>
        <v>3620.16</v>
      </c>
      <c r="O96" s="175">
        <f t="shared" si="53"/>
        <v>30.167999999999996</v>
      </c>
      <c r="P96" s="175">
        <f t="shared" si="54"/>
        <v>362.01599999999996</v>
      </c>
      <c r="Q96" s="175">
        <f t="shared" si="36"/>
        <v>0</v>
      </c>
      <c r="R96" s="175">
        <f t="shared" si="55"/>
        <v>362.01599999999996</v>
      </c>
      <c r="S96" s="176">
        <v>1</v>
      </c>
      <c r="T96" s="175">
        <f t="shared" si="56"/>
        <v>362.01599999999996</v>
      </c>
      <c r="U96" s="175">
        <f t="shared" si="57"/>
        <v>301.67999999999824</v>
      </c>
      <c r="V96" s="175">
        <f t="shared" si="58"/>
        <v>301.67999999999824</v>
      </c>
      <c r="W96" s="176">
        <v>1</v>
      </c>
      <c r="X96" s="175">
        <f t="shared" si="59"/>
        <v>301.67999999999824</v>
      </c>
      <c r="Y96" s="175">
        <f t="shared" si="60"/>
        <v>663.69599999999821</v>
      </c>
      <c r="Z96" s="175">
        <f t="shared" si="61"/>
        <v>3137.4720000000016</v>
      </c>
      <c r="AA96" s="175">
        <f t="shared" si="44"/>
        <v>116.41666666666667</v>
      </c>
      <c r="AB96" s="175">
        <f t="shared" si="45"/>
        <v>118.25</v>
      </c>
      <c r="AC96" s="175">
        <f t="shared" si="46"/>
        <v>126.41666666666667</v>
      </c>
      <c r="AD96" s="175">
        <f t="shared" si="47"/>
        <v>117.25</v>
      </c>
      <c r="AE96" s="175">
        <f t="shared" si="48"/>
        <v>-8.3333333333333329E-2</v>
      </c>
      <c r="AF96" s="175">
        <f t="shared" si="49"/>
        <v>0</v>
      </c>
      <c r="AG96" s="168"/>
      <c r="AH96" s="170"/>
      <c r="AI96" s="170"/>
    </row>
    <row r="97" spans="1:35" s="163" customFormat="1">
      <c r="B97" s="163" t="s">
        <v>865</v>
      </c>
      <c r="C97" s="294">
        <v>2017</v>
      </c>
      <c r="D97" s="163">
        <v>117</v>
      </c>
      <c r="E97" s="163">
        <v>3</v>
      </c>
      <c r="F97" s="178">
        <v>0</v>
      </c>
      <c r="G97" s="177" t="s">
        <v>491</v>
      </c>
      <c r="H97" s="163">
        <v>10</v>
      </c>
      <c r="I97" s="163">
        <f t="shared" si="51"/>
        <v>127</v>
      </c>
      <c r="L97" s="175">
        <v>3515.41</v>
      </c>
      <c r="M97" s="186">
        <v>0</v>
      </c>
      <c r="N97" s="175">
        <f t="shared" si="52"/>
        <v>3515.41</v>
      </c>
      <c r="O97" s="175">
        <f t="shared" si="53"/>
        <v>29.295083333333334</v>
      </c>
      <c r="P97" s="175">
        <f t="shared" si="54"/>
        <v>351.541</v>
      </c>
      <c r="Q97" s="175">
        <f t="shared" si="36"/>
        <v>0</v>
      </c>
      <c r="R97" s="175">
        <f t="shared" si="55"/>
        <v>351.541</v>
      </c>
      <c r="S97" s="176">
        <v>1</v>
      </c>
      <c r="T97" s="175">
        <f t="shared" si="56"/>
        <v>351.541</v>
      </c>
      <c r="U97" s="175">
        <f t="shared" si="57"/>
        <v>29.295083333331668</v>
      </c>
      <c r="V97" s="175">
        <f t="shared" si="58"/>
        <v>29.295083333331668</v>
      </c>
      <c r="W97" s="176">
        <v>1</v>
      </c>
      <c r="X97" s="175">
        <f t="shared" si="59"/>
        <v>29.295083333331668</v>
      </c>
      <c r="Y97" s="175">
        <f t="shared" si="60"/>
        <v>380.83608333333166</v>
      </c>
      <c r="Z97" s="175">
        <f>L97-((+X97+Y97)/2)</f>
        <v>3310.3444166666682</v>
      </c>
      <c r="AA97" s="175">
        <f t="shared" si="44"/>
        <v>117.16666666666667</v>
      </c>
      <c r="AB97" s="175">
        <f t="shared" si="45"/>
        <v>118.25</v>
      </c>
      <c r="AC97" s="175">
        <f t="shared" si="46"/>
        <v>127.16666666666667</v>
      </c>
      <c r="AD97" s="175">
        <f t="shared" si="47"/>
        <v>117.25</v>
      </c>
      <c r="AE97" s="175">
        <f t="shared" si="48"/>
        <v>-8.3333333333333329E-2</v>
      </c>
      <c r="AF97" s="175">
        <f t="shared" si="49"/>
        <v>0</v>
      </c>
      <c r="AG97" s="168"/>
      <c r="AH97" s="170"/>
      <c r="AI97" s="170"/>
    </row>
    <row r="98" spans="1:35" s="163" customFormat="1">
      <c r="B98" s="163" t="s">
        <v>866</v>
      </c>
      <c r="C98" s="294">
        <v>2017</v>
      </c>
      <c r="D98" s="163">
        <v>117</v>
      </c>
      <c r="E98" s="163">
        <v>3</v>
      </c>
      <c r="F98" s="178">
        <v>0</v>
      </c>
      <c r="G98" s="177" t="s">
        <v>491</v>
      </c>
      <c r="H98" s="163">
        <v>10</v>
      </c>
      <c r="I98" s="163">
        <f t="shared" si="51"/>
        <v>127</v>
      </c>
      <c r="L98" s="175">
        <v>2717.63</v>
      </c>
      <c r="M98" s="186">
        <v>0</v>
      </c>
      <c r="N98" s="175">
        <f t="shared" si="52"/>
        <v>2717.63</v>
      </c>
      <c r="O98" s="175">
        <f t="shared" si="53"/>
        <v>22.646916666666669</v>
      </c>
      <c r="P98" s="175">
        <f t="shared" si="54"/>
        <v>271.76300000000003</v>
      </c>
      <c r="Q98" s="175">
        <f t="shared" si="36"/>
        <v>0</v>
      </c>
      <c r="R98" s="175">
        <f t="shared" si="55"/>
        <v>271.76300000000003</v>
      </c>
      <c r="S98" s="176">
        <v>1</v>
      </c>
      <c r="T98" s="175">
        <f t="shared" si="56"/>
        <v>271.76300000000003</v>
      </c>
      <c r="U98" s="175">
        <f t="shared" si="57"/>
        <v>22.646916666665383</v>
      </c>
      <c r="V98" s="175">
        <f t="shared" si="58"/>
        <v>22.646916666665383</v>
      </c>
      <c r="W98" s="176">
        <v>1</v>
      </c>
      <c r="X98" s="175">
        <f t="shared" si="59"/>
        <v>22.646916666665383</v>
      </c>
      <c r="Y98" s="175">
        <f t="shared" si="60"/>
        <v>294.40991666666542</v>
      </c>
      <c r="Z98" s="175">
        <f>L98-((+X98+Y98)/2)</f>
        <v>2559.1015833333349</v>
      </c>
      <c r="AA98" s="175">
        <f t="shared" si="44"/>
        <v>117.16666666666667</v>
      </c>
      <c r="AB98" s="175">
        <f t="shared" si="45"/>
        <v>118.25</v>
      </c>
      <c r="AC98" s="175">
        <f t="shared" si="46"/>
        <v>127.16666666666667</v>
      </c>
      <c r="AD98" s="175">
        <f t="shared" si="47"/>
        <v>117.25</v>
      </c>
      <c r="AE98" s="175">
        <f t="shared" si="48"/>
        <v>-8.3333333333333329E-2</v>
      </c>
      <c r="AF98" s="175">
        <f t="shared" si="49"/>
        <v>0</v>
      </c>
      <c r="AG98" s="168"/>
      <c r="AH98" s="170"/>
      <c r="AI98" s="170"/>
    </row>
    <row r="99" spans="1:35">
      <c r="A99" s="163"/>
      <c r="C99" s="294"/>
      <c r="F99" s="178"/>
      <c r="G99" s="177"/>
      <c r="L99" s="184"/>
      <c r="M99" s="170"/>
      <c r="N99" s="184"/>
      <c r="O99" s="184"/>
      <c r="P99" s="184"/>
      <c r="Q99" s="184"/>
      <c r="R99" s="184"/>
      <c r="S99" s="175"/>
      <c r="T99" s="184"/>
      <c r="U99" s="184"/>
      <c r="V99" s="184"/>
      <c r="W99" s="175"/>
      <c r="X99" s="184"/>
      <c r="Y99" s="184"/>
      <c r="Z99" s="184"/>
      <c r="AA99" s="175"/>
      <c r="AB99" s="175"/>
      <c r="AC99" s="175"/>
      <c r="AD99" s="175"/>
      <c r="AE99" s="175"/>
      <c r="AF99" s="184"/>
      <c r="AG99" s="166"/>
      <c r="AH99" s="164"/>
      <c r="AI99" s="164"/>
    </row>
    <row r="100" spans="1:35">
      <c r="A100" s="163"/>
      <c r="B100" s="183" t="s">
        <v>516</v>
      </c>
      <c r="C100" s="294"/>
      <c r="L100" s="175">
        <f>SUM(L45:L98)</f>
        <v>68446.69</v>
      </c>
      <c r="M100" s="175"/>
      <c r="N100" s="175">
        <f>SUM(N45:N98)</f>
        <v>68446.69</v>
      </c>
      <c r="O100" s="175">
        <f>SUM(O45:O98)</f>
        <v>574.87429166666675</v>
      </c>
      <c r="P100" s="175">
        <f>SUM(P45:P98)</f>
        <v>4518.5499166666687</v>
      </c>
      <c r="Q100" s="175">
        <f>SUM(Q45:Q98)</f>
        <v>0</v>
      </c>
      <c r="R100" s="175">
        <f>SUM(R45:R98)</f>
        <v>4518.5499166666687</v>
      </c>
      <c r="S100" s="192"/>
      <c r="T100" s="175">
        <f>SUM(T45:T98)</f>
        <v>4518.5499166666687</v>
      </c>
      <c r="U100" s="175">
        <f>SUM(U45:U98)</f>
        <v>43140.575583333331</v>
      </c>
      <c r="V100" s="175">
        <f>SUM(V45:V98)</f>
        <v>43140.575583333331</v>
      </c>
      <c r="W100" s="192"/>
      <c r="X100" s="175">
        <f>SUM(X45:X98)</f>
        <v>43140.575583333331</v>
      </c>
      <c r="Y100" s="175">
        <f>SUM(Y45:Y98)</f>
        <v>47659.12549999998</v>
      </c>
      <c r="Z100" s="175">
        <f>SUM(Z45:Z98)</f>
        <v>23046.839458333336</v>
      </c>
      <c r="AA100" s="175"/>
      <c r="AB100" s="175"/>
      <c r="AC100" s="175"/>
      <c r="AD100" s="175"/>
      <c r="AE100" s="175"/>
      <c r="AF100" s="175">
        <f>SUM(AF45:AF98)</f>
        <v>-1.1368683772161603E-13</v>
      </c>
      <c r="AG100" s="166"/>
      <c r="AH100" s="164"/>
      <c r="AI100" s="164"/>
    </row>
    <row r="101" spans="1:35">
      <c r="A101" s="163"/>
      <c r="B101" s="183"/>
      <c r="C101" s="294"/>
      <c r="L101" s="175"/>
      <c r="M101" s="175"/>
      <c r="N101" s="175"/>
      <c r="O101" s="175"/>
      <c r="P101" s="175"/>
      <c r="Q101" s="175"/>
      <c r="R101" s="175"/>
      <c r="S101" s="192"/>
      <c r="T101" s="175"/>
      <c r="U101" s="175"/>
      <c r="V101" s="175"/>
      <c r="W101" s="192"/>
      <c r="X101" s="175"/>
      <c r="Y101" s="175"/>
      <c r="Z101" s="175"/>
      <c r="AA101" s="175"/>
      <c r="AB101" s="175"/>
      <c r="AC101" s="175"/>
      <c r="AD101" s="175"/>
      <c r="AE101" s="175"/>
      <c r="AF101" s="175"/>
      <c r="AG101" s="166"/>
      <c r="AH101" s="164"/>
      <c r="AI101" s="164"/>
    </row>
    <row r="102" spans="1:35" ht="16.5" thickBot="1">
      <c r="A102" s="163"/>
      <c r="B102" s="174" t="s">
        <v>569</v>
      </c>
      <c r="C102" s="294"/>
      <c r="K102" s="896" t="s">
        <v>966</v>
      </c>
      <c r="L102" s="173">
        <f>SUM(L100:L101)</f>
        <v>68446.69</v>
      </c>
      <c r="M102" s="175"/>
      <c r="N102" s="173">
        <f>SUM(N100:N101)</f>
        <v>68446.69</v>
      </c>
      <c r="O102" s="173">
        <f>SUM(O100:O101)</f>
        <v>574.87429166666675</v>
      </c>
      <c r="P102" s="173">
        <f>SUM(P100:P101)</f>
        <v>4518.5499166666687</v>
      </c>
      <c r="Q102" s="173"/>
      <c r="R102" s="173">
        <f>SUM(R100:R101)</f>
        <v>4518.5499166666687</v>
      </c>
      <c r="S102" s="165"/>
      <c r="T102" s="173">
        <f>SUM(T100:T101)</f>
        <v>4518.5499166666687</v>
      </c>
      <c r="U102" s="173">
        <f>SUM(U100:U101)</f>
        <v>43140.575583333331</v>
      </c>
      <c r="V102" s="173">
        <f>SUM(V100:V101)</f>
        <v>43140.575583333331</v>
      </c>
      <c r="W102" s="165"/>
      <c r="X102" s="173">
        <f>SUM(X100:X101)</f>
        <v>43140.575583333331</v>
      </c>
      <c r="Y102" s="173">
        <f>SUM(Y100:Y101)</f>
        <v>47659.12549999998</v>
      </c>
      <c r="Z102" s="173">
        <f>SUM(Z100:Z101)</f>
        <v>23046.839458333336</v>
      </c>
      <c r="AA102" s="175"/>
      <c r="AB102" s="175"/>
      <c r="AC102" s="175"/>
      <c r="AD102" s="175"/>
      <c r="AE102" s="175"/>
      <c r="AF102" s="181">
        <f>SUM(AF100:AF101)</f>
        <v>-1.1368683772161603E-13</v>
      </c>
      <c r="AG102" s="166"/>
      <c r="AH102" s="164"/>
      <c r="AI102" s="164"/>
    </row>
    <row r="103" spans="1:35" ht="16.5" thickTop="1">
      <c r="A103" s="163"/>
      <c r="B103" s="174" t="s">
        <v>568</v>
      </c>
      <c r="C103" s="294"/>
      <c r="L103" s="175">
        <v>0</v>
      </c>
      <c r="M103" s="175"/>
      <c r="N103" s="175"/>
      <c r="O103" s="175"/>
      <c r="P103" s="175"/>
      <c r="Q103" s="175"/>
      <c r="R103" s="175"/>
      <c r="S103" s="165"/>
      <c r="T103" s="168"/>
      <c r="U103" s="175"/>
      <c r="V103" s="175"/>
      <c r="W103" s="165"/>
      <c r="X103" s="175"/>
      <c r="Y103" s="175"/>
      <c r="Z103" s="175"/>
      <c r="AA103" s="168"/>
      <c r="AB103" s="168"/>
      <c r="AC103" s="168"/>
      <c r="AD103" s="168"/>
      <c r="AE103" s="168"/>
      <c r="AF103" s="175"/>
      <c r="AG103" s="166"/>
      <c r="AH103" s="164"/>
      <c r="AI103" s="164"/>
    </row>
    <row r="104" spans="1:35">
      <c r="B104" s="174"/>
      <c r="C104" s="292"/>
      <c r="L104" s="175"/>
      <c r="M104" s="172"/>
      <c r="N104" s="172"/>
      <c r="O104" s="172"/>
      <c r="P104" s="172"/>
      <c r="Q104" s="172"/>
      <c r="R104" s="172"/>
      <c r="S104" s="167"/>
      <c r="T104" s="166"/>
      <c r="U104" s="172"/>
      <c r="V104" s="172"/>
      <c r="W104" s="167"/>
      <c r="X104" s="172"/>
      <c r="Y104" s="172"/>
      <c r="Z104" s="172"/>
      <c r="AA104" s="166"/>
      <c r="AB104" s="166"/>
      <c r="AC104" s="166"/>
      <c r="AD104" s="166"/>
      <c r="AE104" s="166"/>
      <c r="AF104" s="172"/>
      <c r="AG104" s="166"/>
      <c r="AH104" s="164"/>
      <c r="AI104" s="164"/>
    </row>
    <row r="105" spans="1:35">
      <c r="B105" s="174" t="s">
        <v>567</v>
      </c>
      <c r="C105" s="292"/>
      <c r="F105" s="178"/>
      <c r="L105" s="168"/>
      <c r="M105" s="164"/>
      <c r="N105" s="166"/>
      <c r="O105" s="166"/>
      <c r="P105" s="166"/>
      <c r="Q105" s="166"/>
      <c r="R105" s="166"/>
      <c r="S105" s="185"/>
      <c r="T105" s="166"/>
      <c r="U105" s="166"/>
      <c r="V105" s="166"/>
      <c r="W105" s="185"/>
      <c r="X105" s="166"/>
      <c r="Y105" s="166"/>
      <c r="Z105" s="166"/>
      <c r="AA105" s="166"/>
      <c r="AB105" s="166"/>
      <c r="AC105" s="166"/>
      <c r="AD105" s="166"/>
      <c r="AE105" s="166"/>
      <c r="AF105" s="164"/>
      <c r="AG105" s="164"/>
      <c r="AH105" s="164"/>
      <c r="AI105" s="164"/>
    </row>
    <row r="106" spans="1:35" s="163" customFormat="1">
      <c r="B106" s="163" t="s">
        <v>566</v>
      </c>
      <c r="C106" s="294">
        <v>1994</v>
      </c>
      <c r="D106" s="163">
        <v>94</v>
      </c>
      <c r="E106" s="163">
        <v>8</v>
      </c>
      <c r="F106" s="178">
        <v>0.2</v>
      </c>
      <c r="G106" s="177" t="s">
        <v>491</v>
      </c>
      <c r="H106" s="163">
        <v>10</v>
      </c>
      <c r="I106" s="163">
        <f>D106+H106</f>
        <v>104</v>
      </c>
      <c r="L106" s="168">
        <v>112877</v>
      </c>
      <c r="M106" s="170">
        <v>0</v>
      </c>
      <c r="N106" s="168">
        <f>L106-(+L106*F106)</f>
        <v>90301.6</v>
      </c>
      <c r="O106" s="168">
        <f>N106/H106/12</f>
        <v>752.51333333333332</v>
      </c>
      <c r="P106" s="168">
        <f>IF(Q106&gt;0,0,IF(OR(AA106&gt;AB106,AC106&lt;AD106),0,IF(AND(AC106&gt;=AD106,AC106&lt;=AB106),O106*((AC106-AD106)*12),IF(AND(AD106&lt;=AA106,AB106&gt;=AA106),((AB106-AA106)*12)*O106,IF(AC106&gt;AB106,12*O106,0)))))</f>
        <v>0</v>
      </c>
      <c r="Q106" s="168">
        <f>IF(M106=0,0,IF(AND(AE106&gt;=AD106,AE106&lt;=AC106),((AE106-AD106)*12)*O106,0))</f>
        <v>0</v>
      </c>
      <c r="R106" s="168">
        <f>IF(Q106&gt;0,Q106,P106)</f>
        <v>0</v>
      </c>
      <c r="S106" s="179">
        <v>1</v>
      </c>
      <c r="T106" s="168">
        <f>S106*SUM(P106:Q106)</f>
        <v>0</v>
      </c>
      <c r="U106" s="168">
        <f>IF(AA106&gt;AB106,0,IF(AC106&lt;AD106,N106,IF(AND(AC106&gt;=AD106,AC106&lt;=AB106),(N106-R106),IF(AND(AD106&lt;=AA106,AB106&gt;=AA106),0,IF(AC106&gt;AB106,((AD106-AA106)*12)*O106,0)))))</f>
        <v>90301.6</v>
      </c>
      <c r="V106" s="168">
        <f>U106*S106</f>
        <v>90301.6</v>
      </c>
      <c r="W106" s="179">
        <v>1</v>
      </c>
      <c r="X106" s="168">
        <f>V106*W106</f>
        <v>90301.6</v>
      </c>
      <c r="Y106" s="168">
        <f>IF(M106&gt;0,0,X106+T106*W106)*W106</f>
        <v>90301.6</v>
      </c>
      <c r="Z106" s="175">
        <f>IF(M106&gt;0,(L106-X106)/2,IF(AA106&gt;=AD106,(((L106*S106)*W106)-Y106)/2,((((L106*S106)*W106)-X106)+(((L106*S106)*W106)-Y106))/2))</f>
        <v>22575.399999999994</v>
      </c>
      <c r="AA106" s="168">
        <f>$D106+(($E106-1)/12)</f>
        <v>94.583333333333329</v>
      </c>
      <c r="AB106" s="168">
        <f>($B$10+1)-($B$7/12)</f>
        <v>118.25</v>
      </c>
      <c r="AC106" s="168">
        <f>$I106+(($E106-1)/12)</f>
        <v>104.58333333333333</v>
      </c>
      <c r="AD106" s="168">
        <f>$B$9+($B$8/12)</f>
        <v>117.25</v>
      </c>
      <c r="AE106" s="168">
        <f>$J106+(($K106-1)/12)</f>
        <v>-8.3333333333333329E-2</v>
      </c>
      <c r="AF106" s="168">
        <f>L106-((X106+Y106)/2)-Z106</f>
        <v>0</v>
      </c>
      <c r="AG106" s="170"/>
      <c r="AH106" s="170"/>
      <c r="AI106" s="170"/>
    </row>
    <row r="107" spans="1:35" s="163" customFormat="1">
      <c r="B107" s="163" t="s">
        <v>565</v>
      </c>
      <c r="C107" s="294">
        <v>2012</v>
      </c>
      <c r="D107" s="163">
        <v>112</v>
      </c>
      <c r="E107" s="163">
        <v>4</v>
      </c>
      <c r="F107" s="178">
        <v>0.2</v>
      </c>
      <c r="G107" s="177" t="s">
        <v>491</v>
      </c>
      <c r="H107" s="163">
        <v>7</v>
      </c>
      <c r="I107" s="163">
        <f>D107+H107</f>
        <v>119</v>
      </c>
      <c r="L107" s="175">
        <v>207269.18</v>
      </c>
      <c r="M107" s="186">
        <v>0</v>
      </c>
      <c r="N107" s="175">
        <f>L107-(+L107*F107)</f>
        <v>165815.34399999998</v>
      </c>
      <c r="O107" s="175">
        <f>N107/H107/12</f>
        <v>1973.9921904761902</v>
      </c>
      <c r="P107" s="175">
        <f>IF(Q107&gt;0,0,IF(OR(AA107&gt;AB107,AC107&lt;AD107),0,IF(AND(AC107&gt;=AD107,AC107&lt;=AB107),O107*((AC107-AD107)*12),IF(AND(AD107&lt;=AA107,AB107&gt;=AA107),((AB107-AA107)*12)*O107,IF(AC107&gt;AB107,12*O107,0)))))</f>
        <v>23687.906285714282</v>
      </c>
      <c r="Q107" s="175">
        <f>IF(M107=0,0,IF(AND(AE107&gt;=AD107,AE107&lt;=AC107),((AE107-AD107)*12)*O107,0))</f>
        <v>0</v>
      </c>
      <c r="R107" s="175">
        <f>IF(Q107&gt;0,Q107,P107)</f>
        <v>23687.906285714282</v>
      </c>
      <c r="S107" s="176">
        <v>1</v>
      </c>
      <c r="T107" s="175">
        <f>S107*SUM(P107:Q107)</f>
        <v>23687.906285714282</v>
      </c>
      <c r="U107" s="175">
        <f>IF(AA107&gt;AB107,0,IF(AC107&lt;AD107,N107,IF(AND(AC107&gt;=AD107,AC107&lt;=AB107),(N107-R107),IF(AND(AD107&lt;=AA107,AB107&gt;=AA107),0,IF(AC107&gt;AB107,((AD107-AA107)*12)*O107,0)))))</f>
        <v>118439.53142857141</v>
      </c>
      <c r="V107" s="175">
        <f>U107*S107</f>
        <v>118439.53142857141</v>
      </c>
      <c r="W107" s="176">
        <v>1</v>
      </c>
      <c r="X107" s="175">
        <f>V107*W107</f>
        <v>118439.53142857141</v>
      </c>
      <c r="Y107" s="175">
        <f>IF(M107&gt;0,0,X107+T107*W107)*W107</f>
        <v>142127.43771428568</v>
      </c>
      <c r="Z107" s="175">
        <f>IF(M107&gt;0,(L107-X107)/2,IF(AA107&gt;=AD107,(((L107*S107)*W107)-Y107)/2,((((L107*S107)*W107)-X107)+(((L107*S107)*W107)-Y107))/2))</f>
        <v>76985.695428571446</v>
      </c>
      <c r="AA107" s="175">
        <f>$D107+(($E107-1)/12)</f>
        <v>112.25</v>
      </c>
      <c r="AB107" s="175">
        <f>($B$10+1)-($B$7/12)</f>
        <v>118.25</v>
      </c>
      <c r="AC107" s="175">
        <f>$I107+(($E107-1)/12)</f>
        <v>119.25</v>
      </c>
      <c r="AD107" s="175">
        <f>$B$9+($B$8/12)</f>
        <v>117.25</v>
      </c>
      <c r="AE107" s="175">
        <f>$J107+(($K107-1)/12)</f>
        <v>-8.3333333333333329E-2</v>
      </c>
      <c r="AF107" s="175">
        <f>L107-((X107+Y107)/2)-Z107</f>
        <v>0</v>
      </c>
      <c r="AG107" s="170"/>
      <c r="AH107" s="170"/>
      <c r="AI107" s="170"/>
    </row>
    <row r="108" spans="1:35" s="163" customFormat="1">
      <c r="C108" s="294"/>
      <c r="F108" s="178"/>
      <c r="G108" s="177"/>
      <c r="L108" s="175"/>
      <c r="M108" s="186"/>
      <c r="N108" s="175"/>
      <c r="O108" s="175"/>
      <c r="P108" s="175"/>
      <c r="Q108" s="175"/>
      <c r="R108" s="175"/>
      <c r="S108" s="176"/>
      <c r="T108" s="175"/>
      <c r="U108" s="175"/>
      <c r="V108" s="175"/>
      <c r="W108" s="176"/>
      <c r="X108" s="175"/>
      <c r="Y108" s="175"/>
      <c r="Z108" s="175"/>
      <c r="AA108" s="175"/>
      <c r="AB108" s="175"/>
      <c r="AC108" s="175"/>
      <c r="AD108" s="175"/>
      <c r="AE108" s="175"/>
      <c r="AF108" s="175"/>
      <c r="AG108" s="170"/>
      <c r="AH108" s="170"/>
      <c r="AI108" s="170"/>
    </row>
    <row r="109" spans="1:35" s="163" customFormat="1">
      <c r="B109" s="183" t="s">
        <v>516</v>
      </c>
      <c r="C109" s="294"/>
      <c r="F109" s="178"/>
      <c r="L109" s="191">
        <f>SUM(L106:L108)</f>
        <v>320146.18</v>
      </c>
      <c r="M109" s="175"/>
      <c r="N109" s="191">
        <f>SUM(N106:N108)</f>
        <v>256116.94399999999</v>
      </c>
      <c r="O109" s="191">
        <f>SUM(O106:O108)</f>
        <v>2726.5055238095238</v>
      </c>
      <c r="P109" s="191">
        <f>SUM(P106:P108)</f>
        <v>23687.906285714282</v>
      </c>
      <c r="Q109" s="191">
        <f>SUM(Q106:Q108)</f>
        <v>0</v>
      </c>
      <c r="R109" s="191">
        <f>SUM(R106:R108)</f>
        <v>23687.906285714282</v>
      </c>
      <c r="S109" s="192"/>
      <c r="T109" s="191">
        <f>SUM(T106:T108)</f>
        <v>23687.906285714282</v>
      </c>
      <c r="U109" s="191">
        <f>SUM(U106:U108)</f>
        <v>208741.13142857142</v>
      </c>
      <c r="V109" s="191">
        <f>SUM(V106:V108)</f>
        <v>208741.13142857142</v>
      </c>
      <c r="W109" s="192"/>
      <c r="X109" s="191">
        <f>SUM(X106:X108)</f>
        <v>208741.13142857142</v>
      </c>
      <c r="Y109" s="191">
        <f>SUM(Y106:Y108)</f>
        <v>232429.03771428569</v>
      </c>
      <c r="Z109" s="191">
        <f>SUM(Z106:Z108)</f>
        <v>99561.09542857144</v>
      </c>
      <c r="AA109" s="175"/>
      <c r="AB109" s="175"/>
      <c r="AC109" s="175"/>
      <c r="AD109" s="175"/>
      <c r="AE109" s="175"/>
      <c r="AF109" s="191">
        <f>SUM(AF106:AF108)</f>
        <v>0</v>
      </c>
      <c r="AG109" s="170"/>
      <c r="AH109" s="170"/>
      <c r="AI109" s="170"/>
    </row>
    <row r="110" spans="1:35" s="163" customFormat="1">
      <c r="B110" s="183"/>
      <c r="C110" s="294"/>
      <c r="F110" s="178"/>
      <c r="L110" s="175"/>
      <c r="M110" s="175"/>
      <c r="N110" s="175"/>
      <c r="O110" s="175"/>
      <c r="P110" s="175"/>
      <c r="Q110" s="175"/>
      <c r="R110" s="175"/>
      <c r="S110" s="192"/>
      <c r="T110" s="175"/>
      <c r="U110" s="175"/>
      <c r="V110" s="175"/>
      <c r="W110" s="192"/>
      <c r="X110" s="175"/>
      <c r="Y110" s="175"/>
      <c r="Z110" s="175"/>
      <c r="AA110" s="175"/>
      <c r="AB110" s="175"/>
      <c r="AC110" s="175"/>
      <c r="AD110" s="175"/>
      <c r="AE110" s="175"/>
      <c r="AF110" s="175"/>
      <c r="AG110" s="170"/>
      <c r="AH110" s="170"/>
      <c r="AI110" s="170"/>
    </row>
    <row r="111" spans="1:35" s="163" customFormat="1">
      <c r="B111" s="190" t="s">
        <v>564</v>
      </c>
      <c r="C111" s="294"/>
      <c r="D111" s="163">
        <v>105</v>
      </c>
      <c r="E111" s="163">
        <v>4</v>
      </c>
      <c r="F111" s="178">
        <v>0.2</v>
      </c>
      <c r="G111" s="163" t="s">
        <v>491</v>
      </c>
      <c r="H111" s="163">
        <v>10</v>
      </c>
      <c r="I111" s="163">
        <f>D111+H111</f>
        <v>115</v>
      </c>
      <c r="L111" s="184">
        <v>0</v>
      </c>
      <c r="M111" s="175">
        <v>0</v>
      </c>
      <c r="N111" s="184">
        <f>L111-(+L111*F111)</f>
        <v>0</v>
      </c>
      <c r="O111" s="184">
        <f>N111/H111/12</f>
        <v>0</v>
      </c>
      <c r="P111" s="184">
        <f>IF(Q111&gt;0,0,IF(OR(AA111&gt;AB111,AC111&lt;AD111),0,IF(AND(AC111&gt;=AD111,AC111&lt;=AB111),O111*((AC111-AD111)*12),IF(AND(AD111&lt;=AA111,AB111&gt;=AA111),((AB111-AA111)*12)*O111,IF(AC111&gt;AB111,12*O111,0)))))</f>
        <v>0</v>
      </c>
      <c r="Q111" s="184">
        <f>IF(M111=0,0,IF(AND(AE111&gt;=AD111,AE111&lt;=AC111),((AE111-AD111)*12)*O111,0))</f>
        <v>0</v>
      </c>
      <c r="R111" s="184">
        <f>IF(Q111&gt;0,Q111,P111)</f>
        <v>0</v>
      </c>
      <c r="S111" s="176">
        <v>1</v>
      </c>
      <c r="T111" s="184">
        <f>S111*SUM(P111:Q111)</f>
        <v>0</v>
      </c>
      <c r="U111" s="184">
        <f>IF(AA111&gt;AB111,0,IF(AC111&lt;AD111,N111,IF(AND(AC111&gt;=AD111,AC111&lt;=AB111),(N111-R111),IF(AND(AD111&lt;=AA111,AB111&gt;=AA111),0,IF(AC111&gt;AB111,((AD111-AA111)*12)*O111,0)))))</f>
        <v>0</v>
      </c>
      <c r="V111" s="184">
        <f>U111*S111</f>
        <v>0</v>
      </c>
      <c r="W111" s="176">
        <v>1</v>
      </c>
      <c r="X111" s="184">
        <f>V111*W111</f>
        <v>0</v>
      </c>
      <c r="Y111" s="184">
        <f>IF(M111&gt;0,0,X111+T111*W111)*W111</f>
        <v>0</v>
      </c>
      <c r="Z111" s="184"/>
      <c r="AA111" s="175"/>
      <c r="AB111" s="175"/>
      <c r="AC111" s="175"/>
      <c r="AD111" s="175"/>
      <c r="AE111" s="175"/>
      <c r="AF111" s="184">
        <f>L111-((X111+Y111)/2)-Z111</f>
        <v>0</v>
      </c>
      <c r="AG111" s="170"/>
      <c r="AH111" s="170"/>
      <c r="AI111" s="170"/>
    </row>
    <row r="112" spans="1:35" s="163" customFormat="1">
      <c r="B112" s="183"/>
      <c r="C112" s="294"/>
      <c r="F112" s="178"/>
      <c r="L112" s="175"/>
      <c r="M112" s="175"/>
      <c r="N112" s="175"/>
      <c r="O112" s="175"/>
      <c r="P112" s="175"/>
      <c r="Q112" s="175"/>
      <c r="R112" s="175"/>
      <c r="S112" s="192"/>
      <c r="T112" s="175"/>
      <c r="U112" s="175"/>
      <c r="V112" s="175"/>
      <c r="W112" s="192"/>
      <c r="X112" s="175"/>
      <c r="Y112" s="175"/>
      <c r="Z112" s="175"/>
      <c r="AA112" s="175"/>
      <c r="AB112" s="175"/>
      <c r="AC112" s="175"/>
      <c r="AD112" s="175"/>
      <c r="AE112" s="175"/>
      <c r="AF112" s="175"/>
      <c r="AG112" s="170"/>
      <c r="AH112" s="170"/>
      <c r="AI112" s="170"/>
    </row>
    <row r="113" spans="2:35" s="163" customFormat="1" ht="16.5" thickBot="1">
      <c r="B113" s="183" t="s">
        <v>563</v>
      </c>
      <c r="C113" s="294"/>
      <c r="F113" s="178"/>
      <c r="L113" s="173">
        <f>SUM(L109:L112)</f>
        <v>320146.18</v>
      </c>
      <c r="M113" s="175"/>
      <c r="N113" s="173">
        <f>SUM(N109:N112)</f>
        <v>256116.94399999999</v>
      </c>
      <c r="O113" s="173">
        <f>SUM(O109:O112)</f>
        <v>2726.5055238095238</v>
      </c>
      <c r="P113" s="173">
        <f>SUM(P109:P112)</f>
        <v>23687.906285714282</v>
      </c>
      <c r="Q113" s="173"/>
      <c r="R113" s="173">
        <f>SUM(R109:R112)</f>
        <v>23687.906285714282</v>
      </c>
      <c r="S113" s="165"/>
      <c r="T113" s="173">
        <f>SUM(T109:T112)</f>
        <v>23687.906285714282</v>
      </c>
      <c r="U113" s="173">
        <f>SUM(U109:U112)</f>
        <v>208741.13142857142</v>
      </c>
      <c r="V113" s="173">
        <f>SUM(V109:V112)</f>
        <v>208741.13142857142</v>
      </c>
      <c r="W113" s="192"/>
      <c r="X113" s="173">
        <f>SUM(X109:X112)</f>
        <v>208741.13142857142</v>
      </c>
      <c r="Y113" s="173">
        <f>SUM(Y109:Y112)</f>
        <v>232429.03771428569</v>
      </c>
      <c r="Z113" s="173">
        <f>SUM(Z109:Z112)</f>
        <v>99561.09542857144</v>
      </c>
      <c r="AA113" s="175"/>
      <c r="AB113" s="175"/>
      <c r="AC113" s="175"/>
      <c r="AD113" s="175"/>
      <c r="AE113" s="175"/>
      <c r="AF113" s="184">
        <f>SUM(AF109:AF112)</f>
        <v>0</v>
      </c>
      <c r="AG113" s="170"/>
      <c r="AH113" s="170"/>
      <c r="AI113" s="170"/>
    </row>
    <row r="114" spans="2:35" s="163" customFormat="1" ht="16.5" thickTop="1">
      <c r="B114" s="183"/>
      <c r="C114" s="294"/>
      <c r="F114" s="178"/>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0"/>
      <c r="AH114" s="170"/>
      <c r="AI114" s="170"/>
    </row>
    <row r="115" spans="2:35" s="163" customFormat="1">
      <c r="B115" s="174" t="s">
        <v>562</v>
      </c>
      <c r="C115" s="334"/>
      <c r="D115" s="321"/>
      <c r="F115" s="178"/>
      <c r="L115" s="168"/>
      <c r="M115" s="170"/>
      <c r="N115" s="168"/>
      <c r="O115" s="168"/>
      <c r="P115" s="168"/>
      <c r="Q115" s="168"/>
      <c r="R115" s="168"/>
      <c r="S115" s="179"/>
      <c r="T115" s="168"/>
      <c r="U115" s="168"/>
      <c r="V115" s="168"/>
      <c r="W115" s="179"/>
      <c r="X115" s="168"/>
      <c r="Y115" s="168"/>
      <c r="Z115" s="168"/>
      <c r="AA115" s="168"/>
      <c r="AB115" s="168"/>
      <c r="AC115" s="168"/>
      <c r="AD115" s="168"/>
      <c r="AE115" s="168"/>
      <c r="AF115" s="168"/>
      <c r="AG115" s="170"/>
      <c r="AH115" s="170"/>
      <c r="AI115" s="170"/>
    </row>
    <row r="116" spans="2:35" s="163" customFormat="1">
      <c r="B116" s="163" t="s">
        <v>561</v>
      </c>
      <c r="C116" s="295">
        <v>2005</v>
      </c>
      <c r="D116" s="163">
        <v>105</v>
      </c>
      <c r="E116" s="163">
        <v>11</v>
      </c>
      <c r="F116" s="178">
        <v>0.2</v>
      </c>
      <c r="G116" s="177" t="s">
        <v>491</v>
      </c>
      <c r="H116" s="163">
        <v>10</v>
      </c>
      <c r="I116" s="163">
        <f t="shared" ref="I116:I141" si="62">D116+H116</f>
        <v>115</v>
      </c>
      <c r="L116" s="175">
        <v>94830.21</v>
      </c>
      <c r="M116" s="175"/>
      <c r="N116" s="175">
        <f>L116-(+L116*F116)</f>
        <v>75864.168000000005</v>
      </c>
      <c r="O116" s="175">
        <f>N116/H116/12</f>
        <v>632.20140000000004</v>
      </c>
      <c r="P116" s="175">
        <f t="shared" ref="P116:P141" si="63">IF(Q116&gt;0,0,IF(OR(AA116&gt;AB116,AC116&lt;AD116),0,IF(AND(AC116&gt;=AD116,AC116&lt;=AB116),O116*((AC116-AD116)*12),IF(AND(AD116&lt;=AA116,AB116&gt;=AA116),((AB116-AA116)*12)*O116,IF(AC116&gt;AB116,12*O116,0)))))</f>
        <v>0</v>
      </c>
      <c r="Q116" s="175">
        <f t="shared" ref="Q116:Q141" si="64">IF(M116=0,0,IF(AND(AE116&gt;=AD116,AE116&lt;=AC116),((AE116-AD116)*12)*O116,0))</f>
        <v>0</v>
      </c>
      <c r="R116" s="175">
        <f t="shared" ref="R116:R141" si="65">IF(Q116&gt;0,Q116,P116)</f>
        <v>0</v>
      </c>
      <c r="S116" s="176">
        <v>1</v>
      </c>
      <c r="T116" s="175">
        <f>S116*SUM(P116:Q116)</f>
        <v>0</v>
      </c>
      <c r="U116" s="175">
        <f t="shared" ref="U116:U141" si="66">IF(AA116&gt;AB116,0,IF(AC116&lt;AD116,N116,IF(AND(AC116&gt;=AD116,AC116&lt;=AB116),(N116-R116),IF(AND(AD116&lt;=AA116,AB116&gt;=AA116),0,IF(AC116&gt;AB116,((AD116-AA116)*12)*O116,0)))))</f>
        <v>75864.168000000005</v>
      </c>
      <c r="V116" s="175">
        <f t="shared" ref="V116:V141" si="67">U116*S116</f>
        <v>75864.168000000005</v>
      </c>
      <c r="W116" s="176">
        <v>1</v>
      </c>
      <c r="X116" s="175">
        <f t="shared" ref="X116:X141" si="68">V116*W116</f>
        <v>75864.168000000005</v>
      </c>
      <c r="Y116" s="175">
        <f t="shared" ref="Y116:Y141" si="69">IF(M116&gt;0,0,X116+T116*W116)*W116</f>
        <v>75864.168000000005</v>
      </c>
      <c r="Z116" s="175">
        <f t="shared" ref="Z116:Z128" si="70">IF(M116&gt;0,(L116-X116)/2,IF(AA116&gt;=AD116,(((L116*S116)*W116)-Y116)/2,((((L116*S116)*W116)-X116)+(((L116*S116)*W116)-Y116))/2))</f>
        <v>18966.042000000001</v>
      </c>
      <c r="AA116" s="175">
        <f t="shared" ref="AA116:AA141" si="71">$D116+(($E116-1)/12)</f>
        <v>105.83333333333333</v>
      </c>
      <c r="AB116" s="175">
        <f t="shared" ref="AB116:AB141" si="72">($B$10+1)-($B$7/12)</f>
        <v>118.25</v>
      </c>
      <c r="AC116" s="175">
        <f t="shared" ref="AC116:AC141" si="73">$I116+(($E116-1)/12)</f>
        <v>115.83333333333333</v>
      </c>
      <c r="AD116" s="175">
        <f t="shared" ref="AD116:AD141" si="74">$B$9+($B$8/12)</f>
        <v>117.25</v>
      </c>
      <c r="AE116" s="175">
        <f t="shared" ref="AE116:AE141" si="75">$J116+(($K116-1)/12)</f>
        <v>-8.3333333333333329E-2</v>
      </c>
      <c r="AF116" s="175">
        <f>L116-((X116+Y116)/2)-Z116</f>
        <v>0</v>
      </c>
      <c r="AG116" s="168"/>
      <c r="AH116" s="168"/>
      <c r="AI116" s="170"/>
    </row>
    <row r="117" spans="2:35" s="163" customFormat="1">
      <c r="B117" s="163" t="s">
        <v>560</v>
      </c>
      <c r="C117" s="295">
        <v>2007</v>
      </c>
      <c r="D117" s="163">
        <v>107</v>
      </c>
      <c r="E117" s="163">
        <v>8</v>
      </c>
      <c r="F117" s="178">
        <v>0.2</v>
      </c>
      <c r="G117" s="177" t="s">
        <v>491</v>
      </c>
      <c r="H117" s="163">
        <v>10</v>
      </c>
      <c r="I117" s="163">
        <f t="shared" si="62"/>
        <v>117</v>
      </c>
      <c r="L117" s="175">
        <v>121828</v>
      </c>
      <c r="M117" s="175"/>
      <c r="N117" s="175">
        <f t="shared" ref="N117:N141" si="76">L117-(+L117*F117)</f>
        <v>97462.399999999994</v>
      </c>
      <c r="O117" s="175">
        <f t="shared" ref="O117:O141" si="77">N117/H117/12</f>
        <v>812.18666666666661</v>
      </c>
      <c r="P117" s="175">
        <f t="shared" si="63"/>
        <v>3248.7466666666201</v>
      </c>
      <c r="Q117" s="175">
        <f t="shared" si="64"/>
        <v>0</v>
      </c>
      <c r="R117" s="175">
        <f t="shared" si="65"/>
        <v>3248.7466666666201</v>
      </c>
      <c r="S117" s="176">
        <v>1</v>
      </c>
      <c r="T117" s="175">
        <f t="shared" ref="T117:T141" si="78">S117*SUM(P117:Q117)</f>
        <v>3248.7466666666201</v>
      </c>
      <c r="U117" s="175">
        <f t="shared" si="66"/>
        <v>94213.653333333379</v>
      </c>
      <c r="V117" s="175">
        <f t="shared" si="67"/>
        <v>94213.653333333379</v>
      </c>
      <c r="W117" s="176">
        <v>1</v>
      </c>
      <c r="X117" s="175">
        <f t="shared" si="68"/>
        <v>94213.653333333379</v>
      </c>
      <c r="Y117" s="175">
        <f t="shared" si="69"/>
        <v>97462.399999999994</v>
      </c>
      <c r="Z117" s="175">
        <f t="shared" si="70"/>
        <v>25989.973333333313</v>
      </c>
      <c r="AA117" s="175">
        <f t="shared" si="71"/>
        <v>107.58333333333333</v>
      </c>
      <c r="AB117" s="175">
        <f t="shared" si="72"/>
        <v>118.25</v>
      </c>
      <c r="AC117" s="175">
        <f t="shared" si="73"/>
        <v>117.58333333333333</v>
      </c>
      <c r="AD117" s="175">
        <f t="shared" si="74"/>
        <v>117.25</v>
      </c>
      <c r="AE117" s="175">
        <f t="shared" si="75"/>
        <v>-8.3333333333333329E-2</v>
      </c>
      <c r="AF117" s="175">
        <f t="shared" ref="AF117:AF140" si="79">L117-((X117+Y117)/2)-Z117</f>
        <v>0</v>
      </c>
      <c r="AG117" s="168"/>
      <c r="AH117" s="168"/>
      <c r="AI117" s="170"/>
    </row>
    <row r="118" spans="2:35" s="163" customFormat="1">
      <c r="B118" s="163" t="s">
        <v>871</v>
      </c>
      <c r="C118" s="295">
        <v>2009</v>
      </c>
      <c r="D118" s="163">
        <v>109</v>
      </c>
      <c r="E118" s="163">
        <v>7</v>
      </c>
      <c r="F118" s="178">
        <v>0.2</v>
      </c>
      <c r="G118" s="177" t="s">
        <v>491</v>
      </c>
      <c r="H118" s="626">
        <v>7</v>
      </c>
      <c r="I118" s="163">
        <f t="shared" si="62"/>
        <v>116</v>
      </c>
      <c r="L118" s="175">
        <v>3809.3</v>
      </c>
      <c r="M118" s="175"/>
      <c r="N118" s="175">
        <f t="shared" si="76"/>
        <v>3047.44</v>
      </c>
      <c r="O118" s="175">
        <f t="shared" si="77"/>
        <v>36.279047619047624</v>
      </c>
      <c r="P118" s="175">
        <f t="shared" si="63"/>
        <v>0</v>
      </c>
      <c r="Q118" s="175">
        <f t="shared" si="64"/>
        <v>0</v>
      </c>
      <c r="R118" s="175">
        <f t="shared" si="65"/>
        <v>0</v>
      </c>
      <c r="S118" s="176">
        <v>1</v>
      </c>
      <c r="T118" s="175">
        <f t="shared" si="78"/>
        <v>0</v>
      </c>
      <c r="U118" s="175">
        <f t="shared" si="66"/>
        <v>3047.44</v>
      </c>
      <c r="V118" s="175">
        <f t="shared" si="67"/>
        <v>3047.44</v>
      </c>
      <c r="W118" s="176">
        <v>1</v>
      </c>
      <c r="X118" s="175">
        <f t="shared" si="68"/>
        <v>3047.44</v>
      </c>
      <c r="Y118" s="175">
        <f t="shared" si="69"/>
        <v>3047.44</v>
      </c>
      <c r="Z118" s="175">
        <f t="shared" si="70"/>
        <v>761.86000000000013</v>
      </c>
      <c r="AA118" s="175">
        <f t="shared" si="71"/>
        <v>109.5</v>
      </c>
      <c r="AB118" s="175">
        <f t="shared" si="72"/>
        <v>118.25</v>
      </c>
      <c r="AC118" s="175">
        <f t="shared" si="73"/>
        <v>116.5</v>
      </c>
      <c r="AD118" s="175">
        <f t="shared" si="74"/>
        <v>117.25</v>
      </c>
      <c r="AE118" s="175">
        <f t="shared" si="75"/>
        <v>-8.3333333333333329E-2</v>
      </c>
      <c r="AF118" s="175">
        <f t="shared" si="79"/>
        <v>0</v>
      </c>
      <c r="AG118" s="168"/>
      <c r="AH118" s="168"/>
      <c r="AI118" s="170"/>
    </row>
    <row r="119" spans="2:35" s="163" customFormat="1">
      <c r="B119" s="163" t="s">
        <v>559</v>
      </c>
      <c r="C119" s="295">
        <v>2010</v>
      </c>
      <c r="D119" s="163">
        <v>110</v>
      </c>
      <c r="E119" s="163">
        <v>12</v>
      </c>
      <c r="F119" s="178">
        <v>0.2</v>
      </c>
      <c r="G119" s="177" t="s">
        <v>491</v>
      </c>
      <c r="H119" s="626">
        <v>7</v>
      </c>
      <c r="I119" s="163">
        <f t="shared" si="62"/>
        <v>117</v>
      </c>
      <c r="L119" s="175">
        <v>139362</v>
      </c>
      <c r="M119" s="175"/>
      <c r="N119" s="175">
        <f t="shared" si="76"/>
        <v>111489.60000000001</v>
      </c>
      <c r="O119" s="175">
        <f t="shared" si="77"/>
        <v>1327.257142857143</v>
      </c>
      <c r="P119" s="175">
        <f t="shared" si="63"/>
        <v>10618.057142857218</v>
      </c>
      <c r="Q119" s="175">
        <f t="shared" si="64"/>
        <v>0</v>
      </c>
      <c r="R119" s="175">
        <f t="shared" si="65"/>
        <v>10618.057142857218</v>
      </c>
      <c r="S119" s="176">
        <v>1</v>
      </c>
      <c r="T119" s="175">
        <f t="shared" si="78"/>
        <v>10618.057142857218</v>
      </c>
      <c r="U119" s="175">
        <f t="shared" si="66"/>
        <v>100871.54285714279</v>
      </c>
      <c r="V119" s="175">
        <f t="shared" si="67"/>
        <v>100871.54285714279</v>
      </c>
      <c r="W119" s="176">
        <v>1</v>
      </c>
      <c r="X119" s="175">
        <f t="shared" si="68"/>
        <v>100871.54285714279</v>
      </c>
      <c r="Y119" s="175">
        <f t="shared" si="69"/>
        <v>111489.60000000001</v>
      </c>
      <c r="Z119" s="175">
        <f t="shared" si="70"/>
        <v>33181.428571428602</v>
      </c>
      <c r="AA119" s="175">
        <f t="shared" si="71"/>
        <v>110.91666666666667</v>
      </c>
      <c r="AB119" s="175">
        <f t="shared" si="72"/>
        <v>118.25</v>
      </c>
      <c r="AC119" s="175">
        <f t="shared" si="73"/>
        <v>117.91666666666667</v>
      </c>
      <c r="AD119" s="175">
        <f t="shared" si="74"/>
        <v>117.25</v>
      </c>
      <c r="AE119" s="175">
        <f t="shared" si="75"/>
        <v>-8.3333333333333329E-2</v>
      </c>
      <c r="AF119" s="175">
        <f t="shared" si="79"/>
        <v>0</v>
      </c>
      <c r="AG119" s="168"/>
      <c r="AH119" s="168"/>
      <c r="AI119" s="170"/>
    </row>
    <row r="120" spans="2:35" s="163" customFormat="1">
      <c r="B120" s="163" t="s">
        <v>558</v>
      </c>
      <c r="C120" s="295">
        <v>2010</v>
      </c>
      <c r="D120" s="163">
        <v>110</v>
      </c>
      <c r="E120" s="163">
        <v>12</v>
      </c>
      <c r="F120" s="178">
        <v>0.2</v>
      </c>
      <c r="G120" s="177" t="s">
        <v>491</v>
      </c>
      <c r="H120" s="626">
        <v>7</v>
      </c>
      <c r="I120" s="163">
        <f t="shared" si="62"/>
        <v>117</v>
      </c>
      <c r="L120" s="175">
        <v>118040.72</v>
      </c>
      <c r="M120" s="175"/>
      <c r="N120" s="175">
        <f t="shared" si="76"/>
        <v>94432.576000000001</v>
      </c>
      <c r="O120" s="175">
        <f t="shared" si="77"/>
        <v>1124.1973333333333</v>
      </c>
      <c r="P120" s="175">
        <f t="shared" si="63"/>
        <v>8993.57866666673</v>
      </c>
      <c r="Q120" s="175">
        <f t="shared" si="64"/>
        <v>0</v>
      </c>
      <c r="R120" s="175">
        <f t="shared" si="65"/>
        <v>8993.57866666673</v>
      </c>
      <c r="S120" s="176">
        <v>1</v>
      </c>
      <c r="T120" s="175">
        <f t="shared" si="78"/>
        <v>8993.57866666673</v>
      </c>
      <c r="U120" s="175">
        <f t="shared" si="66"/>
        <v>85438.997333333275</v>
      </c>
      <c r="V120" s="175">
        <f t="shared" si="67"/>
        <v>85438.997333333275</v>
      </c>
      <c r="W120" s="176">
        <v>1</v>
      </c>
      <c r="X120" s="175">
        <f t="shared" si="68"/>
        <v>85438.997333333275</v>
      </c>
      <c r="Y120" s="175">
        <f t="shared" si="69"/>
        <v>94432.576000000001</v>
      </c>
      <c r="Z120" s="175">
        <f t="shared" si="70"/>
        <v>28104.933333333363</v>
      </c>
      <c r="AA120" s="175">
        <f t="shared" si="71"/>
        <v>110.91666666666667</v>
      </c>
      <c r="AB120" s="175">
        <f t="shared" si="72"/>
        <v>118.25</v>
      </c>
      <c r="AC120" s="175">
        <f t="shared" si="73"/>
        <v>117.91666666666667</v>
      </c>
      <c r="AD120" s="175">
        <f t="shared" si="74"/>
        <v>117.25</v>
      </c>
      <c r="AE120" s="175">
        <f t="shared" si="75"/>
        <v>-8.3333333333333329E-2</v>
      </c>
      <c r="AF120" s="175">
        <f t="shared" si="79"/>
        <v>0</v>
      </c>
      <c r="AG120" s="168"/>
      <c r="AH120" s="168"/>
      <c r="AI120" s="170"/>
    </row>
    <row r="121" spans="2:35" s="163" customFormat="1">
      <c r="B121" s="163" t="s">
        <v>557</v>
      </c>
      <c r="C121" s="295">
        <v>2012</v>
      </c>
      <c r="D121" s="163">
        <v>112</v>
      </c>
      <c r="E121" s="163">
        <v>4</v>
      </c>
      <c r="F121" s="178">
        <v>0.2</v>
      </c>
      <c r="G121" s="177" t="s">
        <v>491</v>
      </c>
      <c r="H121" s="626">
        <v>7</v>
      </c>
      <c r="I121" s="163">
        <f t="shared" si="62"/>
        <v>119</v>
      </c>
      <c r="L121" s="175">
        <v>267862.78000000003</v>
      </c>
      <c r="M121" s="175"/>
      <c r="N121" s="175">
        <f t="shared" si="76"/>
        <v>214290.22400000002</v>
      </c>
      <c r="O121" s="175">
        <f t="shared" si="77"/>
        <v>2551.0740952380952</v>
      </c>
      <c r="P121" s="175">
        <f t="shared" si="63"/>
        <v>30612.889142857144</v>
      </c>
      <c r="Q121" s="175">
        <f t="shared" si="64"/>
        <v>0</v>
      </c>
      <c r="R121" s="175">
        <f t="shared" si="65"/>
        <v>30612.889142857144</v>
      </c>
      <c r="S121" s="176">
        <v>1</v>
      </c>
      <c r="T121" s="175">
        <f t="shared" si="78"/>
        <v>30612.889142857144</v>
      </c>
      <c r="U121" s="175">
        <f t="shared" si="66"/>
        <v>153064.44571428571</v>
      </c>
      <c r="V121" s="175">
        <f t="shared" si="67"/>
        <v>153064.44571428571</v>
      </c>
      <c r="W121" s="176">
        <v>1</v>
      </c>
      <c r="X121" s="175">
        <f t="shared" si="68"/>
        <v>153064.44571428571</v>
      </c>
      <c r="Y121" s="175">
        <f t="shared" si="69"/>
        <v>183677.33485714285</v>
      </c>
      <c r="Z121" s="175">
        <f t="shared" si="70"/>
        <v>99491.889714285746</v>
      </c>
      <c r="AA121" s="175">
        <f t="shared" si="71"/>
        <v>112.25</v>
      </c>
      <c r="AB121" s="175">
        <f t="shared" si="72"/>
        <v>118.25</v>
      </c>
      <c r="AC121" s="175">
        <f t="shared" si="73"/>
        <v>119.25</v>
      </c>
      <c r="AD121" s="175">
        <f t="shared" si="74"/>
        <v>117.25</v>
      </c>
      <c r="AE121" s="175">
        <f t="shared" si="75"/>
        <v>-8.3333333333333329E-2</v>
      </c>
      <c r="AF121" s="175">
        <f t="shared" si="79"/>
        <v>0</v>
      </c>
      <c r="AG121" s="168"/>
      <c r="AH121" s="168"/>
      <c r="AI121" s="170"/>
    </row>
    <row r="122" spans="2:35" s="163" customFormat="1">
      <c r="B122" s="163" t="s">
        <v>902</v>
      </c>
      <c r="C122" s="295">
        <v>2014</v>
      </c>
      <c r="D122" s="163">
        <v>114</v>
      </c>
      <c r="E122" s="163">
        <v>11</v>
      </c>
      <c r="F122" s="178">
        <v>0.2</v>
      </c>
      <c r="G122" s="177" t="s">
        <v>491</v>
      </c>
      <c r="H122" s="163">
        <v>8</v>
      </c>
      <c r="I122" s="163">
        <f t="shared" si="62"/>
        <v>122</v>
      </c>
      <c r="L122" s="175">
        <v>290270.09000000003</v>
      </c>
      <c r="M122" s="175"/>
      <c r="N122" s="175">
        <f t="shared" si="76"/>
        <v>232216.07200000001</v>
      </c>
      <c r="O122" s="175">
        <f t="shared" si="77"/>
        <v>2418.9174166666667</v>
      </c>
      <c r="P122" s="175">
        <f t="shared" si="63"/>
        <v>29027.008999999998</v>
      </c>
      <c r="Q122" s="175">
        <f t="shared" si="64"/>
        <v>0</v>
      </c>
      <c r="R122" s="175">
        <f t="shared" si="65"/>
        <v>29027.008999999998</v>
      </c>
      <c r="S122" s="176">
        <v>1</v>
      </c>
      <c r="T122" s="175">
        <f t="shared" si="78"/>
        <v>29027.008999999998</v>
      </c>
      <c r="U122" s="175">
        <f t="shared" si="66"/>
        <v>70148.605083333474</v>
      </c>
      <c r="V122" s="175">
        <f t="shared" si="67"/>
        <v>70148.605083333474</v>
      </c>
      <c r="W122" s="176">
        <v>1</v>
      </c>
      <c r="X122" s="175">
        <f t="shared" si="68"/>
        <v>70148.605083333474</v>
      </c>
      <c r="Y122" s="175">
        <f t="shared" si="69"/>
        <v>99175.614083333465</v>
      </c>
      <c r="Z122" s="175">
        <f t="shared" si="70"/>
        <v>205607.98041666654</v>
      </c>
      <c r="AA122" s="175">
        <f t="shared" si="71"/>
        <v>114.83333333333333</v>
      </c>
      <c r="AB122" s="175">
        <f t="shared" si="72"/>
        <v>118.25</v>
      </c>
      <c r="AC122" s="175">
        <f t="shared" si="73"/>
        <v>122.83333333333333</v>
      </c>
      <c r="AD122" s="175">
        <f t="shared" si="74"/>
        <v>117.25</v>
      </c>
      <c r="AE122" s="175">
        <f t="shared" si="75"/>
        <v>-8.3333333333333329E-2</v>
      </c>
      <c r="AF122" s="175">
        <f t="shared" si="79"/>
        <v>0</v>
      </c>
      <c r="AG122" s="168"/>
      <c r="AH122" s="168"/>
      <c r="AI122" s="170"/>
    </row>
    <row r="123" spans="2:35" s="163" customFormat="1">
      <c r="B123" s="163" t="s">
        <v>903</v>
      </c>
      <c r="C123" s="295">
        <v>2014</v>
      </c>
      <c r="D123" s="163">
        <v>114</v>
      </c>
      <c r="E123" s="163">
        <v>11</v>
      </c>
      <c r="F123" s="178">
        <v>0.2</v>
      </c>
      <c r="G123" s="177" t="s">
        <v>491</v>
      </c>
      <c r="H123" s="163">
        <v>8</v>
      </c>
      <c r="I123" s="163">
        <f t="shared" si="62"/>
        <v>122</v>
      </c>
      <c r="L123" s="175">
        <v>5612.5</v>
      </c>
      <c r="M123" s="175"/>
      <c r="N123" s="175">
        <f t="shared" si="76"/>
        <v>4490</v>
      </c>
      <c r="O123" s="175">
        <f t="shared" si="77"/>
        <v>46.770833333333336</v>
      </c>
      <c r="P123" s="175">
        <f t="shared" si="63"/>
        <v>561.25</v>
      </c>
      <c r="Q123" s="175">
        <f t="shared" si="64"/>
        <v>0</v>
      </c>
      <c r="R123" s="175">
        <f t="shared" si="65"/>
        <v>561.25</v>
      </c>
      <c r="S123" s="176">
        <v>1</v>
      </c>
      <c r="T123" s="175">
        <f t="shared" si="78"/>
        <v>561.25</v>
      </c>
      <c r="U123" s="175">
        <f t="shared" si="66"/>
        <v>1356.3541666666695</v>
      </c>
      <c r="V123" s="175">
        <f t="shared" si="67"/>
        <v>1356.3541666666695</v>
      </c>
      <c r="W123" s="176">
        <v>1</v>
      </c>
      <c r="X123" s="175">
        <f t="shared" si="68"/>
        <v>1356.3541666666695</v>
      </c>
      <c r="Y123" s="175">
        <f t="shared" si="69"/>
        <v>1917.6041666666695</v>
      </c>
      <c r="Z123" s="175">
        <f t="shared" si="70"/>
        <v>3975.5208333333303</v>
      </c>
      <c r="AA123" s="175">
        <f t="shared" si="71"/>
        <v>114.83333333333333</v>
      </c>
      <c r="AB123" s="175">
        <f t="shared" si="72"/>
        <v>118.25</v>
      </c>
      <c r="AC123" s="175">
        <f t="shared" si="73"/>
        <v>122.83333333333333</v>
      </c>
      <c r="AD123" s="175">
        <f t="shared" si="74"/>
        <v>117.25</v>
      </c>
      <c r="AE123" s="175">
        <f t="shared" si="75"/>
        <v>-8.3333333333333329E-2</v>
      </c>
      <c r="AF123" s="175">
        <f t="shared" si="79"/>
        <v>0</v>
      </c>
      <c r="AG123" s="168"/>
      <c r="AH123" s="168"/>
      <c r="AI123" s="170"/>
    </row>
    <row r="124" spans="2:35" s="163" customFormat="1">
      <c r="B124" s="163" t="s">
        <v>904</v>
      </c>
      <c r="C124" s="295">
        <v>2016</v>
      </c>
      <c r="D124" s="163">
        <v>116</v>
      </c>
      <c r="E124" s="163">
        <v>1</v>
      </c>
      <c r="F124" s="178">
        <v>0.2</v>
      </c>
      <c r="G124" s="177" t="s">
        <v>491</v>
      </c>
      <c r="H124" s="163">
        <v>8</v>
      </c>
      <c r="I124" s="163">
        <f t="shared" si="62"/>
        <v>124</v>
      </c>
      <c r="L124" s="175">
        <v>4011.67</v>
      </c>
      <c r="M124" s="175"/>
      <c r="N124" s="175">
        <f t="shared" si="76"/>
        <v>3209.3360000000002</v>
      </c>
      <c r="O124" s="175">
        <f t="shared" si="77"/>
        <v>33.430583333333338</v>
      </c>
      <c r="P124" s="175">
        <f t="shared" si="63"/>
        <v>401.16700000000003</v>
      </c>
      <c r="Q124" s="175">
        <f t="shared" si="64"/>
        <v>0</v>
      </c>
      <c r="R124" s="175">
        <f t="shared" si="65"/>
        <v>401.16700000000003</v>
      </c>
      <c r="S124" s="176">
        <v>1</v>
      </c>
      <c r="T124" s="175">
        <f t="shared" si="78"/>
        <v>401.16700000000003</v>
      </c>
      <c r="U124" s="175">
        <f t="shared" si="66"/>
        <v>501.45875000000007</v>
      </c>
      <c r="V124" s="175">
        <f t="shared" si="67"/>
        <v>501.45875000000007</v>
      </c>
      <c r="W124" s="176">
        <v>1</v>
      </c>
      <c r="X124" s="175">
        <f t="shared" si="68"/>
        <v>501.45875000000007</v>
      </c>
      <c r="Y124" s="175">
        <f t="shared" si="69"/>
        <v>902.62575000000015</v>
      </c>
      <c r="Z124" s="175">
        <f t="shared" si="70"/>
        <v>3309.6277499999997</v>
      </c>
      <c r="AA124" s="175">
        <f t="shared" si="71"/>
        <v>116</v>
      </c>
      <c r="AB124" s="175">
        <f t="shared" si="72"/>
        <v>118.25</v>
      </c>
      <c r="AC124" s="175">
        <f t="shared" si="73"/>
        <v>124</v>
      </c>
      <c r="AD124" s="175">
        <f t="shared" si="74"/>
        <v>117.25</v>
      </c>
      <c r="AE124" s="175">
        <f t="shared" si="75"/>
        <v>-8.3333333333333329E-2</v>
      </c>
      <c r="AF124" s="175">
        <f t="shared" si="79"/>
        <v>0</v>
      </c>
      <c r="AG124" s="168"/>
      <c r="AH124" s="168"/>
      <c r="AI124" s="170"/>
    </row>
    <row r="125" spans="2:35" s="163" customFormat="1">
      <c r="B125" s="163" t="s">
        <v>905</v>
      </c>
      <c r="C125" s="295">
        <v>2016</v>
      </c>
      <c r="D125" s="163">
        <v>116</v>
      </c>
      <c r="E125" s="163">
        <v>4</v>
      </c>
      <c r="F125" s="178">
        <v>0.2</v>
      </c>
      <c r="G125" s="177" t="s">
        <v>491</v>
      </c>
      <c r="H125" s="163">
        <v>8</v>
      </c>
      <c r="I125" s="163">
        <f t="shared" si="62"/>
        <v>124</v>
      </c>
      <c r="L125" s="175">
        <v>4550.08</v>
      </c>
      <c r="M125" s="175"/>
      <c r="N125" s="175">
        <f t="shared" si="76"/>
        <v>3640.0639999999999</v>
      </c>
      <c r="O125" s="175">
        <f t="shared" si="77"/>
        <v>37.917333333333332</v>
      </c>
      <c r="P125" s="175">
        <f t="shared" si="63"/>
        <v>455.00799999999998</v>
      </c>
      <c r="Q125" s="175">
        <f t="shared" si="64"/>
        <v>0</v>
      </c>
      <c r="R125" s="175">
        <f t="shared" si="65"/>
        <v>455.00799999999998</v>
      </c>
      <c r="S125" s="176">
        <v>1</v>
      </c>
      <c r="T125" s="175">
        <f t="shared" si="78"/>
        <v>455.00799999999998</v>
      </c>
      <c r="U125" s="175">
        <f t="shared" si="66"/>
        <v>455.00799999999998</v>
      </c>
      <c r="V125" s="175">
        <f t="shared" si="67"/>
        <v>455.00799999999998</v>
      </c>
      <c r="W125" s="176">
        <v>1</v>
      </c>
      <c r="X125" s="175">
        <f t="shared" si="68"/>
        <v>455.00799999999998</v>
      </c>
      <c r="Y125" s="175">
        <f t="shared" si="69"/>
        <v>910.01599999999996</v>
      </c>
      <c r="Z125" s="175">
        <f t="shared" si="70"/>
        <v>3867.5680000000002</v>
      </c>
      <c r="AA125" s="175">
        <f t="shared" si="71"/>
        <v>116.25</v>
      </c>
      <c r="AB125" s="175">
        <f t="shared" si="72"/>
        <v>118.25</v>
      </c>
      <c r="AC125" s="175">
        <f t="shared" si="73"/>
        <v>124.25</v>
      </c>
      <c r="AD125" s="175">
        <f t="shared" si="74"/>
        <v>117.25</v>
      </c>
      <c r="AE125" s="175">
        <f t="shared" si="75"/>
        <v>-8.3333333333333329E-2</v>
      </c>
      <c r="AF125" s="175">
        <f t="shared" si="79"/>
        <v>0</v>
      </c>
      <c r="AG125" s="168"/>
      <c r="AH125" s="168"/>
      <c r="AI125" s="170"/>
    </row>
    <row r="126" spans="2:35" s="163" customFormat="1">
      <c r="B126" s="163" t="s">
        <v>907</v>
      </c>
      <c r="C126" s="295">
        <v>2016</v>
      </c>
      <c r="D126" s="163">
        <v>116</v>
      </c>
      <c r="E126" s="163">
        <v>5</v>
      </c>
      <c r="F126" s="178">
        <v>0.2</v>
      </c>
      <c r="G126" s="177" t="s">
        <v>491</v>
      </c>
      <c r="H126" s="163">
        <v>8</v>
      </c>
      <c r="I126" s="163">
        <f t="shared" si="62"/>
        <v>124</v>
      </c>
      <c r="L126" s="175">
        <v>2621.14</v>
      </c>
      <c r="M126" s="175"/>
      <c r="N126" s="175">
        <f t="shared" si="76"/>
        <v>2096.9119999999998</v>
      </c>
      <c r="O126" s="175">
        <f t="shared" si="77"/>
        <v>21.842833333333331</v>
      </c>
      <c r="P126" s="175">
        <f t="shared" si="63"/>
        <v>262.11399999999998</v>
      </c>
      <c r="Q126" s="175">
        <f t="shared" si="64"/>
        <v>0</v>
      </c>
      <c r="R126" s="175">
        <f t="shared" si="65"/>
        <v>262.11399999999998</v>
      </c>
      <c r="S126" s="176">
        <v>1</v>
      </c>
      <c r="T126" s="175">
        <f t="shared" si="78"/>
        <v>262.11399999999998</v>
      </c>
      <c r="U126" s="175">
        <f t="shared" si="66"/>
        <v>240.27116666666788</v>
      </c>
      <c r="V126" s="175">
        <f t="shared" si="67"/>
        <v>240.27116666666788</v>
      </c>
      <c r="W126" s="176">
        <v>1</v>
      </c>
      <c r="X126" s="175">
        <f t="shared" si="68"/>
        <v>240.27116666666788</v>
      </c>
      <c r="Y126" s="175">
        <f t="shared" si="69"/>
        <v>502.38516666666783</v>
      </c>
      <c r="Z126" s="175">
        <f t="shared" si="70"/>
        <v>2249.8118333333323</v>
      </c>
      <c r="AA126" s="175">
        <f t="shared" si="71"/>
        <v>116.33333333333333</v>
      </c>
      <c r="AB126" s="175">
        <f t="shared" si="72"/>
        <v>118.25</v>
      </c>
      <c r="AC126" s="175">
        <f t="shared" si="73"/>
        <v>124.33333333333333</v>
      </c>
      <c r="AD126" s="175">
        <f t="shared" si="74"/>
        <v>117.25</v>
      </c>
      <c r="AE126" s="175">
        <f t="shared" si="75"/>
        <v>-8.3333333333333329E-2</v>
      </c>
      <c r="AF126" s="175">
        <f t="shared" si="79"/>
        <v>0</v>
      </c>
      <c r="AG126" s="168"/>
      <c r="AH126" s="168"/>
      <c r="AI126" s="170"/>
    </row>
    <row r="127" spans="2:35" s="163" customFormat="1">
      <c r="B127" s="163" t="s">
        <v>906</v>
      </c>
      <c r="C127" s="295">
        <v>2016</v>
      </c>
      <c r="D127" s="163">
        <v>116</v>
      </c>
      <c r="E127" s="163">
        <v>7</v>
      </c>
      <c r="F127" s="178">
        <v>0.2</v>
      </c>
      <c r="G127" s="177" t="s">
        <v>491</v>
      </c>
      <c r="H127" s="163">
        <v>8</v>
      </c>
      <c r="I127" s="163">
        <f t="shared" si="62"/>
        <v>124</v>
      </c>
      <c r="L127" s="175">
        <v>151571.42000000001</v>
      </c>
      <c r="M127" s="175"/>
      <c r="N127" s="175">
        <f t="shared" si="76"/>
        <v>121257.13600000001</v>
      </c>
      <c r="O127" s="175">
        <f t="shared" si="77"/>
        <v>1263.0951666666667</v>
      </c>
      <c r="P127" s="175">
        <f t="shared" si="63"/>
        <v>15157.142</v>
      </c>
      <c r="Q127" s="175">
        <f t="shared" si="64"/>
        <v>0</v>
      </c>
      <c r="R127" s="175">
        <f t="shared" si="65"/>
        <v>15157.142</v>
      </c>
      <c r="S127" s="176">
        <v>1</v>
      </c>
      <c r="T127" s="175">
        <f t="shared" si="78"/>
        <v>15157.142</v>
      </c>
      <c r="U127" s="175">
        <f t="shared" si="66"/>
        <v>11367.8565</v>
      </c>
      <c r="V127" s="175">
        <f t="shared" si="67"/>
        <v>11367.8565</v>
      </c>
      <c r="W127" s="176">
        <v>1</v>
      </c>
      <c r="X127" s="175">
        <f t="shared" si="68"/>
        <v>11367.8565</v>
      </c>
      <c r="Y127" s="175">
        <f t="shared" si="69"/>
        <v>26524.998500000002</v>
      </c>
      <c r="Z127" s="175">
        <f t="shared" si="70"/>
        <v>132624.99250000002</v>
      </c>
      <c r="AA127" s="175">
        <f t="shared" si="71"/>
        <v>116.5</v>
      </c>
      <c r="AB127" s="175">
        <f t="shared" si="72"/>
        <v>118.25</v>
      </c>
      <c r="AC127" s="175">
        <f t="shared" si="73"/>
        <v>124.5</v>
      </c>
      <c r="AD127" s="175">
        <f t="shared" si="74"/>
        <v>117.25</v>
      </c>
      <c r="AE127" s="175">
        <f t="shared" si="75"/>
        <v>-8.3333333333333329E-2</v>
      </c>
      <c r="AF127" s="175">
        <f t="shared" si="79"/>
        <v>0</v>
      </c>
      <c r="AG127" s="168"/>
      <c r="AH127" s="168"/>
      <c r="AI127" s="170"/>
    </row>
    <row r="128" spans="2:35" s="163" customFormat="1">
      <c r="B128" s="163" t="s">
        <v>918</v>
      </c>
      <c r="C128" s="295">
        <v>2016</v>
      </c>
      <c r="D128" s="163">
        <v>116</v>
      </c>
      <c r="E128" s="163">
        <v>7</v>
      </c>
      <c r="F128" s="178">
        <v>0.2</v>
      </c>
      <c r="G128" s="177" t="s">
        <v>491</v>
      </c>
      <c r="H128" s="163">
        <v>8</v>
      </c>
      <c r="I128" s="163">
        <f t="shared" si="62"/>
        <v>124</v>
      </c>
      <c r="L128" s="175">
        <v>155817.66</v>
      </c>
      <c r="M128" s="175"/>
      <c r="N128" s="175">
        <f t="shared" si="76"/>
        <v>124654.128</v>
      </c>
      <c r="O128" s="175">
        <f t="shared" si="77"/>
        <v>1298.4804999999999</v>
      </c>
      <c r="P128" s="175">
        <f t="shared" si="63"/>
        <v>15581.766</v>
      </c>
      <c r="Q128" s="175">
        <f t="shared" si="64"/>
        <v>0</v>
      </c>
      <c r="R128" s="175">
        <f t="shared" si="65"/>
        <v>15581.766</v>
      </c>
      <c r="S128" s="176">
        <v>1</v>
      </c>
      <c r="T128" s="175">
        <f t="shared" si="78"/>
        <v>15581.766</v>
      </c>
      <c r="U128" s="175">
        <f t="shared" si="66"/>
        <v>11686.324499999999</v>
      </c>
      <c r="V128" s="175">
        <f t="shared" si="67"/>
        <v>11686.324499999999</v>
      </c>
      <c r="W128" s="176">
        <v>1</v>
      </c>
      <c r="X128" s="175">
        <f t="shared" si="68"/>
        <v>11686.324499999999</v>
      </c>
      <c r="Y128" s="175">
        <f t="shared" si="69"/>
        <v>27268.090499999998</v>
      </c>
      <c r="Z128" s="175">
        <f t="shared" si="70"/>
        <v>136340.45250000001</v>
      </c>
      <c r="AA128" s="175">
        <f t="shared" si="71"/>
        <v>116.5</v>
      </c>
      <c r="AB128" s="175">
        <f t="shared" si="72"/>
        <v>118.25</v>
      </c>
      <c r="AC128" s="175">
        <f t="shared" si="73"/>
        <v>124.5</v>
      </c>
      <c r="AD128" s="175">
        <f t="shared" si="74"/>
        <v>117.25</v>
      </c>
      <c r="AE128" s="175">
        <f t="shared" si="75"/>
        <v>-8.3333333333333329E-2</v>
      </c>
      <c r="AF128" s="175">
        <f t="shared" si="79"/>
        <v>0</v>
      </c>
      <c r="AG128" s="168"/>
      <c r="AH128" s="168"/>
      <c r="AI128" s="170"/>
    </row>
    <row r="129" spans="2:35" s="163" customFormat="1">
      <c r="B129" s="163" t="s">
        <v>908</v>
      </c>
      <c r="C129" s="295">
        <v>2017</v>
      </c>
      <c r="D129" s="163">
        <v>117</v>
      </c>
      <c r="E129" s="163">
        <v>1</v>
      </c>
      <c r="F129" s="178">
        <v>0.2</v>
      </c>
      <c r="G129" s="177" t="s">
        <v>491</v>
      </c>
      <c r="H129" s="163">
        <v>8</v>
      </c>
      <c r="I129" s="163">
        <f t="shared" si="62"/>
        <v>125</v>
      </c>
      <c r="L129" s="175">
        <v>3392.21</v>
      </c>
      <c r="M129" s="175"/>
      <c r="N129" s="175">
        <f t="shared" si="76"/>
        <v>2713.768</v>
      </c>
      <c r="O129" s="175">
        <f t="shared" si="77"/>
        <v>28.268416666666667</v>
      </c>
      <c r="P129" s="175">
        <f t="shared" si="63"/>
        <v>339.221</v>
      </c>
      <c r="Q129" s="175">
        <f t="shared" si="64"/>
        <v>0</v>
      </c>
      <c r="R129" s="175">
        <f t="shared" si="65"/>
        <v>339.221</v>
      </c>
      <c r="S129" s="176">
        <v>1</v>
      </c>
      <c r="T129" s="175">
        <f t="shared" si="78"/>
        <v>339.221</v>
      </c>
      <c r="U129" s="175">
        <f t="shared" si="66"/>
        <v>84.805250000000001</v>
      </c>
      <c r="V129" s="175">
        <f t="shared" si="67"/>
        <v>84.805250000000001</v>
      </c>
      <c r="W129" s="176">
        <v>1</v>
      </c>
      <c r="X129" s="175">
        <f t="shared" si="68"/>
        <v>84.805250000000001</v>
      </c>
      <c r="Y129" s="175">
        <f t="shared" si="69"/>
        <v>424.02625</v>
      </c>
      <c r="Z129" s="175">
        <f>L129-((+X129+Y129)/2)</f>
        <v>3137.7942499999999</v>
      </c>
      <c r="AA129" s="175">
        <f t="shared" si="71"/>
        <v>117</v>
      </c>
      <c r="AB129" s="175">
        <f t="shared" si="72"/>
        <v>118.25</v>
      </c>
      <c r="AC129" s="175">
        <f t="shared" si="73"/>
        <v>125</v>
      </c>
      <c r="AD129" s="175">
        <f t="shared" si="74"/>
        <v>117.25</v>
      </c>
      <c r="AE129" s="175">
        <f t="shared" si="75"/>
        <v>-8.3333333333333329E-2</v>
      </c>
      <c r="AF129" s="175">
        <f t="shared" si="79"/>
        <v>0</v>
      </c>
      <c r="AG129" s="168"/>
      <c r="AH129" s="168"/>
      <c r="AI129" s="170"/>
    </row>
    <row r="130" spans="2:35" s="163" customFormat="1">
      <c r="B130" s="163" t="s">
        <v>909</v>
      </c>
      <c r="C130" s="295">
        <v>2017</v>
      </c>
      <c r="D130" s="163">
        <v>117</v>
      </c>
      <c r="E130" s="163">
        <v>1</v>
      </c>
      <c r="F130" s="178">
        <v>0.2</v>
      </c>
      <c r="G130" s="177" t="s">
        <v>491</v>
      </c>
      <c r="H130" s="163">
        <v>8</v>
      </c>
      <c r="I130" s="163">
        <f t="shared" si="62"/>
        <v>125</v>
      </c>
      <c r="L130" s="175">
        <v>2858.56</v>
      </c>
      <c r="M130" s="175"/>
      <c r="N130" s="175">
        <f t="shared" si="76"/>
        <v>2286.848</v>
      </c>
      <c r="O130" s="175">
        <f t="shared" si="77"/>
        <v>23.821333333333332</v>
      </c>
      <c r="P130" s="175">
        <f t="shared" si="63"/>
        <v>285.85599999999999</v>
      </c>
      <c r="Q130" s="175">
        <f t="shared" si="64"/>
        <v>0</v>
      </c>
      <c r="R130" s="175">
        <f t="shared" si="65"/>
        <v>285.85599999999999</v>
      </c>
      <c r="S130" s="176">
        <v>1</v>
      </c>
      <c r="T130" s="175">
        <f t="shared" si="78"/>
        <v>285.85599999999999</v>
      </c>
      <c r="U130" s="175">
        <f t="shared" si="66"/>
        <v>71.463999999999999</v>
      </c>
      <c r="V130" s="175">
        <f t="shared" si="67"/>
        <v>71.463999999999999</v>
      </c>
      <c r="W130" s="176">
        <v>1</v>
      </c>
      <c r="X130" s="175">
        <f t="shared" si="68"/>
        <v>71.463999999999999</v>
      </c>
      <c r="Y130" s="175">
        <f t="shared" si="69"/>
        <v>357.32</v>
      </c>
      <c r="Z130" s="175">
        <f t="shared" ref="Z130:Z141" si="80">L130-((+X130+Y130)/2)</f>
        <v>2644.1680000000001</v>
      </c>
      <c r="AA130" s="175">
        <f t="shared" si="71"/>
        <v>117</v>
      </c>
      <c r="AB130" s="175">
        <f t="shared" si="72"/>
        <v>118.25</v>
      </c>
      <c r="AC130" s="175">
        <f t="shared" si="73"/>
        <v>125</v>
      </c>
      <c r="AD130" s="175">
        <f t="shared" si="74"/>
        <v>117.25</v>
      </c>
      <c r="AE130" s="175">
        <f t="shared" si="75"/>
        <v>-8.3333333333333329E-2</v>
      </c>
      <c r="AF130" s="175">
        <f t="shared" si="79"/>
        <v>0</v>
      </c>
      <c r="AG130" s="168"/>
      <c r="AH130" s="168"/>
      <c r="AI130" s="170"/>
    </row>
    <row r="131" spans="2:35" s="163" customFormat="1">
      <c r="B131" s="163" t="s">
        <v>910</v>
      </c>
      <c r="C131" s="295">
        <v>2017</v>
      </c>
      <c r="D131" s="163">
        <v>117</v>
      </c>
      <c r="E131" s="163">
        <v>2</v>
      </c>
      <c r="F131" s="178">
        <v>0.2</v>
      </c>
      <c r="G131" s="177" t="s">
        <v>491</v>
      </c>
      <c r="H131" s="163">
        <v>8</v>
      </c>
      <c r="I131" s="163">
        <f t="shared" si="62"/>
        <v>125</v>
      </c>
      <c r="L131" s="175">
        <v>3629.6</v>
      </c>
      <c r="M131" s="175"/>
      <c r="N131" s="175">
        <f t="shared" si="76"/>
        <v>2903.68</v>
      </c>
      <c r="O131" s="175">
        <f t="shared" si="77"/>
        <v>30.246666666666666</v>
      </c>
      <c r="P131" s="175">
        <f t="shared" si="63"/>
        <v>362.96</v>
      </c>
      <c r="Q131" s="175">
        <f t="shared" si="64"/>
        <v>0</v>
      </c>
      <c r="R131" s="175">
        <f t="shared" si="65"/>
        <v>362.96</v>
      </c>
      <c r="S131" s="176">
        <v>1</v>
      </c>
      <c r="T131" s="175">
        <f t="shared" si="78"/>
        <v>362.96</v>
      </c>
      <c r="U131" s="175">
        <f t="shared" si="66"/>
        <v>60.493333333335052</v>
      </c>
      <c r="V131" s="175">
        <f t="shared" si="67"/>
        <v>60.493333333335052</v>
      </c>
      <c r="W131" s="176">
        <v>1</v>
      </c>
      <c r="X131" s="175">
        <f t="shared" si="68"/>
        <v>60.493333333335052</v>
      </c>
      <c r="Y131" s="175">
        <f t="shared" si="69"/>
        <v>423.45333333333502</v>
      </c>
      <c r="Z131" s="175">
        <f t="shared" si="80"/>
        <v>3387.6266666666647</v>
      </c>
      <c r="AA131" s="175">
        <f t="shared" si="71"/>
        <v>117.08333333333333</v>
      </c>
      <c r="AB131" s="175">
        <f t="shared" si="72"/>
        <v>118.25</v>
      </c>
      <c r="AC131" s="175">
        <f t="shared" si="73"/>
        <v>125.08333333333333</v>
      </c>
      <c r="AD131" s="175">
        <f t="shared" si="74"/>
        <v>117.25</v>
      </c>
      <c r="AE131" s="175">
        <f t="shared" si="75"/>
        <v>-8.3333333333333329E-2</v>
      </c>
      <c r="AF131" s="175">
        <f t="shared" si="79"/>
        <v>0</v>
      </c>
      <c r="AG131" s="168"/>
      <c r="AH131" s="168"/>
      <c r="AI131" s="170"/>
    </row>
    <row r="132" spans="2:35" s="163" customFormat="1">
      <c r="B132" s="163" t="s">
        <v>911</v>
      </c>
      <c r="C132" s="295">
        <v>2017</v>
      </c>
      <c r="D132" s="163">
        <v>118</v>
      </c>
      <c r="E132" s="163">
        <v>1</v>
      </c>
      <c r="F132" s="178">
        <v>0.2</v>
      </c>
      <c r="G132" s="177" t="s">
        <v>491</v>
      </c>
      <c r="H132" s="163">
        <v>7</v>
      </c>
      <c r="I132" s="163">
        <f t="shared" si="62"/>
        <v>125</v>
      </c>
      <c r="L132" s="175">
        <v>47590.79</v>
      </c>
      <c r="M132" s="175"/>
      <c r="N132" s="175">
        <f t="shared" si="76"/>
        <v>38072.631999999998</v>
      </c>
      <c r="O132" s="175">
        <f t="shared" si="77"/>
        <v>453.24561904761907</v>
      </c>
      <c r="P132" s="175">
        <f t="shared" si="63"/>
        <v>1359.7368571428572</v>
      </c>
      <c r="Q132" s="175">
        <f t="shared" si="64"/>
        <v>0</v>
      </c>
      <c r="R132" s="175">
        <f t="shared" si="65"/>
        <v>1359.7368571428572</v>
      </c>
      <c r="S132" s="176">
        <v>1</v>
      </c>
      <c r="T132" s="175">
        <f t="shared" si="78"/>
        <v>1359.7368571428572</v>
      </c>
      <c r="U132" s="175">
        <f t="shared" si="66"/>
        <v>0</v>
      </c>
      <c r="V132" s="175">
        <f t="shared" si="67"/>
        <v>0</v>
      </c>
      <c r="W132" s="176">
        <v>1</v>
      </c>
      <c r="X132" s="175">
        <f t="shared" si="68"/>
        <v>0</v>
      </c>
      <c r="Y132" s="175">
        <f t="shared" si="69"/>
        <v>1359.7368571428572</v>
      </c>
      <c r="Z132" s="175">
        <f t="shared" si="80"/>
        <v>46910.921571428575</v>
      </c>
      <c r="AA132" s="175">
        <f t="shared" si="71"/>
        <v>118</v>
      </c>
      <c r="AB132" s="175">
        <f t="shared" si="72"/>
        <v>118.25</v>
      </c>
      <c r="AC132" s="175">
        <f t="shared" si="73"/>
        <v>125</v>
      </c>
      <c r="AD132" s="175">
        <f t="shared" si="74"/>
        <v>117.25</v>
      </c>
      <c r="AE132" s="175">
        <f t="shared" si="75"/>
        <v>-8.3333333333333329E-2</v>
      </c>
      <c r="AF132" s="175">
        <f>L132-((X132+Y132)/2)-Z132</f>
        <v>0</v>
      </c>
      <c r="AG132" s="168"/>
      <c r="AH132" s="168"/>
      <c r="AI132" s="170"/>
    </row>
    <row r="133" spans="2:35" s="163" customFormat="1">
      <c r="B133" s="163" t="s">
        <v>912</v>
      </c>
      <c r="C133" s="295">
        <v>2017</v>
      </c>
      <c r="D133" s="163">
        <v>117</v>
      </c>
      <c r="E133" s="163">
        <v>8</v>
      </c>
      <c r="F133" s="178">
        <v>0.2</v>
      </c>
      <c r="G133" s="177" t="s">
        <v>491</v>
      </c>
      <c r="H133" s="163">
        <v>8</v>
      </c>
      <c r="I133" s="163">
        <f t="shared" si="62"/>
        <v>125</v>
      </c>
      <c r="L133" s="175">
        <v>3578.28</v>
      </c>
      <c r="M133" s="175"/>
      <c r="N133" s="175">
        <f t="shared" si="76"/>
        <v>2862.6240000000003</v>
      </c>
      <c r="O133" s="175">
        <f t="shared" si="77"/>
        <v>29.819000000000003</v>
      </c>
      <c r="P133" s="175">
        <f t="shared" si="63"/>
        <v>238.55200000000173</v>
      </c>
      <c r="Q133" s="175">
        <f t="shared" si="64"/>
        <v>0</v>
      </c>
      <c r="R133" s="175">
        <f t="shared" si="65"/>
        <v>238.55200000000173</v>
      </c>
      <c r="S133" s="176">
        <v>1</v>
      </c>
      <c r="T133" s="175">
        <f t="shared" si="78"/>
        <v>238.55200000000173</v>
      </c>
      <c r="U133" s="175">
        <f t="shared" si="66"/>
        <v>0</v>
      </c>
      <c r="V133" s="175">
        <f t="shared" si="67"/>
        <v>0</v>
      </c>
      <c r="W133" s="176">
        <v>1</v>
      </c>
      <c r="X133" s="175">
        <f t="shared" si="68"/>
        <v>0</v>
      </c>
      <c r="Y133" s="175">
        <f t="shared" si="69"/>
        <v>238.55200000000173</v>
      </c>
      <c r="Z133" s="175">
        <f t="shared" si="80"/>
        <v>3459.0039999999995</v>
      </c>
      <c r="AA133" s="175">
        <f t="shared" si="71"/>
        <v>117.58333333333333</v>
      </c>
      <c r="AB133" s="175">
        <f t="shared" si="72"/>
        <v>118.25</v>
      </c>
      <c r="AC133" s="175">
        <f t="shared" si="73"/>
        <v>125.58333333333333</v>
      </c>
      <c r="AD133" s="175">
        <f t="shared" si="74"/>
        <v>117.25</v>
      </c>
      <c r="AE133" s="175">
        <f t="shared" si="75"/>
        <v>-8.3333333333333329E-2</v>
      </c>
      <c r="AF133" s="175">
        <f t="shared" si="79"/>
        <v>0</v>
      </c>
      <c r="AG133" s="168"/>
      <c r="AH133" s="168"/>
      <c r="AI133" s="170"/>
    </row>
    <row r="134" spans="2:35" s="163" customFormat="1">
      <c r="B134" s="163" t="s">
        <v>913</v>
      </c>
      <c r="C134" s="295">
        <v>2017</v>
      </c>
      <c r="D134" s="163">
        <v>117</v>
      </c>
      <c r="E134" s="163">
        <v>9</v>
      </c>
      <c r="F134" s="178">
        <v>0.2</v>
      </c>
      <c r="G134" s="177" t="s">
        <v>491</v>
      </c>
      <c r="H134" s="163">
        <v>7</v>
      </c>
      <c r="I134" s="163">
        <f t="shared" si="62"/>
        <v>124</v>
      </c>
      <c r="L134" s="175">
        <v>163155.09</v>
      </c>
      <c r="M134" s="175"/>
      <c r="N134" s="175">
        <f t="shared" si="76"/>
        <v>130524.072</v>
      </c>
      <c r="O134" s="175">
        <f t="shared" si="77"/>
        <v>1553.8579999999999</v>
      </c>
      <c r="P134" s="175">
        <f t="shared" si="63"/>
        <v>10877.005999999912</v>
      </c>
      <c r="Q134" s="175">
        <f t="shared" si="64"/>
        <v>0</v>
      </c>
      <c r="R134" s="175">
        <f t="shared" si="65"/>
        <v>10877.005999999912</v>
      </c>
      <c r="S134" s="176">
        <v>1</v>
      </c>
      <c r="T134" s="175">
        <f t="shared" si="78"/>
        <v>10877.005999999912</v>
      </c>
      <c r="U134" s="175">
        <f t="shared" si="66"/>
        <v>0</v>
      </c>
      <c r="V134" s="175">
        <f t="shared" si="67"/>
        <v>0</v>
      </c>
      <c r="W134" s="176">
        <v>1</v>
      </c>
      <c r="X134" s="175">
        <f t="shared" si="68"/>
        <v>0</v>
      </c>
      <c r="Y134" s="175">
        <f t="shared" si="69"/>
        <v>10877.005999999912</v>
      </c>
      <c r="Z134" s="175">
        <f t="shared" si="80"/>
        <v>157716.58700000003</v>
      </c>
      <c r="AA134" s="175">
        <f t="shared" si="71"/>
        <v>117.66666666666667</v>
      </c>
      <c r="AB134" s="175">
        <f t="shared" si="72"/>
        <v>118.25</v>
      </c>
      <c r="AC134" s="175">
        <f t="shared" si="73"/>
        <v>124.66666666666667</v>
      </c>
      <c r="AD134" s="175">
        <f t="shared" si="74"/>
        <v>117.25</v>
      </c>
      <c r="AE134" s="175">
        <f t="shared" si="75"/>
        <v>-8.3333333333333329E-2</v>
      </c>
      <c r="AF134" s="175">
        <f t="shared" si="79"/>
        <v>0</v>
      </c>
      <c r="AG134" s="168"/>
      <c r="AH134" s="168"/>
      <c r="AI134" s="170"/>
    </row>
    <row r="135" spans="2:35" s="163" customFormat="1">
      <c r="B135" s="163" t="s">
        <v>914</v>
      </c>
      <c r="C135" s="295">
        <v>2017</v>
      </c>
      <c r="D135" s="163">
        <v>117</v>
      </c>
      <c r="E135" s="163">
        <v>9</v>
      </c>
      <c r="F135" s="178">
        <v>0.2</v>
      </c>
      <c r="G135" s="177" t="s">
        <v>491</v>
      </c>
      <c r="H135" s="163">
        <v>7</v>
      </c>
      <c r="I135" s="163">
        <f t="shared" si="62"/>
        <v>124</v>
      </c>
      <c r="L135" s="175">
        <v>112739.2</v>
      </c>
      <c r="M135" s="175"/>
      <c r="N135" s="175">
        <f t="shared" si="76"/>
        <v>90191.360000000001</v>
      </c>
      <c r="O135" s="175">
        <f t="shared" si="77"/>
        <v>1073.7066666666667</v>
      </c>
      <c r="P135" s="175">
        <f t="shared" si="63"/>
        <v>7515.9466666666058</v>
      </c>
      <c r="Q135" s="175">
        <f t="shared" si="64"/>
        <v>0</v>
      </c>
      <c r="R135" s="175">
        <f t="shared" si="65"/>
        <v>7515.9466666666058</v>
      </c>
      <c r="S135" s="176">
        <v>1</v>
      </c>
      <c r="T135" s="175">
        <f t="shared" si="78"/>
        <v>7515.9466666666058</v>
      </c>
      <c r="U135" s="175">
        <f t="shared" si="66"/>
        <v>0</v>
      </c>
      <c r="V135" s="175">
        <f t="shared" si="67"/>
        <v>0</v>
      </c>
      <c r="W135" s="176">
        <v>1</v>
      </c>
      <c r="X135" s="175">
        <f t="shared" si="68"/>
        <v>0</v>
      </c>
      <c r="Y135" s="175">
        <f t="shared" si="69"/>
        <v>7515.9466666666058</v>
      </c>
      <c r="Z135" s="175">
        <f t="shared" si="80"/>
        <v>108981.2266666667</v>
      </c>
      <c r="AA135" s="175">
        <f t="shared" si="71"/>
        <v>117.66666666666667</v>
      </c>
      <c r="AB135" s="175">
        <f t="shared" si="72"/>
        <v>118.25</v>
      </c>
      <c r="AC135" s="175">
        <f t="shared" si="73"/>
        <v>124.66666666666667</v>
      </c>
      <c r="AD135" s="175">
        <f t="shared" si="74"/>
        <v>117.25</v>
      </c>
      <c r="AE135" s="175">
        <f t="shared" si="75"/>
        <v>-8.3333333333333329E-2</v>
      </c>
      <c r="AF135" s="175">
        <f t="shared" si="79"/>
        <v>0</v>
      </c>
      <c r="AG135" s="168"/>
      <c r="AH135" s="168"/>
      <c r="AI135" s="170"/>
    </row>
    <row r="136" spans="2:35" s="163" customFormat="1">
      <c r="B136" s="163" t="s">
        <v>915</v>
      </c>
      <c r="C136" s="295">
        <v>2017</v>
      </c>
      <c r="D136" s="163">
        <v>117</v>
      </c>
      <c r="E136" s="163">
        <v>9</v>
      </c>
      <c r="F136" s="178">
        <v>0.2</v>
      </c>
      <c r="G136" s="177" t="s">
        <v>491</v>
      </c>
      <c r="H136" s="163">
        <v>8</v>
      </c>
      <c r="I136" s="163">
        <f t="shared" si="62"/>
        <v>125</v>
      </c>
      <c r="L136" s="175">
        <v>2614.6999999999998</v>
      </c>
      <c r="M136" s="175"/>
      <c r="N136" s="175">
        <f t="shared" si="76"/>
        <v>2091.7599999999998</v>
      </c>
      <c r="O136" s="175">
        <f t="shared" si="77"/>
        <v>21.789166666666663</v>
      </c>
      <c r="P136" s="175">
        <f t="shared" si="63"/>
        <v>152.52416666666539</v>
      </c>
      <c r="Q136" s="175">
        <f t="shared" si="64"/>
        <v>0</v>
      </c>
      <c r="R136" s="175">
        <f t="shared" si="65"/>
        <v>152.52416666666539</v>
      </c>
      <c r="S136" s="176">
        <v>1</v>
      </c>
      <c r="T136" s="175">
        <f t="shared" si="78"/>
        <v>152.52416666666539</v>
      </c>
      <c r="U136" s="175">
        <f t="shared" si="66"/>
        <v>0</v>
      </c>
      <c r="V136" s="175">
        <f t="shared" si="67"/>
        <v>0</v>
      </c>
      <c r="W136" s="176">
        <v>1</v>
      </c>
      <c r="X136" s="175">
        <f t="shared" si="68"/>
        <v>0</v>
      </c>
      <c r="Y136" s="175">
        <f t="shared" si="69"/>
        <v>152.52416666666539</v>
      </c>
      <c r="Z136" s="175">
        <f t="shared" si="80"/>
        <v>2538.4379166666672</v>
      </c>
      <c r="AA136" s="175">
        <f t="shared" si="71"/>
        <v>117.66666666666667</v>
      </c>
      <c r="AB136" s="175">
        <f t="shared" si="72"/>
        <v>118.25</v>
      </c>
      <c r="AC136" s="175">
        <f t="shared" si="73"/>
        <v>125.66666666666667</v>
      </c>
      <c r="AD136" s="175">
        <f t="shared" si="74"/>
        <v>117.25</v>
      </c>
      <c r="AE136" s="175">
        <f t="shared" si="75"/>
        <v>-8.3333333333333329E-2</v>
      </c>
      <c r="AF136" s="175">
        <f t="shared" si="79"/>
        <v>0</v>
      </c>
      <c r="AG136" s="168"/>
      <c r="AH136" s="168"/>
      <c r="AI136" s="170"/>
    </row>
    <row r="137" spans="2:35" s="163" customFormat="1">
      <c r="B137" s="163" t="s">
        <v>916</v>
      </c>
      <c r="C137" s="295">
        <v>2017</v>
      </c>
      <c r="D137" s="163">
        <v>118</v>
      </c>
      <c r="E137" s="163">
        <v>1</v>
      </c>
      <c r="F137" s="178">
        <v>0.2</v>
      </c>
      <c r="G137" s="177" t="s">
        <v>491</v>
      </c>
      <c r="H137" s="163">
        <v>5</v>
      </c>
      <c r="I137" s="163">
        <f t="shared" si="62"/>
        <v>123</v>
      </c>
      <c r="L137" s="175">
        <v>3429.47</v>
      </c>
      <c r="M137" s="175"/>
      <c r="N137" s="175">
        <f t="shared" si="76"/>
        <v>2743.576</v>
      </c>
      <c r="O137" s="175">
        <f t="shared" si="77"/>
        <v>45.726266666666668</v>
      </c>
      <c r="P137" s="175">
        <f t="shared" si="63"/>
        <v>137.1788</v>
      </c>
      <c r="Q137" s="175">
        <f t="shared" si="64"/>
        <v>0</v>
      </c>
      <c r="R137" s="175">
        <f t="shared" si="65"/>
        <v>137.1788</v>
      </c>
      <c r="S137" s="176">
        <v>1</v>
      </c>
      <c r="T137" s="175">
        <f t="shared" si="78"/>
        <v>137.1788</v>
      </c>
      <c r="U137" s="175">
        <f t="shared" si="66"/>
        <v>0</v>
      </c>
      <c r="V137" s="175">
        <f t="shared" si="67"/>
        <v>0</v>
      </c>
      <c r="W137" s="176">
        <v>1</v>
      </c>
      <c r="X137" s="175">
        <f t="shared" si="68"/>
        <v>0</v>
      </c>
      <c r="Y137" s="175">
        <f t="shared" si="69"/>
        <v>137.1788</v>
      </c>
      <c r="Z137" s="175">
        <f t="shared" si="80"/>
        <v>3360.8806</v>
      </c>
      <c r="AA137" s="175">
        <f t="shared" si="71"/>
        <v>118</v>
      </c>
      <c r="AB137" s="175">
        <f t="shared" si="72"/>
        <v>118.25</v>
      </c>
      <c r="AC137" s="175">
        <f t="shared" si="73"/>
        <v>123</v>
      </c>
      <c r="AD137" s="175">
        <f t="shared" si="74"/>
        <v>117.25</v>
      </c>
      <c r="AE137" s="175">
        <f t="shared" si="75"/>
        <v>-8.3333333333333329E-2</v>
      </c>
      <c r="AF137" s="175">
        <f t="shared" si="79"/>
        <v>0</v>
      </c>
      <c r="AG137" s="168"/>
      <c r="AH137" s="168"/>
      <c r="AI137" s="170"/>
    </row>
    <row r="138" spans="2:35" s="163" customFormat="1">
      <c r="B138" s="163" t="s">
        <v>917</v>
      </c>
      <c r="C138" s="295">
        <v>2017</v>
      </c>
      <c r="D138" s="163">
        <v>117</v>
      </c>
      <c r="E138" s="163">
        <v>12</v>
      </c>
      <c r="F138" s="178">
        <v>0.2</v>
      </c>
      <c r="G138" s="177" t="s">
        <v>491</v>
      </c>
      <c r="H138" s="163">
        <v>5</v>
      </c>
      <c r="I138" s="163">
        <f t="shared" si="62"/>
        <v>122</v>
      </c>
      <c r="L138" s="175">
        <v>3304.11</v>
      </c>
      <c r="M138" s="175"/>
      <c r="N138" s="175">
        <f t="shared" si="76"/>
        <v>2643.288</v>
      </c>
      <c r="O138" s="175">
        <f t="shared" si="77"/>
        <v>44.0548</v>
      </c>
      <c r="P138" s="175">
        <f t="shared" si="63"/>
        <v>176.2191999999975</v>
      </c>
      <c r="Q138" s="175">
        <f t="shared" si="64"/>
        <v>0</v>
      </c>
      <c r="R138" s="175">
        <f t="shared" si="65"/>
        <v>176.2191999999975</v>
      </c>
      <c r="S138" s="176">
        <v>1</v>
      </c>
      <c r="T138" s="175">
        <f t="shared" si="78"/>
        <v>176.2191999999975</v>
      </c>
      <c r="U138" s="175">
        <f t="shared" si="66"/>
        <v>0</v>
      </c>
      <c r="V138" s="175">
        <f t="shared" si="67"/>
        <v>0</v>
      </c>
      <c r="W138" s="176">
        <v>1</v>
      </c>
      <c r="X138" s="175">
        <f t="shared" si="68"/>
        <v>0</v>
      </c>
      <c r="Y138" s="175">
        <f t="shared" si="69"/>
        <v>176.2191999999975</v>
      </c>
      <c r="Z138" s="175">
        <f t="shared" si="80"/>
        <v>3216.0004000000013</v>
      </c>
      <c r="AA138" s="175">
        <f t="shared" si="71"/>
        <v>117.91666666666667</v>
      </c>
      <c r="AB138" s="175">
        <f t="shared" si="72"/>
        <v>118.25</v>
      </c>
      <c r="AC138" s="175">
        <f t="shared" si="73"/>
        <v>122.91666666666667</v>
      </c>
      <c r="AD138" s="175">
        <f t="shared" si="74"/>
        <v>117.25</v>
      </c>
      <c r="AE138" s="175">
        <f t="shared" si="75"/>
        <v>-8.3333333333333329E-2</v>
      </c>
      <c r="AF138" s="175">
        <f t="shared" si="79"/>
        <v>0</v>
      </c>
      <c r="AG138" s="168"/>
      <c r="AH138" s="168"/>
      <c r="AI138" s="170"/>
    </row>
    <row r="139" spans="2:35" s="163" customFormat="1">
      <c r="B139" s="841" t="s">
        <v>921</v>
      </c>
      <c r="C139" s="842">
        <v>2018</v>
      </c>
      <c r="D139" s="841">
        <v>118</v>
      </c>
      <c r="E139" s="841">
        <v>2</v>
      </c>
      <c r="F139" s="843">
        <v>0.2</v>
      </c>
      <c r="G139" s="844" t="s">
        <v>491</v>
      </c>
      <c r="H139" s="841">
        <v>8</v>
      </c>
      <c r="I139" s="841">
        <f t="shared" si="62"/>
        <v>126</v>
      </c>
      <c r="J139" s="841"/>
      <c r="K139" s="841"/>
      <c r="L139" s="845">
        <v>146067</v>
      </c>
      <c r="M139" s="845"/>
      <c r="N139" s="845">
        <f t="shared" si="76"/>
        <v>116853.6</v>
      </c>
      <c r="O139" s="845">
        <f t="shared" si="77"/>
        <v>1217.2250000000001</v>
      </c>
      <c r="P139" s="845">
        <f t="shared" si="63"/>
        <v>2434.4500000000694</v>
      </c>
      <c r="Q139" s="845">
        <f t="shared" si="64"/>
        <v>0</v>
      </c>
      <c r="R139" s="845">
        <f t="shared" si="65"/>
        <v>2434.4500000000694</v>
      </c>
      <c r="S139" s="846">
        <v>1</v>
      </c>
      <c r="T139" s="845">
        <f t="shared" si="78"/>
        <v>2434.4500000000694</v>
      </c>
      <c r="U139" s="845">
        <f t="shared" si="66"/>
        <v>0</v>
      </c>
      <c r="V139" s="845">
        <f t="shared" si="67"/>
        <v>0</v>
      </c>
      <c r="W139" s="846">
        <v>1</v>
      </c>
      <c r="X139" s="845">
        <f t="shared" si="68"/>
        <v>0</v>
      </c>
      <c r="Y139" s="845">
        <f t="shared" si="69"/>
        <v>2434.4500000000694</v>
      </c>
      <c r="Z139" s="845">
        <f t="shared" si="80"/>
        <v>144849.77499999997</v>
      </c>
      <c r="AA139" s="845">
        <f t="shared" si="71"/>
        <v>118.08333333333333</v>
      </c>
      <c r="AB139" s="845">
        <f t="shared" si="72"/>
        <v>118.25</v>
      </c>
      <c r="AC139" s="845">
        <f t="shared" si="73"/>
        <v>126.08333333333333</v>
      </c>
      <c r="AD139" s="845">
        <f t="shared" si="74"/>
        <v>117.25</v>
      </c>
      <c r="AE139" s="845">
        <f t="shared" si="75"/>
        <v>-8.3333333333333329E-2</v>
      </c>
      <c r="AF139" s="845">
        <f t="shared" si="79"/>
        <v>0</v>
      </c>
      <c r="AG139" s="168"/>
      <c r="AH139" s="168"/>
      <c r="AI139" s="170"/>
    </row>
    <row r="140" spans="2:35" s="163" customFormat="1">
      <c r="B140" s="163" t="s">
        <v>922</v>
      </c>
      <c r="C140" s="295">
        <v>2018</v>
      </c>
      <c r="D140" s="163">
        <v>118</v>
      </c>
      <c r="E140" s="163">
        <v>3</v>
      </c>
      <c r="F140" s="178">
        <v>0.2</v>
      </c>
      <c r="G140" s="177" t="s">
        <v>491</v>
      </c>
      <c r="H140" s="163">
        <v>5</v>
      </c>
      <c r="I140" s="163">
        <f t="shared" si="62"/>
        <v>123</v>
      </c>
      <c r="L140" s="175">
        <v>3415.12</v>
      </c>
      <c r="M140" s="175"/>
      <c r="N140" s="175">
        <f t="shared" si="76"/>
        <v>2732.096</v>
      </c>
      <c r="O140" s="175">
        <f t="shared" si="77"/>
        <v>45.534933333333335</v>
      </c>
      <c r="P140" s="175">
        <f t="shared" si="63"/>
        <v>45.534933333330748</v>
      </c>
      <c r="Q140" s="175">
        <f t="shared" si="64"/>
        <v>0</v>
      </c>
      <c r="R140" s="175">
        <f t="shared" si="65"/>
        <v>45.534933333330748</v>
      </c>
      <c r="S140" s="176">
        <v>1</v>
      </c>
      <c r="T140" s="175">
        <f t="shared" si="78"/>
        <v>45.534933333330748</v>
      </c>
      <c r="U140" s="175">
        <f t="shared" si="66"/>
        <v>0</v>
      </c>
      <c r="V140" s="175">
        <f t="shared" si="67"/>
        <v>0</v>
      </c>
      <c r="W140" s="176">
        <v>1</v>
      </c>
      <c r="X140" s="175">
        <f t="shared" si="68"/>
        <v>0</v>
      </c>
      <c r="Y140" s="175">
        <f t="shared" si="69"/>
        <v>45.534933333330748</v>
      </c>
      <c r="Z140" s="175">
        <f t="shared" si="80"/>
        <v>3392.3525333333346</v>
      </c>
      <c r="AA140" s="175">
        <f t="shared" si="71"/>
        <v>118.16666666666667</v>
      </c>
      <c r="AB140" s="175">
        <f t="shared" si="72"/>
        <v>118.25</v>
      </c>
      <c r="AC140" s="175">
        <f t="shared" si="73"/>
        <v>123.16666666666667</v>
      </c>
      <c r="AD140" s="175">
        <f t="shared" si="74"/>
        <v>117.25</v>
      </c>
      <c r="AE140" s="175">
        <f t="shared" si="75"/>
        <v>-8.3333333333333329E-2</v>
      </c>
      <c r="AF140" s="175">
        <f t="shared" si="79"/>
        <v>0</v>
      </c>
      <c r="AG140" s="168"/>
      <c r="AH140" s="168"/>
      <c r="AI140" s="170"/>
    </row>
    <row r="141" spans="2:35" s="163" customFormat="1">
      <c r="B141" s="163" t="s">
        <v>923</v>
      </c>
      <c r="C141" s="295">
        <v>2018</v>
      </c>
      <c r="D141" s="163">
        <v>118</v>
      </c>
      <c r="E141" s="163">
        <v>3</v>
      </c>
      <c r="F141" s="178">
        <v>0.2</v>
      </c>
      <c r="G141" s="177" t="s">
        <v>491</v>
      </c>
      <c r="H141" s="163">
        <v>5</v>
      </c>
      <c r="I141" s="163">
        <f t="shared" si="62"/>
        <v>123</v>
      </c>
      <c r="L141" s="175">
        <v>2789.74</v>
      </c>
      <c r="M141" s="175"/>
      <c r="N141" s="175">
        <f t="shared" si="76"/>
        <v>2231.7919999999999</v>
      </c>
      <c r="O141" s="175">
        <f t="shared" si="77"/>
        <v>37.196533333333328</v>
      </c>
      <c r="P141" s="175">
        <f t="shared" si="63"/>
        <v>37.19653333333121</v>
      </c>
      <c r="Q141" s="175">
        <f t="shared" si="64"/>
        <v>0</v>
      </c>
      <c r="R141" s="175">
        <f t="shared" si="65"/>
        <v>37.19653333333121</v>
      </c>
      <c r="S141" s="176">
        <v>1</v>
      </c>
      <c r="T141" s="175">
        <f t="shared" si="78"/>
        <v>37.19653333333121</v>
      </c>
      <c r="U141" s="175">
        <f t="shared" si="66"/>
        <v>0</v>
      </c>
      <c r="V141" s="175">
        <f t="shared" si="67"/>
        <v>0</v>
      </c>
      <c r="W141" s="176">
        <v>1</v>
      </c>
      <c r="X141" s="175">
        <f t="shared" si="68"/>
        <v>0</v>
      </c>
      <c r="Y141" s="175">
        <f t="shared" si="69"/>
        <v>37.19653333333121</v>
      </c>
      <c r="Z141" s="175">
        <f t="shared" si="80"/>
        <v>2771.1417333333343</v>
      </c>
      <c r="AA141" s="175">
        <f t="shared" si="71"/>
        <v>118.16666666666667</v>
      </c>
      <c r="AB141" s="175">
        <f t="shared" si="72"/>
        <v>118.25</v>
      </c>
      <c r="AC141" s="175">
        <f t="shared" si="73"/>
        <v>123.16666666666667</v>
      </c>
      <c r="AD141" s="175">
        <f t="shared" si="74"/>
        <v>117.25</v>
      </c>
      <c r="AE141" s="175">
        <f t="shared" si="75"/>
        <v>-8.3333333333333329E-2</v>
      </c>
      <c r="AF141" s="175">
        <f>L141-((X141+Y141)/2)-Z141</f>
        <v>0</v>
      </c>
      <c r="AG141" s="168"/>
      <c r="AH141" s="168"/>
      <c r="AI141" s="170"/>
    </row>
    <row r="142" spans="2:35">
      <c r="C142" s="293"/>
      <c r="F142" s="178"/>
      <c r="G142" s="177"/>
      <c r="L142" s="175"/>
      <c r="M142" s="172"/>
      <c r="N142" s="172"/>
      <c r="O142" s="172"/>
      <c r="P142" s="172"/>
      <c r="Q142" s="172"/>
      <c r="R142" s="172"/>
      <c r="S142" s="182"/>
      <c r="T142" s="172"/>
      <c r="U142" s="172"/>
      <c r="V142" s="172"/>
      <c r="W142" s="182"/>
      <c r="X142" s="172"/>
      <c r="Y142" s="172"/>
      <c r="Z142" s="172"/>
      <c r="AA142" s="172"/>
      <c r="AB142" s="172"/>
      <c r="AC142" s="172"/>
      <c r="AD142" s="172"/>
      <c r="AE142" s="172"/>
      <c r="AF142" s="172"/>
      <c r="AG142" s="166"/>
      <c r="AH142" s="166"/>
      <c r="AI142" s="164"/>
    </row>
    <row r="143" spans="2:35">
      <c r="B143" s="183" t="s">
        <v>516</v>
      </c>
      <c r="C143" s="293"/>
      <c r="L143" s="191">
        <f>SUM(L116:L141)</f>
        <v>1858751.4400000002</v>
      </c>
      <c r="M143" s="172"/>
      <c r="N143" s="191">
        <f>SUM(N116:N141)</f>
        <v>1487001.1519999998</v>
      </c>
      <c r="O143" s="191">
        <f>SUM(O116:O141)</f>
        <v>16208.142754761902</v>
      </c>
      <c r="P143" s="191">
        <f>SUM(P116:P141)</f>
        <v>138881.10977619048</v>
      </c>
      <c r="Q143" s="191">
        <f>SUM(Q116:Q141)</f>
        <v>0</v>
      </c>
      <c r="R143" s="191">
        <f>SUM(R116:R141)</f>
        <v>138881.10977619048</v>
      </c>
      <c r="S143" s="172"/>
      <c r="T143" s="191">
        <f>SUM(T116:T141)</f>
        <v>138881.10977619048</v>
      </c>
      <c r="U143" s="191">
        <f>SUM(U116:U141)</f>
        <v>608472.88798809517</v>
      </c>
      <c r="V143" s="191">
        <f>SUM(V116:V141)</f>
        <v>608472.88798809517</v>
      </c>
      <c r="W143" s="172"/>
      <c r="X143" s="191">
        <f>SUM(X116:X141)</f>
        <v>608472.88798809517</v>
      </c>
      <c r="Y143" s="191">
        <f>SUM(Y116:Y141)</f>
        <v>747353.99776428577</v>
      </c>
      <c r="Z143" s="191">
        <f>SUM(Z116:Z141)</f>
        <v>1180837.9971238093</v>
      </c>
      <c r="AA143" s="175"/>
      <c r="AB143" s="175"/>
      <c r="AC143" s="175"/>
      <c r="AD143" s="175"/>
      <c r="AE143" s="175"/>
      <c r="AF143" s="191">
        <f>SUM(AF116:AF141)</f>
        <v>0</v>
      </c>
      <c r="AG143" s="166"/>
      <c r="AH143" s="166"/>
      <c r="AI143" s="164"/>
    </row>
    <row r="144" spans="2:35">
      <c r="B144" s="190"/>
      <c r="C144" s="293"/>
      <c r="F144" s="178"/>
      <c r="G144" s="177"/>
      <c r="L144" s="175"/>
      <c r="M144" s="172"/>
      <c r="N144" s="172"/>
      <c r="O144" s="172"/>
      <c r="P144" s="172"/>
      <c r="Q144" s="172"/>
      <c r="R144" s="172"/>
      <c r="S144" s="182"/>
      <c r="T144" s="172"/>
      <c r="U144" s="172"/>
      <c r="V144" s="172"/>
      <c r="W144" s="182"/>
      <c r="X144" s="172"/>
      <c r="Y144" s="172"/>
      <c r="Z144" s="172"/>
      <c r="AA144" s="172"/>
      <c r="AB144" s="172"/>
      <c r="AC144" s="172"/>
      <c r="AD144" s="172"/>
      <c r="AE144" s="172"/>
      <c r="AF144" s="172"/>
      <c r="AG144" s="166"/>
      <c r="AH144" s="166"/>
      <c r="AI144" s="164"/>
    </row>
    <row r="145" spans="1:35">
      <c r="B145" s="183" t="s">
        <v>556</v>
      </c>
      <c r="C145" s="293"/>
      <c r="F145" s="178"/>
      <c r="G145" s="177"/>
      <c r="L145" s="184">
        <f>SUM(L143:L144)</f>
        <v>1858751.4400000002</v>
      </c>
      <c r="M145" s="172"/>
      <c r="N145" s="188">
        <f>SUM(N143:N144)</f>
        <v>1487001.1519999998</v>
      </c>
      <c r="O145" s="188">
        <f>SUM(O143:O144)</f>
        <v>16208.142754761902</v>
      </c>
      <c r="P145" s="188">
        <f>SUM(P143:P144)</f>
        <v>138881.10977619048</v>
      </c>
      <c r="Q145" s="188">
        <f>SUM(Q143:Q144)</f>
        <v>0</v>
      </c>
      <c r="R145" s="188">
        <f>SUM(R143:R144)</f>
        <v>138881.10977619048</v>
      </c>
      <c r="S145" s="182"/>
      <c r="T145" s="188">
        <f>SUM(T143:T144)</f>
        <v>138881.10977619048</v>
      </c>
      <c r="U145" s="188">
        <f>SUM(U143:U144)</f>
        <v>608472.88798809517</v>
      </c>
      <c r="V145" s="188">
        <f>SUM(V143:V144)</f>
        <v>608472.88798809517</v>
      </c>
      <c r="W145" s="172"/>
      <c r="X145" s="188">
        <f>SUM(X143:X144)</f>
        <v>608472.88798809517</v>
      </c>
      <c r="Y145" s="188">
        <f>SUM(Y143:Y144)</f>
        <v>747353.99776428577</v>
      </c>
      <c r="Z145" s="188">
        <f>SUM(Z143:Z144)</f>
        <v>1180837.9971238093</v>
      </c>
      <c r="AA145" s="172"/>
      <c r="AB145" s="172"/>
      <c r="AC145" s="172"/>
      <c r="AD145" s="172"/>
      <c r="AE145" s="172"/>
      <c r="AF145" s="188">
        <f>SUM(AF143:AF144)</f>
        <v>0</v>
      </c>
      <c r="AG145" s="166"/>
      <c r="AH145" s="166"/>
      <c r="AI145" s="164"/>
    </row>
    <row r="146" spans="1:35">
      <c r="C146" s="293"/>
      <c r="L146" s="168"/>
      <c r="M146" s="166"/>
      <c r="N146" s="166"/>
      <c r="O146" s="166"/>
      <c r="P146" s="166"/>
      <c r="Q146" s="166"/>
      <c r="R146" s="166"/>
      <c r="S146" s="167"/>
      <c r="T146" s="166"/>
      <c r="U146" s="166"/>
      <c r="V146" s="166"/>
      <c r="W146" s="167"/>
      <c r="X146" s="166"/>
      <c r="Y146" s="166"/>
      <c r="Z146" s="166"/>
      <c r="AA146" s="172"/>
      <c r="AB146" s="172"/>
      <c r="AC146" s="172"/>
      <c r="AD146" s="172"/>
      <c r="AE146" s="172"/>
      <c r="AF146" s="166"/>
      <c r="AG146" s="166"/>
      <c r="AH146" s="166"/>
      <c r="AI146" s="164"/>
    </row>
    <row r="147" spans="1:35" ht="16.5" thickBot="1">
      <c r="B147" s="174" t="s">
        <v>555</v>
      </c>
      <c r="C147" s="293"/>
      <c r="H147" s="952"/>
      <c r="K147" s="896" t="s">
        <v>966</v>
      </c>
      <c r="L147" s="173">
        <f>+L145+L113</f>
        <v>2178897.62</v>
      </c>
      <c r="M147" s="172"/>
      <c r="N147" s="173">
        <f>+N145+N113</f>
        <v>1743118.0959999997</v>
      </c>
      <c r="O147" s="173">
        <f>+O145+O113</f>
        <v>18934.648278571425</v>
      </c>
      <c r="P147" s="173">
        <f>+P145+P113</f>
        <v>162569.01606190475</v>
      </c>
      <c r="Q147" s="173"/>
      <c r="R147" s="173">
        <f>+R145+R113</f>
        <v>162569.01606190475</v>
      </c>
      <c r="S147" s="167"/>
      <c r="T147" s="173">
        <f>+T145+T113</f>
        <v>162569.01606190475</v>
      </c>
      <c r="U147" s="173">
        <f>+U145+U113</f>
        <v>817214.01941666659</v>
      </c>
      <c r="V147" s="173">
        <f>+V145+V113</f>
        <v>817214.01941666659</v>
      </c>
      <c r="W147" s="167"/>
      <c r="X147" s="173">
        <f>+X145+X113</f>
        <v>817214.01941666659</v>
      </c>
      <c r="Y147" s="173">
        <f>+Y145+Y113</f>
        <v>979783.03547857143</v>
      </c>
      <c r="Z147" s="173">
        <f>+Z145+Z113</f>
        <v>1280399.0925523806</v>
      </c>
      <c r="AA147" s="172"/>
      <c r="AB147" s="172"/>
      <c r="AC147" s="172"/>
      <c r="AD147" s="172"/>
      <c r="AE147" s="172"/>
      <c r="AF147" s="171">
        <f>+AF145+AF113</f>
        <v>0</v>
      </c>
      <c r="AG147" s="166"/>
      <c r="AH147" s="166"/>
      <c r="AI147" s="164"/>
    </row>
    <row r="148" spans="1:35" s="163" customFormat="1" ht="17.25" thickTop="1" thickBot="1">
      <c r="B148" s="174"/>
      <c r="C148" s="295"/>
      <c r="M148" s="175"/>
      <c r="N148" s="180"/>
      <c r="O148" s="180"/>
      <c r="P148" s="180"/>
      <c r="Q148" s="175"/>
      <c r="R148" s="180"/>
      <c r="S148" s="165"/>
      <c r="T148" s="180"/>
      <c r="U148" s="180"/>
      <c r="V148" s="180"/>
      <c r="W148" s="165"/>
      <c r="X148" s="180"/>
      <c r="Y148" s="180"/>
      <c r="Z148" s="180"/>
      <c r="AA148" s="175"/>
      <c r="AB148" s="175"/>
      <c r="AC148" s="175"/>
      <c r="AD148" s="175"/>
      <c r="AE148" s="175"/>
      <c r="AF148" s="175"/>
      <c r="AG148" s="168"/>
      <c r="AH148" s="168"/>
      <c r="AI148" s="170"/>
    </row>
    <row r="149" spans="1:35" s="163" customFormat="1" ht="16.5" thickBot="1">
      <c r="B149" s="183"/>
      <c r="C149" s="295"/>
      <c r="L149" s="824" t="s">
        <v>724</v>
      </c>
      <c r="M149" s="825">
        <v>0.33</v>
      </c>
      <c r="N149" s="168"/>
      <c r="O149" s="168"/>
      <c r="P149" s="168"/>
      <c r="Q149" s="168"/>
      <c r="R149" s="168"/>
      <c r="S149" s="165"/>
      <c r="T149" s="168"/>
      <c r="U149" s="168"/>
      <c r="V149" s="168"/>
      <c r="W149" s="165"/>
      <c r="X149" s="168"/>
      <c r="Y149" s="168"/>
      <c r="Z149" s="180"/>
      <c r="AA149" s="168"/>
      <c r="AB149" s="168"/>
      <c r="AC149" s="168"/>
      <c r="AD149" s="168"/>
      <c r="AE149" s="168"/>
      <c r="AF149" s="168"/>
      <c r="AG149" s="168"/>
      <c r="AH149" s="168"/>
      <c r="AI149" s="170"/>
    </row>
    <row r="150" spans="1:35">
      <c r="B150" s="174" t="s">
        <v>554</v>
      </c>
      <c r="C150" s="292"/>
      <c r="L150" s="170"/>
      <c r="M150" s="164"/>
      <c r="N150" s="164"/>
      <c r="O150" s="164"/>
      <c r="P150" s="164"/>
      <c r="Q150" s="164"/>
      <c r="R150" s="164"/>
      <c r="T150" s="164"/>
      <c r="U150" s="164"/>
      <c r="V150" s="164"/>
      <c r="X150" s="164"/>
      <c r="Y150" s="164"/>
      <c r="Z150" s="164"/>
      <c r="AA150" s="164"/>
      <c r="AB150" s="164"/>
      <c r="AC150" s="164"/>
      <c r="AD150" s="164"/>
      <c r="AE150" s="164"/>
      <c r="AF150" s="164"/>
      <c r="AG150" s="164"/>
      <c r="AH150" s="164"/>
      <c r="AI150" s="164"/>
    </row>
    <row r="151" spans="1:35">
      <c r="A151" s="163"/>
      <c r="B151" s="163" t="s">
        <v>553</v>
      </c>
      <c r="C151" s="294">
        <v>2001</v>
      </c>
      <c r="D151" s="163">
        <v>101</v>
      </c>
      <c r="E151" s="163">
        <v>4</v>
      </c>
      <c r="F151" s="178">
        <v>0.33</v>
      </c>
      <c r="G151" s="177" t="s">
        <v>491</v>
      </c>
      <c r="H151" s="163">
        <v>5</v>
      </c>
      <c r="I151" s="163">
        <f t="shared" ref="I151:I161" si="81">D151+H151</f>
        <v>106</v>
      </c>
      <c r="L151" s="175">
        <v>4357.8</v>
      </c>
      <c r="M151" s="170">
        <v>0</v>
      </c>
      <c r="N151" s="168">
        <f t="shared" ref="N151:N158" si="82">L151-(+L151*F151)</f>
        <v>2919.7260000000001</v>
      </c>
      <c r="O151" s="168">
        <f t="shared" ref="O151:O158" si="83">N151/H151/12</f>
        <v>48.662100000000002</v>
      </c>
      <c r="P151" s="168">
        <f t="shared" ref="P151:P158" si="84">IF(Q151&gt;0,0,IF(OR(AA151&gt;AB151,AC151&lt;AD151),0,IF(AND(AC151&gt;=AD151,AC151&lt;=AB151),O151*((AC151-AD151)*12),IF(AND(AD151&lt;=AA151,AB151&gt;=AA151),((AB151-AA151)*12)*O151,IF(AC151&gt;AB151,12*O151,0)))))</f>
        <v>0</v>
      </c>
      <c r="Q151" s="168">
        <f t="shared" ref="Q151:Q158" si="85">IF(M151=0,0,IF(AND(AE151&gt;=AD151,AE151&lt;=AC151),((AE151-AD151)*12)*O151,0))</f>
        <v>0</v>
      </c>
      <c r="R151" s="168">
        <f t="shared" ref="R151:R158" si="86">IF(Q151&gt;0,Q151,P151)</f>
        <v>0</v>
      </c>
      <c r="S151" s="179">
        <v>1</v>
      </c>
      <c r="T151" s="168">
        <f t="shared" ref="T151:T158" si="87">S151*SUM(P151:Q151)</f>
        <v>0</v>
      </c>
      <c r="U151" s="168">
        <f t="shared" ref="U151:U158" si="88">IF(AA151&gt;AB151,0,IF(AC151&lt;AD151,N151,IF(AND(AC151&gt;=AD151,AC151&lt;=AB151),(N151-R151),IF(AND(AD151&lt;=AA151,AB151&gt;=AA151),0,IF(AC151&gt;AB151,((AD151-AA151)*12)*O151,0)))))</f>
        <v>2919.7260000000001</v>
      </c>
      <c r="V151" s="168">
        <f t="shared" ref="V151:V158" si="89">U151*S151</f>
        <v>2919.7260000000001</v>
      </c>
      <c r="W151" s="179">
        <v>1</v>
      </c>
      <c r="X151" s="168">
        <f t="shared" ref="X151:X158" si="90">V151*W151</f>
        <v>2919.7260000000001</v>
      </c>
      <c r="Y151" s="168">
        <f t="shared" ref="Y151:Y158" si="91">IF(M151&gt;0,0,X151+T151*W151)*W151</f>
        <v>2919.7260000000001</v>
      </c>
      <c r="Z151" s="175">
        <f t="shared" ref="Z151:Z158" si="92">IF(M151&gt;0,(L151-X151)/2,IF(AA151&gt;=AD151,(((L151*S151)*W151)-Y151)/2,((((L151*S151)*W151)-X151)+(((L151*S151)*W151)-Y151))/2))</f>
        <v>1438.0740000000001</v>
      </c>
      <c r="AA151" s="168">
        <f t="shared" ref="AA151:AA161" si="93">$D151+(($E151-1)/12)</f>
        <v>101.25</v>
      </c>
      <c r="AB151" s="168">
        <f t="shared" ref="AB151:AB161" si="94">($B$10+1)-($B$7/12)</f>
        <v>118.25</v>
      </c>
      <c r="AC151" s="168">
        <f t="shared" ref="AC151:AC161" si="95">$I151+(($E151-1)/12)</f>
        <v>106.25</v>
      </c>
      <c r="AD151" s="168">
        <f t="shared" ref="AD151:AD161" si="96">$B$9+($B$8/12)</f>
        <v>117.25</v>
      </c>
      <c r="AE151" s="168">
        <f t="shared" ref="AE151:AE161" si="97">$J151+(($K151-1)/12)</f>
        <v>-8.3333333333333329E-2</v>
      </c>
      <c r="AF151" s="168">
        <f t="shared" ref="AF151:AF158" si="98">L151-((X151+Y151)/2)-Z151</f>
        <v>0</v>
      </c>
      <c r="AG151" s="164"/>
      <c r="AH151" s="164"/>
      <c r="AI151" s="164"/>
    </row>
    <row r="152" spans="1:35" s="321" customFormat="1">
      <c r="B152" s="945" t="s">
        <v>552</v>
      </c>
      <c r="C152" s="946">
        <v>2003</v>
      </c>
      <c r="D152" s="945">
        <v>103</v>
      </c>
      <c r="E152" s="945">
        <v>6</v>
      </c>
      <c r="F152" s="947">
        <v>0.33</v>
      </c>
      <c r="G152" s="948" t="s">
        <v>491</v>
      </c>
      <c r="H152" s="945">
        <v>5</v>
      </c>
      <c r="I152" s="945">
        <f t="shared" si="81"/>
        <v>108</v>
      </c>
      <c r="J152" s="945"/>
      <c r="K152" s="945"/>
      <c r="L152" s="949">
        <f>16900</f>
        <v>16900</v>
      </c>
      <c r="M152" s="822">
        <v>0</v>
      </c>
      <c r="N152" s="950">
        <f t="shared" si="82"/>
        <v>11323</v>
      </c>
      <c r="O152" s="950">
        <f t="shared" si="83"/>
        <v>188.71666666666667</v>
      </c>
      <c r="P152" s="950">
        <f t="shared" si="84"/>
        <v>0</v>
      </c>
      <c r="Q152" s="950">
        <f t="shared" si="85"/>
        <v>0</v>
      </c>
      <c r="R152" s="950">
        <f t="shared" si="86"/>
        <v>0</v>
      </c>
      <c r="S152" s="951">
        <v>1</v>
      </c>
      <c r="T152" s="950">
        <f t="shared" si="87"/>
        <v>0</v>
      </c>
      <c r="U152" s="950">
        <f t="shared" si="88"/>
        <v>11323</v>
      </c>
      <c r="V152" s="950">
        <f t="shared" si="89"/>
        <v>11323</v>
      </c>
      <c r="W152" s="951">
        <v>1</v>
      </c>
      <c r="X152" s="950">
        <f t="shared" si="90"/>
        <v>11323</v>
      </c>
      <c r="Y152" s="950">
        <f t="shared" si="91"/>
        <v>11323</v>
      </c>
      <c r="Z152" s="949">
        <f t="shared" si="92"/>
        <v>5577</v>
      </c>
      <c r="AA152" s="950">
        <f t="shared" si="93"/>
        <v>103.41666666666667</v>
      </c>
      <c r="AB152" s="950">
        <f t="shared" si="94"/>
        <v>118.25</v>
      </c>
      <c r="AC152" s="950">
        <f t="shared" si="95"/>
        <v>108.41666666666667</v>
      </c>
      <c r="AD152" s="950">
        <f t="shared" si="96"/>
        <v>117.25</v>
      </c>
      <c r="AE152" s="950">
        <f t="shared" si="97"/>
        <v>-8.3333333333333329E-2</v>
      </c>
      <c r="AF152" s="823">
        <f t="shared" si="98"/>
        <v>0</v>
      </c>
      <c r="AG152" s="621"/>
      <c r="AH152" s="621"/>
      <c r="AI152" s="621"/>
    </row>
    <row r="153" spans="1:35">
      <c r="A153" s="163"/>
      <c r="B153" s="163" t="s">
        <v>551</v>
      </c>
      <c r="C153" s="294">
        <v>2004</v>
      </c>
      <c r="D153" s="163">
        <v>104</v>
      </c>
      <c r="E153" s="163">
        <v>5</v>
      </c>
      <c r="F153" s="178">
        <v>0</v>
      </c>
      <c r="G153" s="177" t="s">
        <v>491</v>
      </c>
      <c r="H153" s="163">
        <v>5</v>
      </c>
      <c r="I153" s="163">
        <f t="shared" si="81"/>
        <v>109</v>
      </c>
      <c r="L153" s="175">
        <v>1366.67</v>
      </c>
      <c r="M153" s="170">
        <v>0</v>
      </c>
      <c r="N153" s="168">
        <f t="shared" si="82"/>
        <v>1366.67</v>
      </c>
      <c r="O153" s="168">
        <f t="shared" si="83"/>
        <v>22.777833333333334</v>
      </c>
      <c r="P153" s="168">
        <f t="shared" si="84"/>
        <v>0</v>
      </c>
      <c r="Q153" s="168">
        <f t="shared" si="85"/>
        <v>0</v>
      </c>
      <c r="R153" s="168">
        <f t="shared" si="86"/>
        <v>0</v>
      </c>
      <c r="S153" s="179">
        <v>1</v>
      </c>
      <c r="T153" s="168">
        <f t="shared" si="87"/>
        <v>0</v>
      </c>
      <c r="U153" s="168">
        <f t="shared" si="88"/>
        <v>1366.67</v>
      </c>
      <c r="V153" s="168">
        <f t="shared" si="89"/>
        <v>1366.67</v>
      </c>
      <c r="W153" s="179">
        <v>1</v>
      </c>
      <c r="X153" s="168">
        <f t="shared" si="90"/>
        <v>1366.67</v>
      </c>
      <c r="Y153" s="168">
        <f t="shared" si="91"/>
        <v>1366.67</v>
      </c>
      <c r="Z153" s="175">
        <f t="shared" si="92"/>
        <v>0</v>
      </c>
      <c r="AA153" s="168">
        <f t="shared" si="93"/>
        <v>104.33333333333333</v>
      </c>
      <c r="AB153" s="168">
        <f t="shared" si="94"/>
        <v>118.25</v>
      </c>
      <c r="AC153" s="168">
        <f t="shared" si="95"/>
        <v>109.33333333333333</v>
      </c>
      <c r="AD153" s="168">
        <f t="shared" si="96"/>
        <v>117.25</v>
      </c>
      <c r="AE153" s="168">
        <f t="shared" si="97"/>
        <v>-8.3333333333333329E-2</v>
      </c>
      <c r="AF153" s="168">
        <f t="shared" si="98"/>
        <v>0</v>
      </c>
      <c r="AG153" s="164"/>
      <c r="AH153" s="164"/>
      <c r="AI153" s="164"/>
    </row>
    <row r="154" spans="1:35">
      <c r="A154" s="163"/>
      <c r="B154" s="163" t="s">
        <v>550</v>
      </c>
      <c r="C154" s="294">
        <v>2004</v>
      </c>
      <c r="D154" s="163">
        <v>104</v>
      </c>
      <c r="E154" s="163">
        <v>6</v>
      </c>
      <c r="F154" s="178">
        <v>0.33</v>
      </c>
      <c r="G154" s="177" t="s">
        <v>491</v>
      </c>
      <c r="H154" s="163">
        <v>5</v>
      </c>
      <c r="I154" s="163">
        <f t="shared" si="81"/>
        <v>109</v>
      </c>
      <c r="L154" s="175">
        <v>28607.42</v>
      </c>
      <c r="M154" s="170">
        <v>0</v>
      </c>
      <c r="N154" s="168">
        <f t="shared" si="82"/>
        <v>19166.971399999999</v>
      </c>
      <c r="O154" s="168">
        <f t="shared" si="83"/>
        <v>319.44952333333327</v>
      </c>
      <c r="P154" s="168">
        <f t="shared" si="84"/>
        <v>0</v>
      </c>
      <c r="Q154" s="168">
        <f t="shared" si="85"/>
        <v>0</v>
      </c>
      <c r="R154" s="168">
        <f t="shared" si="86"/>
        <v>0</v>
      </c>
      <c r="S154" s="179">
        <v>1</v>
      </c>
      <c r="T154" s="168">
        <f t="shared" si="87"/>
        <v>0</v>
      </c>
      <c r="U154" s="168">
        <f t="shared" si="88"/>
        <v>19166.971399999999</v>
      </c>
      <c r="V154" s="168">
        <f t="shared" si="89"/>
        <v>19166.971399999999</v>
      </c>
      <c r="W154" s="179">
        <v>1</v>
      </c>
      <c r="X154" s="168">
        <f t="shared" si="90"/>
        <v>19166.971399999999</v>
      </c>
      <c r="Y154" s="168">
        <f t="shared" si="91"/>
        <v>19166.971399999999</v>
      </c>
      <c r="Z154" s="175">
        <f t="shared" si="92"/>
        <v>9440.4485999999997</v>
      </c>
      <c r="AA154" s="168">
        <f t="shared" si="93"/>
        <v>104.41666666666667</v>
      </c>
      <c r="AB154" s="168">
        <f t="shared" si="94"/>
        <v>118.25</v>
      </c>
      <c r="AC154" s="168">
        <f t="shared" si="95"/>
        <v>109.41666666666667</v>
      </c>
      <c r="AD154" s="168">
        <f t="shared" si="96"/>
        <v>117.25</v>
      </c>
      <c r="AE154" s="168">
        <f t="shared" si="97"/>
        <v>-8.3333333333333329E-2</v>
      </c>
      <c r="AF154" s="168">
        <f t="shared" si="98"/>
        <v>0</v>
      </c>
      <c r="AG154" s="164"/>
      <c r="AH154" s="164"/>
      <c r="AI154" s="164"/>
    </row>
    <row r="155" spans="1:35">
      <c r="A155" s="826"/>
      <c r="B155" s="817" t="s">
        <v>549</v>
      </c>
      <c r="C155" s="818">
        <v>2009</v>
      </c>
      <c r="D155" s="817">
        <v>109</v>
      </c>
      <c r="E155" s="817">
        <v>7</v>
      </c>
      <c r="F155" s="819">
        <v>0.33</v>
      </c>
      <c r="G155" s="820" t="s">
        <v>491</v>
      </c>
      <c r="H155" s="817">
        <v>5</v>
      </c>
      <c r="I155" s="817">
        <f t="shared" si="81"/>
        <v>114</v>
      </c>
      <c r="J155" s="817"/>
      <c r="K155" s="817"/>
      <c r="L155" s="821">
        <f>30544.75*M149</f>
        <v>10079.7675</v>
      </c>
      <c r="M155" s="827">
        <v>0</v>
      </c>
      <c r="N155" s="821">
        <f t="shared" si="82"/>
        <v>6753.4442249999993</v>
      </c>
      <c r="O155" s="821">
        <f t="shared" si="83"/>
        <v>112.55740374999999</v>
      </c>
      <c r="P155" s="821">
        <f t="shared" si="84"/>
        <v>0</v>
      </c>
      <c r="Q155" s="821">
        <f t="shared" si="85"/>
        <v>0</v>
      </c>
      <c r="R155" s="821">
        <f t="shared" si="86"/>
        <v>0</v>
      </c>
      <c r="S155" s="828">
        <v>1</v>
      </c>
      <c r="T155" s="821">
        <f t="shared" si="87"/>
        <v>0</v>
      </c>
      <c r="U155" s="821">
        <f t="shared" si="88"/>
        <v>6753.4442249999993</v>
      </c>
      <c r="V155" s="821">
        <f t="shared" si="89"/>
        <v>6753.4442249999993</v>
      </c>
      <c r="W155" s="828">
        <v>1</v>
      </c>
      <c r="X155" s="821">
        <f t="shared" si="90"/>
        <v>6753.4442249999993</v>
      </c>
      <c r="Y155" s="821">
        <f t="shared" si="91"/>
        <v>6753.4442249999993</v>
      </c>
      <c r="Z155" s="821">
        <f t="shared" si="92"/>
        <v>3326.3232750000006</v>
      </c>
      <c r="AA155" s="821">
        <f t="shared" si="93"/>
        <v>109.5</v>
      </c>
      <c r="AB155" s="821">
        <f t="shared" si="94"/>
        <v>118.25</v>
      </c>
      <c r="AC155" s="821">
        <f t="shared" si="95"/>
        <v>114.5</v>
      </c>
      <c r="AD155" s="821">
        <f t="shared" si="96"/>
        <v>117.25</v>
      </c>
      <c r="AE155" s="821">
        <f t="shared" si="97"/>
        <v>-8.3333333333333329E-2</v>
      </c>
      <c r="AF155" s="821">
        <f t="shared" si="98"/>
        <v>0</v>
      </c>
      <c r="AG155" s="169"/>
      <c r="AH155" s="164"/>
      <c r="AI155" s="164"/>
    </row>
    <row r="156" spans="1:35">
      <c r="A156" s="163"/>
      <c r="B156" s="163" t="s">
        <v>548</v>
      </c>
      <c r="C156" s="294">
        <v>2009</v>
      </c>
      <c r="D156" s="163">
        <v>109</v>
      </c>
      <c r="E156" s="163">
        <v>10</v>
      </c>
      <c r="F156" s="178">
        <v>0.33</v>
      </c>
      <c r="G156" s="177" t="s">
        <v>491</v>
      </c>
      <c r="H156" s="163">
        <v>5</v>
      </c>
      <c r="I156" s="163">
        <f t="shared" si="81"/>
        <v>114</v>
      </c>
      <c r="L156" s="175">
        <v>38778.99</v>
      </c>
      <c r="M156" s="186">
        <v>0</v>
      </c>
      <c r="N156" s="175">
        <f t="shared" si="82"/>
        <v>25981.923299999999</v>
      </c>
      <c r="O156" s="175">
        <f t="shared" si="83"/>
        <v>433.03205499999996</v>
      </c>
      <c r="P156" s="175">
        <f t="shared" si="84"/>
        <v>0</v>
      </c>
      <c r="Q156" s="175">
        <f t="shared" si="85"/>
        <v>0</v>
      </c>
      <c r="R156" s="175">
        <f t="shared" si="86"/>
        <v>0</v>
      </c>
      <c r="S156" s="176">
        <v>1</v>
      </c>
      <c r="T156" s="175">
        <f t="shared" si="87"/>
        <v>0</v>
      </c>
      <c r="U156" s="175">
        <f t="shared" si="88"/>
        <v>25981.923299999999</v>
      </c>
      <c r="V156" s="175">
        <f t="shared" si="89"/>
        <v>25981.923299999999</v>
      </c>
      <c r="W156" s="176">
        <v>1</v>
      </c>
      <c r="X156" s="175">
        <f t="shared" si="90"/>
        <v>25981.923299999999</v>
      </c>
      <c r="Y156" s="175">
        <f t="shared" si="91"/>
        <v>25981.923299999999</v>
      </c>
      <c r="Z156" s="175">
        <f t="shared" si="92"/>
        <v>12797.066699999999</v>
      </c>
      <c r="AA156" s="175">
        <f t="shared" si="93"/>
        <v>109.75</v>
      </c>
      <c r="AB156" s="175">
        <f t="shared" si="94"/>
        <v>118.25</v>
      </c>
      <c r="AC156" s="175">
        <f t="shared" si="95"/>
        <v>114.75</v>
      </c>
      <c r="AD156" s="175">
        <f t="shared" si="96"/>
        <v>117.25</v>
      </c>
      <c r="AE156" s="175">
        <f t="shared" si="97"/>
        <v>-8.3333333333333329E-2</v>
      </c>
      <c r="AF156" s="175">
        <f t="shared" si="98"/>
        <v>0</v>
      </c>
      <c r="AG156" s="169"/>
      <c r="AH156" s="164"/>
      <c r="AI156" s="164"/>
    </row>
    <row r="157" spans="1:35">
      <c r="A157" s="163"/>
      <c r="B157" s="163" t="s">
        <v>547</v>
      </c>
      <c r="C157" s="294">
        <v>2010</v>
      </c>
      <c r="D157" s="163">
        <v>110</v>
      </c>
      <c r="E157" s="163">
        <v>12</v>
      </c>
      <c r="F157" s="178">
        <v>0.33</v>
      </c>
      <c r="G157" s="177" t="s">
        <v>491</v>
      </c>
      <c r="H157" s="163">
        <v>5</v>
      </c>
      <c r="I157" s="163">
        <f t="shared" si="81"/>
        <v>115</v>
      </c>
      <c r="L157" s="175">
        <v>39352.400000000001</v>
      </c>
      <c r="M157" s="186">
        <v>0</v>
      </c>
      <c r="N157" s="175">
        <f t="shared" si="82"/>
        <v>26366.108</v>
      </c>
      <c r="O157" s="175">
        <f t="shared" si="83"/>
        <v>439.43513333333334</v>
      </c>
      <c r="P157" s="175">
        <f t="shared" si="84"/>
        <v>0</v>
      </c>
      <c r="Q157" s="175">
        <f t="shared" si="85"/>
        <v>0</v>
      </c>
      <c r="R157" s="175">
        <f t="shared" si="86"/>
        <v>0</v>
      </c>
      <c r="S157" s="176">
        <v>1</v>
      </c>
      <c r="T157" s="175">
        <f t="shared" si="87"/>
        <v>0</v>
      </c>
      <c r="U157" s="175">
        <f t="shared" si="88"/>
        <v>26366.108</v>
      </c>
      <c r="V157" s="175">
        <f t="shared" si="89"/>
        <v>26366.108</v>
      </c>
      <c r="W157" s="176">
        <v>1</v>
      </c>
      <c r="X157" s="175">
        <f t="shared" si="90"/>
        <v>26366.108</v>
      </c>
      <c r="Y157" s="175">
        <f t="shared" si="91"/>
        <v>26366.108</v>
      </c>
      <c r="Z157" s="175">
        <f t="shared" si="92"/>
        <v>12986.292000000001</v>
      </c>
      <c r="AA157" s="175">
        <f t="shared" si="93"/>
        <v>110.91666666666667</v>
      </c>
      <c r="AB157" s="175">
        <f t="shared" si="94"/>
        <v>118.25</v>
      </c>
      <c r="AC157" s="175">
        <f t="shared" si="95"/>
        <v>115.91666666666667</v>
      </c>
      <c r="AD157" s="175">
        <f t="shared" si="96"/>
        <v>117.25</v>
      </c>
      <c r="AE157" s="175">
        <f t="shared" si="97"/>
        <v>-8.3333333333333329E-2</v>
      </c>
      <c r="AF157" s="175">
        <f t="shared" si="98"/>
        <v>0</v>
      </c>
      <c r="AG157" s="169"/>
      <c r="AH157" s="164"/>
      <c r="AI157" s="164"/>
    </row>
    <row r="158" spans="1:35">
      <c r="A158" s="163"/>
      <c r="B158" s="163" t="s">
        <v>546</v>
      </c>
      <c r="C158" s="294">
        <v>2011</v>
      </c>
      <c r="D158" s="163">
        <v>111</v>
      </c>
      <c r="E158" s="163">
        <v>12</v>
      </c>
      <c r="F158" s="178">
        <v>0.33</v>
      </c>
      <c r="G158" s="177" t="s">
        <v>491</v>
      </c>
      <c r="H158" s="163">
        <v>5</v>
      </c>
      <c r="I158" s="163">
        <f t="shared" si="81"/>
        <v>116</v>
      </c>
      <c r="L158" s="175">
        <v>37277.67</v>
      </c>
      <c r="M158" s="186">
        <v>0</v>
      </c>
      <c r="N158" s="175">
        <f t="shared" si="82"/>
        <v>24976.0389</v>
      </c>
      <c r="O158" s="175">
        <f t="shared" si="83"/>
        <v>416.267315</v>
      </c>
      <c r="P158" s="175">
        <f t="shared" si="84"/>
        <v>0</v>
      </c>
      <c r="Q158" s="175">
        <f t="shared" si="85"/>
        <v>0</v>
      </c>
      <c r="R158" s="175">
        <f t="shared" si="86"/>
        <v>0</v>
      </c>
      <c r="S158" s="176">
        <v>1</v>
      </c>
      <c r="T158" s="175">
        <f t="shared" si="87"/>
        <v>0</v>
      </c>
      <c r="U158" s="175">
        <f t="shared" si="88"/>
        <v>24976.0389</v>
      </c>
      <c r="V158" s="175">
        <f t="shared" si="89"/>
        <v>24976.0389</v>
      </c>
      <c r="W158" s="176">
        <v>1</v>
      </c>
      <c r="X158" s="175">
        <f t="shared" si="90"/>
        <v>24976.0389</v>
      </c>
      <c r="Y158" s="175">
        <f t="shared" si="91"/>
        <v>24976.0389</v>
      </c>
      <c r="Z158" s="175">
        <f t="shared" si="92"/>
        <v>12301.631099999999</v>
      </c>
      <c r="AA158" s="175">
        <f t="shared" si="93"/>
        <v>111.91666666666667</v>
      </c>
      <c r="AB158" s="175">
        <f t="shared" si="94"/>
        <v>118.25</v>
      </c>
      <c r="AC158" s="175">
        <f t="shared" si="95"/>
        <v>116.91666666666667</v>
      </c>
      <c r="AD158" s="175">
        <f t="shared" si="96"/>
        <v>117.25</v>
      </c>
      <c r="AE158" s="175">
        <f t="shared" si="97"/>
        <v>-8.3333333333333329E-2</v>
      </c>
      <c r="AF158" s="175">
        <f t="shared" si="98"/>
        <v>0</v>
      </c>
      <c r="AG158" s="169"/>
      <c r="AH158" s="164"/>
      <c r="AI158" s="164"/>
    </row>
    <row r="159" spans="1:35">
      <c r="A159" s="321"/>
      <c r="B159" s="163" t="s">
        <v>857</v>
      </c>
      <c r="C159" s="294">
        <v>2017</v>
      </c>
      <c r="D159" s="163">
        <v>117</v>
      </c>
      <c r="E159" s="163">
        <v>2</v>
      </c>
      <c r="F159" s="178">
        <v>0.33</v>
      </c>
      <c r="G159" s="177" t="s">
        <v>491</v>
      </c>
      <c r="H159" s="163">
        <v>5</v>
      </c>
      <c r="I159" s="163">
        <f>D159+H159</f>
        <v>122</v>
      </c>
      <c r="L159" s="175">
        <v>3146.13</v>
      </c>
      <c r="M159" s="186">
        <v>0</v>
      </c>
      <c r="N159" s="175">
        <f>L159-(+L159*F159)</f>
        <v>2107.9071000000004</v>
      </c>
      <c r="O159" s="175">
        <f>N159/H159/12</f>
        <v>35.131785000000008</v>
      </c>
      <c r="P159" s="175">
        <f>IF(Q159&gt;0,0,IF(OR(AA159&gt;AB159,AC159&lt;AD159),0,IF(AND(AC159&gt;=AD159,AC159&lt;=AB159),O159*((AC159-AD159)*12),IF(AND(AD159&lt;=AA159,AB159&gt;=AA159),((AB159-AA159)*12)*O159,IF(AC159&gt;AB159,12*O159,0)))))</f>
        <v>421.58142000000009</v>
      </c>
      <c r="Q159" s="175">
        <f>IF(M159=0,0,IF(AND(AE159&gt;=AD159,AE159&lt;=AC159),((AE159-AD159)*12)*O159,0))</f>
        <v>0</v>
      </c>
      <c r="R159" s="175">
        <f>IF(Q159&gt;0,Q159,P159)</f>
        <v>421.58142000000009</v>
      </c>
      <c r="S159" s="176">
        <v>1</v>
      </c>
      <c r="T159" s="175">
        <f>S159*SUM(P159:Q159)</f>
        <v>421.58142000000009</v>
      </c>
      <c r="U159" s="175">
        <f>IF(AA159&gt;AB159,0,IF(AC159&lt;AD159,N159,IF(AND(AC159&gt;=AD159,AC159&lt;=AB159),(N159-R159),IF(AND(AD159&lt;=AA159,AB159&gt;=AA159),0,IF(AC159&gt;AB159,((AD159-AA159)*12)*O159,0)))))</f>
        <v>70.263570000002019</v>
      </c>
      <c r="V159" s="175">
        <f>U159*S159</f>
        <v>70.263570000002019</v>
      </c>
      <c r="W159" s="176">
        <v>1</v>
      </c>
      <c r="X159" s="175">
        <f>V159*W159</f>
        <v>70.263570000002019</v>
      </c>
      <c r="Y159" s="175">
        <f>IF(M159&gt;0,0,X159+T159*W159)*W159</f>
        <v>491.8449900000021</v>
      </c>
      <c r="Z159" s="175">
        <f>IF(M159&gt;0,(L159-X159)/2,IF(AA159&gt;=AD159,(((L159*S159)*W159)-Y159)/2,((((L159*S159)*W159)-X159)+(((L159*S159)*W159)-Y159))/2))</f>
        <v>2865.075719999998</v>
      </c>
      <c r="AA159" s="175">
        <f t="shared" si="93"/>
        <v>117.08333333333333</v>
      </c>
      <c r="AB159" s="175">
        <f t="shared" si="94"/>
        <v>118.25</v>
      </c>
      <c r="AC159" s="175">
        <f t="shared" si="95"/>
        <v>122.08333333333333</v>
      </c>
      <c r="AD159" s="175">
        <f t="shared" si="96"/>
        <v>117.25</v>
      </c>
      <c r="AE159" s="175">
        <f t="shared" si="97"/>
        <v>-8.3333333333333329E-2</v>
      </c>
      <c r="AF159" s="175">
        <f>L159-((X159+Y159)/2)-Z159</f>
        <v>0</v>
      </c>
      <c r="AG159" s="169"/>
      <c r="AH159" s="164"/>
      <c r="AI159" s="164"/>
    </row>
    <row r="160" spans="1:35">
      <c r="A160" s="321"/>
      <c r="B160" s="817" t="s">
        <v>858</v>
      </c>
      <c r="C160" s="818">
        <v>2017</v>
      </c>
      <c r="D160" s="817">
        <v>117</v>
      </c>
      <c r="E160" s="817">
        <v>11</v>
      </c>
      <c r="F160" s="819">
        <v>0.33</v>
      </c>
      <c r="G160" s="820" t="s">
        <v>491</v>
      </c>
      <c r="H160" s="817">
        <v>5</v>
      </c>
      <c r="I160" s="817">
        <f t="shared" si="81"/>
        <v>122</v>
      </c>
      <c r="J160" s="817"/>
      <c r="K160" s="817"/>
      <c r="L160" s="821">
        <f>64326.82*M149</f>
        <v>21227.850600000002</v>
      </c>
      <c r="M160" s="827">
        <v>0</v>
      </c>
      <c r="N160" s="821">
        <f>L160-(+L160*F160)</f>
        <v>14222.659901999999</v>
      </c>
      <c r="O160" s="821">
        <f>N160/H160/12</f>
        <v>237.04433170000001</v>
      </c>
      <c r="P160" s="821">
        <f>IF(Q160&gt;0,0,IF(OR(AA160&gt;AB160,AC160&lt;AD160),0,IF(AND(AC160&gt;=AD160,AC160&lt;=AB160),O160*((AC160-AD160)*12),IF(AND(AD160&lt;=AA160,AB160&gt;=AA160),((AB160-AA160)*12)*O160,IF(AC160&gt;AB160,12*O160,0)))))</f>
        <v>1185.2216585000135</v>
      </c>
      <c r="Q160" s="821">
        <f>IF(M160=0,0,IF(AND(AE160&gt;=AD160,AE160&lt;=AC160),((AE160-AD160)*12)*O160,0))</f>
        <v>0</v>
      </c>
      <c r="R160" s="821">
        <f>IF(Q160&gt;0,Q160,P160)</f>
        <v>1185.2216585000135</v>
      </c>
      <c r="S160" s="828">
        <v>1</v>
      </c>
      <c r="T160" s="821">
        <f>S160*SUM(P160:Q160)</f>
        <v>1185.2216585000135</v>
      </c>
      <c r="U160" s="821">
        <f>IF(AA160&gt;AB160,0,IF(AC160&lt;AD160,N160,IF(AND(AC160&gt;=AD160,AC160&lt;=AB160),(N160-R160),IF(AND(AD160&lt;=AA160,AB160&gt;=AA160),0,IF(AC160&gt;AB160,((AD160-AA160)*12)*O160,0)))))</f>
        <v>0</v>
      </c>
      <c r="V160" s="821">
        <f>U160*S160</f>
        <v>0</v>
      </c>
      <c r="W160" s="828">
        <v>1</v>
      </c>
      <c r="X160" s="821">
        <f>V160*W160</f>
        <v>0</v>
      </c>
      <c r="Y160" s="821">
        <f>IF(M160&gt;0,0,X160+T160*W160)*W160</f>
        <v>1185.2216585000135</v>
      </c>
      <c r="Z160" s="821">
        <f>L160-((+X160+Y160)/2)</f>
        <v>20635.239770749995</v>
      </c>
      <c r="AA160" s="821">
        <f t="shared" si="93"/>
        <v>117.83333333333333</v>
      </c>
      <c r="AB160" s="821">
        <f t="shared" si="94"/>
        <v>118.25</v>
      </c>
      <c r="AC160" s="821">
        <f t="shared" si="95"/>
        <v>122.83333333333333</v>
      </c>
      <c r="AD160" s="821">
        <f t="shared" si="96"/>
        <v>117.25</v>
      </c>
      <c r="AE160" s="821">
        <f t="shared" si="97"/>
        <v>-8.3333333333333329E-2</v>
      </c>
      <c r="AF160" s="821">
        <f>L160-((X160+Y160)/2)-Z160</f>
        <v>0</v>
      </c>
      <c r="AG160" s="169"/>
      <c r="AH160" s="164"/>
      <c r="AI160" s="164"/>
    </row>
    <row r="161" spans="1:40">
      <c r="A161" s="163"/>
      <c r="B161" s="817" t="s">
        <v>859</v>
      </c>
      <c r="C161" s="818">
        <v>2017</v>
      </c>
      <c r="D161" s="817">
        <v>117</v>
      </c>
      <c r="E161" s="817">
        <v>11</v>
      </c>
      <c r="F161" s="819">
        <v>0.33</v>
      </c>
      <c r="G161" s="820" t="s">
        <v>491</v>
      </c>
      <c r="H161" s="817">
        <v>5</v>
      </c>
      <c r="I161" s="817">
        <f t="shared" si="81"/>
        <v>122</v>
      </c>
      <c r="J161" s="817"/>
      <c r="K161" s="817"/>
      <c r="L161" s="821">
        <f>63822.74*M149</f>
        <v>21061.504199999999</v>
      </c>
      <c r="M161" s="827">
        <v>0</v>
      </c>
      <c r="N161" s="821">
        <f>L161-(+L161*F161)</f>
        <v>14111.207813999999</v>
      </c>
      <c r="O161" s="821">
        <f>N161/H161/12</f>
        <v>235.18679689999999</v>
      </c>
      <c r="P161" s="821">
        <f>IF(Q161&gt;0,0,IF(OR(AA161&gt;AB161,AC161&lt;AD161),0,IF(AND(AC161&gt;=AD161,AC161&lt;=AB161),O161*((AC161-AD161)*12),IF(AND(AD161&lt;=AA161,AB161&gt;=AA161),((AB161-AA161)*12)*O161,IF(AC161&gt;AB161,12*O161,0)))))</f>
        <v>1175.9339845000134</v>
      </c>
      <c r="Q161" s="821">
        <f>IF(M161=0,0,IF(AND(AE161&gt;=AD161,AE161&lt;=AC161),((AE161-AD161)*12)*O161,0))</f>
        <v>0</v>
      </c>
      <c r="R161" s="821">
        <f>IF(Q161&gt;0,Q161,P161)</f>
        <v>1175.9339845000134</v>
      </c>
      <c r="S161" s="828">
        <v>1</v>
      </c>
      <c r="T161" s="821">
        <f>S161*SUM(P161:Q161)</f>
        <v>1175.9339845000134</v>
      </c>
      <c r="U161" s="821">
        <f>IF(AA161&gt;AB161,0,IF(AC161&lt;AD161,N161,IF(AND(AC161&gt;=AD161,AC161&lt;=AB161),(N161-R161),IF(AND(AD161&lt;=AA161,AB161&gt;=AA161),0,IF(AC161&gt;AB161,((AD161-AA161)*12)*O161,0)))))</f>
        <v>0</v>
      </c>
      <c r="V161" s="821">
        <f>U161*S161</f>
        <v>0</v>
      </c>
      <c r="W161" s="828">
        <v>1</v>
      </c>
      <c r="X161" s="821">
        <f>V161*W161</f>
        <v>0</v>
      </c>
      <c r="Y161" s="821">
        <f>IF(M161&gt;0,0,X161+T161*W161)*W161</f>
        <v>1175.9339845000134</v>
      </c>
      <c r="Z161" s="821">
        <f>L161-((+X161+Y161)/2)</f>
        <v>20473.537207749992</v>
      </c>
      <c r="AA161" s="821">
        <f t="shared" si="93"/>
        <v>117.83333333333333</v>
      </c>
      <c r="AB161" s="821">
        <f t="shared" si="94"/>
        <v>118.25</v>
      </c>
      <c r="AC161" s="821">
        <f t="shared" si="95"/>
        <v>122.83333333333333</v>
      </c>
      <c r="AD161" s="821">
        <f t="shared" si="96"/>
        <v>117.25</v>
      </c>
      <c r="AE161" s="821">
        <f t="shared" si="97"/>
        <v>-8.3333333333333329E-2</v>
      </c>
      <c r="AF161" s="821">
        <f>L161-((X161+Y161)/2)-Z161</f>
        <v>0</v>
      </c>
      <c r="AG161" s="164"/>
      <c r="AH161" s="164"/>
      <c r="AI161" s="164"/>
    </row>
    <row r="162" spans="1:40">
      <c r="C162" s="292"/>
      <c r="F162" s="178"/>
      <c r="G162" s="177"/>
      <c r="L162" s="184"/>
      <c r="M162" s="164"/>
      <c r="N162" s="188"/>
      <c r="O162" s="188"/>
      <c r="P162" s="188"/>
      <c r="Q162" s="188"/>
      <c r="R162" s="184"/>
      <c r="S162" s="175"/>
      <c r="T162" s="188"/>
      <c r="U162" s="188"/>
      <c r="V162" s="188"/>
      <c r="W162" s="182"/>
      <c r="X162" s="184"/>
      <c r="Y162" s="184"/>
      <c r="Z162" s="188"/>
      <c r="AA162" s="172"/>
      <c r="AB162" s="172"/>
      <c r="AC162" s="172"/>
      <c r="AD162" s="172"/>
      <c r="AE162" s="172"/>
      <c r="AF162" s="188"/>
      <c r="AG162" s="164"/>
      <c r="AH162" s="164"/>
      <c r="AI162" s="164"/>
    </row>
    <row r="163" spans="1:40">
      <c r="B163" s="183" t="s">
        <v>516</v>
      </c>
      <c r="C163" s="292"/>
      <c r="F163" s="178"/>
      <c r="G163" s="177"/>
      <c r="L163" s="175">
        <f>SUM(L151:L161)</f>
        <v>222156.20229999998</v>
      </c>
      <c r="M163" s="172"/>
      <c r="N163" s="175">
        <f>SUM(N151:N161)</f>
        <v>149295.65664099998</v>
      </c>
      <c r="O163" s="175">
        <f>SUM(O151:O161)</f>
        <v>2488.2609440166666</v>
      </c>
      <c r="P163" s="175">
        <f>SUM(P151:P161)</f>
        <v>2782.7370630000269</v>
      </c>
      <c r="Q163" s="175">
        <f>SUM(Q151:Q161)</f>
        <v>0</v>
      </c>
      <c r="R163" s="175">
        <f>SUM(R151:R161)</f>
        <v>2782.7370630000269</v>
      </c>
      <c r="S163" s="175"/>
      <c r="T163" s="175">
        <f>SUM(T151:T161)</f>
        <v>2782.7370630000269</v>
      </c>
      <c r="U163" s="175">
        <f>SUM(U151:U161)</f>
        <v>118924.145395</v>
      </c>
      <c r="V163" s="175">
        <f>SUM(V151:V161)</f>
        <v>118924.145395</v>
      </c>
      <c r="W163" s="172"/>
      <c r="X163" s="175">
        <f>SUM(X151:X161)</f>
        <v>118924.145395</v>
      </c>
      <c r="Y163" s="175">
        <f>SUM(Y151:Y161)</f>
        <v>121706.88245800002</v>
      </c>
      <c r="Z163" s="175">
        <f>SUM(Z151:Z161)</f>
        <v>101840.68837349999</v>
      </c>
      <c r="AA163" s="172"/>
      <c r="AB163" s="172"/>
      <c r="AC163" s="172"/>
      <c r="AD163" s="172"/>
      <c r="AE163" s="172"/>
      <c r="AF163" s="175">
        <f>SUM(AF151:AF161)</f>
        <v>0</v>
      </c>
      <c r="AG163" s="164"/>
      <c r="AH163" s="164"/>
      <c r="AI163" s="164"/>
    </row>
    <row r="164" spans="1:40">
      <c r="C164" s="292"/>
      <c r="F164" s="178"/>
      <c r="G164" s="177"/>
      <c r="L164" s="175"/>
      <c r="M164" s="169"/>
      <c r="N164" s="166"/>
      <c r="O164" s="166"/>
      <c r="P164" s="166"/>
      <c r="Q164" s="166"/>
      <c r="R164" s="168"/>
      <c r="S164" s="176"/>
      <c r="T164" s="166"/>
      <c r="U164" s="166"/>
      <c r="V164" s="166"/>
      <c r="W164" s="185"/>
      <c r="X164" s="168"/>
      <c r="Y164" s="168"/>
      <c r="Z164" s="166"/>
      <c r="AA164" s="172"/>
      <c r="AB164" s="172"/>
      <c r="AC164" s="172"/>
      <c r="AD164" s="172"/>
      <c r="AE164" s="172"/>
      <c r="AF164" s="166"/>
      <c r="AG164" s="164"/>
      <c r="AH164" s="164"/>
      <c r="AI164" s="164"/>
    </row>
    <row r="165" spans="1:40" ht="16.5" thickBot="1">
      <c r="B165" s="174" t="s">
        <v>545</v>
      </c>
      <c r="C165" s="293"/>
      <c r="K165" s="896" t="s">
        <v>966</v>
      </c>
      <c r="L165" s="173">
        <f>+L163</f>
        <v>222156.20229999998</v>
      </c>
      <c r="M165" s="172"/>
      <c r="N165" s="173">
        <f>+N163</f>
        <v>149295.65664099998</v>
      </c>
      <c r="O165" s="173">
        <f>+O163</f>
        <v>2488.2609440166666</v>
      </c>
      <c r="P165" s="173">
        <f>+P163</f>
        <v>2782.7370630000269</v>
      </c>
      <c r="Q165" s="173"/>
      <c r="R165" s="173">
        <f>+R163</f>
        <v>2782.7370630000269</v>
      </c>
      <c r="S165" s="167"/>
      <c r="T165" s="173">
        <f>+T163</f>
        <v>2782.7370630000269</v>
      </c>
      <c r="U165" s="173">
        <f>+U163</f>
        <v>118924.145395</v>
      </c>
      <c r="V165" s="173">
        <f>+V163</f>
        <v>118924.145395</v>
      </c>
      <c r="W165" s="167"/>
      <c r="X165" s="173">
        <f>+X163</f>
        <v>118924.145395</v>
      </c>
      <c r="Y165" s="173">
        <f>+Y163</f>
        <v>121706.88245800002</v>
      </c>
      <c r="Z165" s="173">
        <f>+Z163</f>
        <v>101840.68837349999</v>
      </c>
      <c r="AA165" s="172"/>
      <c r="AB165" s="172"/>
      <c r="AC165" s="172"/>
      <c r="AD165" s="172"/>
      <c r="AE165" s="172"/>
      <c r="AF165" s="181">
        <f>+AF163</f>
        <v>0</v>
      </c>
      <c r="AG165" s="166"/>
      <c r="AH165" s="166"/>
      <c r="AI165" s="166"/>
      <c r="AJ165" s="167"/>
      <c r="AK165" s="167"/>
      <c r="AL165" s="167"/>
      <c r="AM165" s="167"/>
      <c r="AN165" s="167"/>
    </row>
    <row r="166" spans="1:40" s="163" customFormat="1" ht="16.5" thickTop="1">
      <c r="B166" s="174"/>
      <c r="C166" s="295"/>
      <c r="L166" s="175">
        <f>L147+L165</f>
        <v>2401053.8223000001</v>
      </c>
      <c r="M166" s="175"/>
      <c r="N166" s="175"/>
      <c r="O166" s="175"/>
      <c r="P166" s="175"/>
      <c r="Q166" s="175"/>
      <c r="R166" s="175"/>
      <c r="S166" s="175"/>
      <c r="T166" s="175"/>
      <c r="U166" s="175"/>
      <c r="V166" s="175"/>
      <c r="W166" s="176"/>
      <c r="X166" s="175"/>
      <c r="Y166" s="175"/>
      <c r="Z166" s="175"/>
      <c r="AA166" s="175"/>
      <c r="AB166" s="175"/>
      <c r="AC166" s="175"/>
      <c r="AD166" s="175"/>
      <c r="AE166" s="175"/>
      <c r="AF166" s="175"/>
      <c r="AG166" s="168"/>
      <c r="AH166" s="168"/>
      <c r="AI166" s="168"/>
      <c r="AJ166" s="165"/>
      <c r="AK166" s="165"/>
      <c r="AL166" s="165"/>
      <c r="AM166" s="165"/>
      <c r="AN166" s="165"/>
    </row>
    <row r="167" spans="1:40" s="163" customFormat="1">
      <c r="B167" s="174" t="s">
        <v>446</v>
      </c>
      <c r="C167" s="294"/>
      <c r="L167" s="170"/>
      <c r="M167" s="170"/>
      <c r="N167" s="170"/>
      <c r="O167" s="170"/>
      <c r="P167" s="170"/>
      <c r="Q167" s="170"/>
      <c r="R167" s="170"/>
      <c r="T167" s="170"/>
      <c r="U167" s="170"/>
      <c r="V167" s="170"/>
      <c r="X167" s="170"/>
      <c r="Y167" s="170"/>
      <c r="Z167" s="170"/>
      <c r="AA167" s="170"/>
      <c r="AB167" s="170"/>
      <c r="AC167" s="170"/>
      <c r="AD167" s="170"/>
      <c r="AE167" s="170"/>
      <c r="AF167" s="170"/>
      <c r="AG167" s="170"/>
      <c r="AH167" s="170"/>
      <c r="AI167" s="170"/>
    </row>
    <row r="168" spans="1:40" s="163" customFormat="1">
      <c r="B168" s="163" t="s">
        <v>544</v>
      </c>
      <c r="C168" s="294">
        <v>1979</v>
      </c>
      <c r="D168" s="163">
        <v>79</v>
      </c>
      <c r="E168" s="163">
        <v>11</v>
      </c>
      <c r="F168" s="178">
        <v>0</v>
      </c>
      <c r="G168" s="177" t="s">
        <v>491</v>
      </c>
      <c r="H168" s="163">
        <v>8</v>
      </c>
      <c r="I168" s="163">
        <f t="shared" ref="I168:I173" si="99">D168+H168</f>
        <v>87</v>
      </c>
      <c r="L168" s="628">
        <v>4805</v>
      </c>
      <c r="M168" s="168">
        <v>0</v>
      </c>
      <c r="N168" s="628">
        <f t="shared" ref="N168:N173" si="100">L168-(+L168*F168)</f>
        <v>4805</v>
      </c>
      <c r="O168" s="628">
        <f t="shared" ref="O168:O173" si="101">N168/H168/12</f>
        <v>50.052083333333336</v>
      </c>
      <c r="P168" s="628">
        <f t="shared" ref="P168:P173" si="102">IF(Q168&gt;0,0,IF(OR(AA168&gt;AB168,AC168&lt;AD168),0,IF(AND(AC168&gt;=AD168,AC168&lt;=AB168),O168*((AC168-AD168)*12),IF(AND(AD168&lt;=AA168,AB168&gt;=AA168),((AB168-AA168)*12)*O168,IF(AC168&gt;AB168,12*O168,0)))))</f>
        <v>0</v>
      </c>
      <c r="Q168" s="168">
        <f t="shared" ref="Q168:Q173" si="103">IF(M168=0,0,IF(AND(AE168&gt;=AD168,AE168&lt;=AC168),((AE168-AD168)*12)*O168,0))</f>
        <v>0</v>
      </c>
      <c r="R168" s="628">
        <f t="shared" ref="R168:R173" si="104">IF(Q168&gt;0,Q168,P168)</f>
        <v>0</v>
      </c>
      <c r="S168" s="179">
        <v>1</v>
      </c>
      <c r="T168" s="628">
        <f t="shared" ref="T168:T173" si="105">S168*SUM(P168:Q168)</f>
        <v>0</v>
      </c>
      <c r="U168" s="628">
        <f t="shared" ref="U168:U173" si="106">IF(AA168&gt;AB168,0,IF(AC168&lt;AD168,N168,IF(AND(AC168&gt;=AD168,AC168&lt;=AB168),(N168-R168),IF(AND(AD168&lt;=AA168,AB168&gt;=AA168),0,IF(AC168&gt;AB168,((AD168-AA168)*12)*O168,0)))))</f>
        <v>4805</v>
      </c>
      <c r="V168" s="628">
        <f t="shared" ref="V168:V173" si="107">U168*S168</f>
        <v>4805</v>
      </c>
      <c r="W168" s="179">
        <v>1</v>
      </c>
      <c r="X168" s="628">
        <f t="shared" ref="X168:X173" si="108">V168*W168</f>
        <v>4805</v>
      </c>
      <c r="Y168" s="628">
        <f t="shared" ref="Y168:Y173" si="109">IF(M168&gt;0,0,X168+T168*W168)*W168</f>
        <v>4805</v>
      </c>
      <c r="Z168" s="175">
        <f t="shared" ref="Z168:Z173" si="110">IF(M168&gt;0,(L168-X168)/2,IF(AA168&gt;=AD168,(((L168*S168)*W168)-Y168)/2,((((L168*S168)*W168)-X168)+(((L168*S168)*W168)-Y168))/2))</f>
        <v>0</v>
      </c>
      <c r="AA168" s="168">
        <f t="shared" ref="AA168:AA173" si="111">$D168+(($E168-1)/12)</f>
        <v>79.833333333333329</v>
      </c>
      <c r="AB168" s="168">
        <f t="shared" ref="AB168:AB173" si="112">($B$10+1)-($B$7/12)</f>
        <v>118.25</v>
      </c>
      <c r="AC168" s="168">
        <f t="shared" ref="AC168:AC173" si="113">$I168+(($E168-1)/12)</f>
        <v>87.833333333333329</v>
      </c>
      <c r="AD168" s="168">
        <f t="shared" ref="AD168:AD173" si="114">$B$9+($B$8/12)</f>
        <v>117.25</v>
      </c>
      <c r="AE168" s="168">
        <f t="shared" ref="AE168:AE173" si="115">$J168+(($K168-1)/12)</f>
        <v>-8.3333333333333329E-2</v>
      </c>
      <c r="AF168" s="168">
        <f t="shared" ref="AF168:AF173" si="116">L168-((X168+Y168)/2)-Z168</f>
        <v>0</v>
      </c>
      <c r="AG168" s="170"/>
      <c r="AH168" s="170"/>
      <c r="AI168" s="170"/>
    </row>
    <row r="169" spans="1:40" s="163" customFormat="1">
      <c r="B169" s="163" t="s">
        <v>543</v>
      </c>
      <c r="C169" s="294">
        <v>1979</v>
      </c>
      <c r="D169" s="163">
        <v>79</v>
      </c>
      <c r="E169" s="163">
        <v>12</v>
      </c>
      <c r="F169" s="178">
        <v>0</v>
      </c>
      <c r="G169" s="177" t="s">
        <v>491</v>
      </c>
      <c r="H169" s="163">
        <v>5</v>
      </c>
      <c r="I169" s="163">
        <f t="shared" si="99"/>
        <v>84</v>
      </c>
      <c r="L169" s="168">
        <v>1870</v>
      </c>
      <c r="M169" s="170">
        <v>0</v>
      </c>
      <c r="N169" s="168">
        <f t="shared" si="100"/>
        <v>1870</v>
      </c>
      <c r="O169" s="168">
        <f t="shared" si="101"/>
        <v>31.166666666666668</v>
      </c>
      <c r="P169" s="168">
        <f t="shared" si="102"/>
        <v>0</v>
      </c>
      <c r="Q169" s="168">
        <f t="shared" si="103"/>
        <v>0</v>
      </c>
      <c r="R169" s="168">
        <f t="shared" si="104"/>
        <v>0</v>
      </c>
      <c r="S169" s="179">
        <v>1</v>
      </c>
      <c r="T169" s="168">
        <f t="shared" si="105"/>
        <v>0</v>
      </c>
      <c r="U169" s="168">
        <f t="shared" si="106"/>
        <v>1870</v>
      </c>
      <c r="V169" s="168">
        <f t="shared" si="107"/>
        <v>1870</v>
      </c>
      <c r="W169" s="179">
        <v>1</v>
      </c>
      <c r="X169" s="168">
        <f t="shared" si="108"/>
        <v>1870</v>
      </c>
      <c r="Y169" s="168">
        <f t="shared" si="109"/>
        <v>1870</v>
      </c>
      <c r="Z169" s="175">
        <f t="shared" si="110"/>
        <v>0</v>
      </c>
      <c r="AA169" s="168">
        <f t="shared" si="111"/>
        <v>79.916666666666671</v>
      </c>
      <c r="AB169" s="168">
        <f t="shared" si="112"/>
        <v>118.25</v>
      </c>
      <c r="AC169" s="168">
        <f t="shared" si="113"/>
        <v>84.916666666666671</v>
      </c>
      <c r="AD169" s="168">
        <f t="shared" si="114"/>
        <v>117.25</v>
      </c>
      <c r="AE169" s="168">
        <f t="shared" si="115"/>
        <v>-8.3333333333333329E-2</v>
      </c>
      <c r="AF169" s="168">
        <f t="shared" si="116"/>
        <v>0</v>
      </c>
      <c r="AG169" s="170"/>
      <c r="AH169" s="170"/>
      <c r="AI169" s="170"/>
    </row>
    <row r="170" spans="1:40" s="163" customFormat="1">
      <c r="B170" s="163" t="s">
        <v>542</v>
      </c>
      <c r="C170" s="294">
        <v>1990</v>
      </c>
      <c r="D170" s="163">
        <v>90</v>
      </c>
      <c r="E170" s="163">
        <v>5</v>
      </c>
      <c r="F170" s="178">
        <v>0</v>
      </c>
      <c r="G170" s="177" t="s">
        <v>491</v>
      </c>
      <c r="H170" s="163">
        <v>8</v>
      </c>
      <c r="I170" s="163">
        <f t="shared" si="99"/>
        <v>98</v>
      </c>
      <c r="L170" s="168">
        <v>1014.34</v>
      </c>
      <c r="M170" s="170">
        <v>0</v>
      </c>
      <c r="N170" s="168">
        <f t="shared" si="100"/>
        <v>1014.34</v>
      </c>
      <c r="O170" s="168">
        <f t="shared" si="101"/>
        <v>10.566041666666667</v>
      </c>
      <c r="P170" s="168">
        <f t="shared" si="102"/>
        <v>0</v>
      </c>
      <c r="Q170" s="168">
        <f t="shared" si="103"/>
        <v>0</v>
      </c>
      <c r="R170" s="168">
        <f t="shared" si="104"/>
        <v>0</v>
      </c>
      <c r="S170" s="179">
        <v>1</v>
      </c>
      <c r="T170" s="168">
        <f t="shared" si="105"/>
        <v>0</v>
      </c>
      <c r="U170" s="168">
        <f t="shared" si="106"/>
        <v>1014.34</v>
      </c>
      <c r="V170" s="168">
        <f t="shared" si="107"/>
        <v>1014.34</v>
      </c>
      <c r="W170" s="179">
        <v>1</v>
      </c>
      <c r="X170" s="168">
        <f t="shared" si="108"/>
        <v>1014.34</v>
      </c>
      <c r="Y170" s="168">
        <f t="shared" si="109"/>
        <v>1014.34</v>
      </c>
      <c r="Z170" s="175">
        <f t="shared" si="110"/>
        <v>0</v>
      </c>
      <c r="AA170" s="168">
        <f t="shared" si="111"/>
        <v>90.333333333333329</v>
      </c>
      <c r="AB170" s="168">
        <f t="shared" si="112"/>
        <v>118.25</v>
      </c>
      <c r="AC170" s="168">
        <f t="shared" si="113"/>
        <v>98.333333333333329</v>
      </c>
      <c r="AD170" s="168">
        <f t="shared" si="114"/>
        <v>117.25</v>
      </c>
      <c r="AE170" s="168">
        <f t="shared" si="115"/>
        <v>-8.3333333333333329E-2</v>
      </c>
      <c r="AF170" s="168">
        <f t="shared" si="116"/>
        <v>0</v>
      </c>
      <c r="AG170" s="170"/>
      <c r="AH170" s="170"/>
      <c r="AI170" s="170"/>
    </row>
    <row r="171" spans="1:40" s="163" customFormat="1">
      <c r="B171" s="163" t="s">
        <v>541</v>
      </c>
      <c r="C171" s="294">
        <v>2003</v>
      </c>
      <c r="D171" s="163">
        <v>103</v>
      </c>
      <c r="E171" s="163">
        <v>3</v>
      </c>
      <c r="F171" s="178">
        <v>0</v>
      </c>
      <c r="G171" s="177" t="s">
        <v>491</v>
      </c>
      <c r="H171" s="163">
        <v>8</v>
      </c>
      <c r="I171" s="163">
        <f t="shared" si="99"/>
        <v>111</v>
      </c>
      <c r="L171" s="168">
        <v>1614</v>
      </c>
      <c r="M171" s="186">
        <v>0</v>
      </c>
      <c r="N171" s="168">
        <f t="shared" si="100"/>
        <v>1614</v>
      </c>
      <c r="O171" s="168">
        <f t="shared" si="101"/>
        <v>16.8125</v>
      </c>
      <c r="P171" s="168">
        <f t="shared" si="102"/>
        <v>0</v>
      </c>
      <c r="Q171" s="168">
        <f t="shared" si="103"/>
        <v>0</v>
      </c>
      <c r="R171" s="168">
        <f t="shared" si="104"/>
        <v>0</v>
      </c>
      <c r="S171" s="179">
        <v>1</v>
      </c>
      <c r="T171" s="168">
        <f t="shared" si="105"/>
        <v>0</v>
      </c>
      <c r="U171" s="168">
        <f t="shared" si="106"/>
        <v>1614</v>
      </c>
      <c r="V171" s="168">
        <f t="shared" si="107"/>
        <v>1614</v>
      </c>
      <c r="W171" s="179">
        <v>1</v>
      </c>
      <c r="X171" s="168">
        <f t="shared" si="108"/>
        <v>1614</v>
      </c>
      <c r="Y171" s="168">
        <f t="shared" si="109"/>
        <v>1614</v>
      </c>
      <c r="Z171" s="175">
        <f t="shared" si="110"/>
        <v>0</v>
      </c>
      <c r="AA171" s="168">
        <f t="shared" si="111"/>
        <v>103.16666666666667</v>
      </c>
      <c r="AB171" s="168">
        <f t="shared" si="112"/>
        <v>118.25</v>
      </c>
      <c r="AC171" s="168">
        <f t="shared" si="113"/>
        <v>111.16666666666667</v>
      </c>
      <c r="AD171" s="168">
        <f t="shared" si="114"/>
        <v>117.25</v>
      </c>
      <c r="AE171" s="168">
        <f t="shared" si="115"/>
        <v>-8.3333333333333329E-2</v>
      </c>
      <c r="AF171" s="168">
        <f t="shared" si="116"/>
        <v>0</v>
      </c>
      <c r="AG171" s="170"/>
      <c r="AH171" s="170"/>
      <c r="AI171" s="170"/>
    </row>
    <row r="172" spans="1:40" s="163" customFormat="1">
      <c r="B172" s="163" t="s">
        <v>540</v>
      </c>
      <c r="C172" s="294">
        <v>2009</v>
      </c>
      <c r="D172" s="163">
        <v>109</v>
      </c>
      <c r="E172" s="163">
        <v>8</v>
      </c>
      <c r="F172" s="178">
        <v>0</v>
      </c>
      <c r="G172" s="177" t="s">
        <v>491</v>
      </c>
      <c r="H172" s="163">
        <v>10</v>
      </c>
      <c r="I172" s="163">
        <f t="shared" si="99"/>
        <v>119</v>
      </c>
      <c r="L172" s="168">
        <v>2000</v>
      </c>
      <c r="M172" s="186">
        <v>0</v>
      </c>
      <c r="N172" s="168">
        <f t="shared" si="100"/>
        <v>2000</v>
      </c>
      <c r="O172" s="168">
        <f t="shared" si="101"/>
        <v>16.666666666666668</v>
      </c>
      <c r="P172" s="168">
        <f t="shared" si="102"/>
        <v>200</v>
      </c>
      <c r="Q172" s="168">
        <f t="shared" si="103"/>
        <v>0</v>
      </c>
      <c r="R172" s="168">
        <f t="shared" si="104"/>
        <v>200</v>
      </c>
      <c r="S172" s="179">
        <v>1</v>
      </c>
      <c r="T172" s="168">
        <f t="shared" si="105"/>
        <v>200</v>
      </c>
      <c r="U172" s="168">
        <f t="shared" si="106"/>
        <v>1533.3333333333344</v>
      </c>
      <c r="V172" s="168">
        <f t="shared" si="107"/>
        <v>1533.3333333333344</v>
      </c>
      <c r="W172" s="179">
        <v>1</v>
      </c>
      <c r="X172" s="168">
        <f t="shared" si="108"/>
        <v>1533.3333333333344</v>
      </c>
      <c r="Y172" s="168">
        <f t="shared" si="109"/>
        <v>1733.3333333333344</v>
      </c>
      <c r="Z172" s="175">
        <f t="shared" si="110"/>
        <v>366.66666666666561</v>
      </c>
      <c r="AA172" s="168">
        <f t="shared" si="111"/>
        <v>109.58333333333333</v>
      </c>
      <c r="AB172" s="168">
        <f t="shared" si="112"/>
        <v>118.25</v>
      </c>
      <c r="AC172" s="168">
        <f t="shared" si="113"/>
        <v>119.58333333333333</v>
      </c>
      <c r="AD172" s="168">
        <f t="shared" si="114"/>
        <v>117.25</v>
      </c>
      <c r="AE172" s="168">
        <f t="shared" si="115"/>
        <v>-8.3333333333333329E-2</v>
      </c>
      <c r="AF172" s="168">
        <f t="shared" si="116"/>
        <v>0</v>
      </c>
      <c r="AG172" s="170"/>
      <c r="AH172" s="170"/>
      <c r="AI172" s="170"/>
    </row>
    <row r="173" spans="1:40" s="163" customFormat="1">
      <c r="B173" s="163" t="s">
        <v>539</v>
      </c>
      <c r="C173" s="294">
        <v>2011</v>
      </c>
      <c r="D173" s="163">
        <v>111</v>
      </c>
      <c r="E173" s="163">
        <v>1</v>
      </c>
      <c r="F173" s="178">
        <v>0</v>
      </c>
      <c r="G173" s="177" t="s">
        <v>491</v>
      </c>
      <c r="H173" s="163">
        <v>10</v>
      </c>
      <c r="I173" s="163">
        <f t="shared" si="99"/>
        <v>121</v>
      </c>
      <c r="L173" s="168">
        <v>1500</v>
      </c>
      <c r="M173" s="186">
        <v>0</v>
      </c>
      <c r="N173" s="168">
        <f t="shared" si="100"/>
        <v>1500</v>
      </c>
      <c r="O173" s="168">
        <f t="shared" si="101"/>
        <v>12.5</v>
      </c>
      <c r="P173" s="168">
        <f t="shared" si="102"/>
        <v>150</v>
      </c>
      <c r="Q173" s="168">
        <f t="shared" si="103"/>
        <v>0</v>
      </c>
      <c r="R173" s="168">
        <f t="shared" si="104"/>
        <v>150</v>
      </c>
      <c r="S173" s="179">
        <v>1</v>
      </c>
      <c r="T173" s="168">
        <f t="shared" si="105"/>
        <v>150</v>
      </c>
      <c r="U173" s="168">
        <f t="shared" si="106"/>
        <v>937.5</v>
      </c>
      <c r="V173" s="168">
        <f t="shared" si="107"/>
        <v>937.5</v>
      </c>
      <c r="W173" s="179">
        <v>1</v>
      </c>
      <c r="X173" s="168">
        <f t="shared" si="108"/>
        <v>937.5</v>
      </c>
      <c r="Y173" s="168">
        <f t="shared" si="109"/>
        <v>1087.5</v>
      </c>
      <c r="Z173" s="175">
        <f t="shared" si="110"/>
        <v>487.5</v>
      </c>
      <c r="AA173" s="168">
        <f t="shared" si="111"/>
        <v>111</v>
      </c>
      <c r="AB173" s="168">
        <f t="shared" si="112"/>
        <v>118.25</v>
      </c>
      <c r="AC173" s="168">
        <f t="shared" si="113"/>
        <v>121</v>
      </c>
      <c r="AD173" s="168">
        <f t="shared" si="114"/>
        <v>117.25</v>
      </c>
      <c r="AE173" s="168">
        <f t="shared" si="115"/>
        <v>-8.3333333333333329E-2</v>
      </c>
      <c r="AF173" s="168">
        <f t="shared" si="116"/>
        <v>0</v>
      </c>
      <c r="AG173" s="170"/>
      <c r="AH173" s="170"/>
      <c r="AI173" s="170"/>
    </row>
    <row r="174" spans="1:40" s="163" customFormat="1">
      <c r="C174" s="294"/>
      <c r="F174" s="178"/>
      <c r="G174" s="177"/>
      <c r="L174" s="168"/>
      <c r="M174" s="186"/>
      <c r="N174" s="168"/>
      <c r="O174" s="168"/>
      <c r="P174" s="168"/>
      <c r="Q174" s="168"/>
      <c r="R174" s="168"/>
      <c r="S174" s="176"/>
      <c r="T174" s="168"/>
      <c r="U174" s="168"/>
      <c r="V174" s="168"/>
      <c r="W174" s="176"/>
      <c r="X174" s="168"/>
      <c r="Y174" s="168"/>
      <c r="Z174" s="168"/>
      <c r="AA174" s="175"/>
      <c r="AB174" s="175"/>
      <c r="AC174" s="175"/>
      <c r="AD174" s="175"/>
      <c r="AE174" s="175"/>
      <c r="AF174" s="168"/>
      <c r="AG174" s="170"/>
      <c r="AH174" s="170"/>
      <c r="AI174" s="170"/>
    </row>
    <row r="175" spans="1:40" s="163" customFormat="1">
      <c r="C175" s="294"/>
      <c r="L175" s="629"/>
      <c r="M175" s="630"/>
      <c r="N175" s="629"/>
      <c r="O175" s="629"/>
      <c r="P175" s="629"/>
      <c r="Q175" s="629"/>
      <c r="R175" s="629"/>
      <c r="S175" s="631"/>
      <c r="T175" s="629"/>
      <c r="U175" s="629"/>
      <c r="V175" s="629"/>
      <c r="W175" s="631"/>
      <c r="X175" s="629"/>
      <c r="Y175" s="629"/>
      <c r="Z175" s="629"/>
      <c r="AA175" s="630"/>
      <c r="AB175" s="630"/>
      <c r="AC175" s="630"/>
      <c r="AD175" s="630"/>
      <c r="AE175" s="630"/>
      <c r="AF175" s="632"/>
      <c r="AG175" s="170"/>
      <c r="AH175" s="170"/>
      <c r="AI175" s="170"/>
    </row>
    <row r="176" spans="1:40" s="163" customFormat="1" ht="16.5" thickBot="1">
      <c r="B176" s="174" t="s">
        <v>538</v>
      </c>
      <c r="C176" s="295"/>
      <c r="K176" s="896" t="s">
        <v>966</v>
      </c>
      <c r="L176" s="173">
        <f>SUM(L168:L173)</f>
        <v>12803.34</v>
      </c>
      <c r="M176" s="175"/>
      <c r="N176" s="173">
        <f>SUM(N168:N173)</f>
        <v>12803.34</v>
      </c>
      <c r="O176" s="173">
        <f>SUM(O168:O173)</f>
        <v>137.76395833333333</v>
      </c>
      <c r="P176" s="173">
        <f>SUM(P168:P173)</f>
        <v>350</v>
      </c>
      <c r="Q176" s="173"/>
      <c r="R176" s="173">
        <f>SUM(R168:R173)</f>
        <v>350</v>
      </c>
      <c r="S176" s="165"/>
      <c r="T176" s="173">
        <f>SUM(T168:T173)</f>
        <v>350</v>
      </c>
      <c r="U176" s="173">
        <f>SUM(U168:U173)</f>
        <v>11774.173333333334</v>
      </c>
      <c r="V176" s="173">
        <f>SUM(V168:V173)</f>
        <v>11774.173333333334</v>
      </c>
      <c r="W176" s="165"/>
      <c r="X176" s="173">
        <f>SUM(X168:X173)</f>
        <v>11774.173333333334</v>
      </c>
      <c r="Y176" s="173">
        <f>SUM(Y168:Y173)</f>
        <v>12124.173333333334</v>
      </c>
      <c r="Z176" s="173">
        <f>SUM(Z168:Z173)</f>
        <v>854.16666666666561</v>
      </c>
      <c r="AA176" s="175"/>
      <c r="AB176" s="175"/>
      <c r="AC176" s="175"/>
      <c r="AD176" s="175"/>
      <c r="AE176" s="175"/>
      <c r="AF176" s="181">
        <f>SUM(AF168:AF173)</f>
        <v>0</v>
      </c>
      <c r="AG176" s="168"/>
      <c r="AH176" s="168"/>
      <c r="AI176" s="168"/>
      <c r="AJ176" s="165"/>
      <c r="AK176" s="165"/>
    </row>
    <row r="177" spans="2:35" s="163" customFormat="1" ht="16.5" thickTop="1">
      <c r="C177" s="294"/>
      <c r="L177" s="170"/>
      <c r="M177" s="170"/>
      <c r="N177" s="170"/>
      <c r="O177" s="170"/>
      <c r="P177" s="170"/>
      <c r="Q177" s="170"/>
      <c r="R177" s="170"/>
      <c r="T177" s="170"/>
      <c r="U177" s="170"/>
      <c r="V177" s="170"/>
      <c r="X177" s="170"/>
      <c r="Y177" s="170"/>
      <c r="Z177" s="170"/>
      <c r="AA177" s="170"/>
      <c r="AB177" s="170"/>
      <c r="AC177" s="170"/>
      <c r="AD177" s="170"/>
      <c r="AE177" s="170"/>
      <c r="AF177" s="170"/>
      <c r="AG177" s="170"/>
      <c r="AH177" s="170"/>
      <c r="AI177" s="170"/>
    </row>
    <row r="178" spans="2:35" s="163" customFormat="1" ht="16.5" customHeight="1">
      <c r="B178" s="174" t="s">
        <v>445</v>
      </c>
      <c r="C178" s="294"/>
      <c r="L178" s="170"/>
      <c r="M178" s="170"/>
      <c r="N178" s="170"/>
      <c r="O178" s="170"/>
      <c r="P178" s="170"/>
      <c r="Q178" s="170"/>
      <c r="R178" s="170"/>
      <c r="T178" s="170"/>
      <c r="U178" s="170"/>
      <c r="V178" s="170"/>
      <c r="X178" s="170"/>
      <c r="Y178" s="170"/>
      <c r="Z178" s="170"/>
      <c r="AA178" s="170"/>
      <c r="AB178" s="170"/>
      <c r="AC178" s="170"/>
      <c r="AD178" s="170"/>
      <c r="AE178" s="170"/>
      <c r="AF178" s="170"/>
      <c r="AG178" s="170"/>
      <c r="AH178" s="170"/>
      <c r="AI178" s="170"/>
    </row>
    <row r="179" spans="2:35" s="163" customFormat="1">
      <c r="B179" s="163" t="s">
        <v>537</v>
      </c>
      <c r="C179" s="294">
        <v>2006</v>
      </c>
      <c r="D179" s="163">
        <v>106</v>
      </c>
      <c r="E179" s="163">
        <v>3</v>
      </c>
      <c r="F179" s="178">
        <v>0</v>
      </c>
      <c r="G179" s="177" t="s">
        <v>491</v>
      </c>
      <c r="H179" s="163">
        <v>5</v>
      </c>
      <c r="I179" s="163">
        <f t="shared" ref="I179:I188" si="117">D179+H179</f>
        <v>111</v>
      </c>
      <c r="L179" s="175">
        <v>1069.46</v>
      </c>
      <c r="M179" s="186">
        <v>0</v>
      </c>
      <c r="N179" s="175">
        <f t="shared" ref="N179:N188" si="118">L179-(+L179*F179)</f>
        <v>1069.46</v>
      </c>
      <c r="O179" s="175">
        <f t="shared" ref="O179:O188" si="119">N179/H179/12</f>
        <v>17.824333333333332</v>
      </c>
      <c r="P179" s="175">
        <f t="shared" ref="P179:P188" si="120">IF(Q179&gt;0,0,IF(OR(AA179&gt;AB179,AC179&lt;AD179),0,IF(AND(AC179&gt;=AD179,AC179&lt;=AB179),O179*((AC179-AD179)*12),IF(AND(AD179&lt;=AA179,AB179&gt;=AA179),((AB179-AA179)*12)*O179,IF(AC179&gt;AB179,12*O179,0)))))</f>
        <v>0</v>
      </c>
      <c r="Q179" s="175">
        <f t="shared" ref="Q179:Q187" si="121">IF(M179=0,0,IF(AND(AE179&gt;=AD179,AE179&lt;=AC179),((AE179-AD179)*12)*O179,0))</f>
        <v>0</v>
      </c>
      <c r="R179" s="175">
        <f t="shared" ref="R179:R187" si="122">IF(Q179&gt;0,Q179,P179)</f>
        <v>0</v>
      </c>
      <c r="S179" s="176">
        <v>1</v>
      </c>
      <c r="T179" s="175">
        <f t="shared" ref="T179:T187" si="123">S179*SUM(P179:Q179)</f>
        <v>0</v>
      </c>
      <c r="U179" s="175">
        <f t="shared" ref="U179:U187" si="124">IF(AA179&gt;AB179,0,IF(AC179&lt;AD179,L179,IF(AND(AC179&gt;=AD179,AC179&lt;=AB179),(L179-R179),IF(AND(AD179&lt;=AA179,AB179&gt;=AA179),0,IF(AC179&gt;AB179,((AD179-AA179)*12)*O179,0)))))</f>
        <v>1069.46</v>
      </c>
      <c r="V179" s="175">
        <f t="shared" ref="V179:V187" si="125">U179*S179</f>
        <v>1069.46</v>
      </c>
      <c r="W179" s="176">
        <v>1</v>
      </c>
      <c r="X179" s="175">
        <f t="shared" ref="X179:X187" si="126">V179*W179</f>
        <v>1069.46</v>
      </c>
      <c r="Y179" s="175">
        <f t="shared" ref="Y179:Y187" si="127">IF(M179&gt;0,0,X179+T179*W179)*W179</f>
        <v>1069.46</v>
      </c>
      <c r="Z179" s="175">
        <f>IF(M179&gt;0,(L179-X179)/2,IF(AA179&gt;=AD179,(((L179*S179)*W179)-Y179)/2,((((L179*S179)*W179)-X179)+(((L179*S179)*W179)-Y179))/2))</f>
        <v>0</v>
      </c>
      <c r="AA179" s="175">
        <f t="shared" ref="AA179:AA188" si="128">$D179+(($E179-1)/12)</f>
        <v>106.16666666666667</v>
      </c>
      <c r="AB179" s="175">
        <f t="shared" ref="AB179:AB188" si="129">($B$10+1)-($B$7/12)</f>
        <v>118.25</v>
      </c>
      <c r="AC179" s="175">
        <f t="shared" ref="AC179:AC188" si="130">$I179+(($E179-1)/12)</f>
        <v>111.16666666666667</v>
      </c>
      <c r="AD179" s="175">
        <f t="shared" ref="AD179:AD188" si="131">$B$9+($B$8/12)</f>
        <v>117.25</v>
      </c>
      <c r="AE179" s="175">
        <f t="shared" ref="AE179:AE188" si="132">$J179+(($K179-1)/12)</f>
        <v>-8.3333333333333329E-2</v>
      </c>
      <c r="AF179" s="175">
        <f t="shared" ref="AF179:AF188" si="133">L179-((X179+Y179)/2)-Z179</f>
        <v>0</v>
      </c>
      <c r="AG179" s="170"/>
      <c r="AH179" s="170"/>
      <c r="AI179" s="170"/>
    </row>
    <row r="180" spans="2:35" s="163" customFormat="1">
      <c r="B180" s="163" t="s">
        <v>536</v>
      </c>
      <c r="C180" s="294">
        <v>2006</v>
      </c>
      <c r="D180" s="163">
        <v>106</v>
      </c>
      <c r="E180" s="163">
        <v>8</v>
      </c>
      <c r="F180" s="178">
        <v>0</v>
      </c>
      <c r="G180" s="177" t="s">
        <v>491</v>
      </c>
      <c r="H180" s="163">
        <v>5</v>
      </c>
      <c r="I180" s="163">
        <f t="shared" si="117"/>
        <v>111</v>
      </c>
      <c r="L180" s="175">
        <v>4495</v>
      </c>
      <c r="M180" s="186">
        <v>0</v>
      </c>
      <c r="N180" s="175">
        <f t="shared" si="118"/>
        <v>4495</v>
      </c>
      <c r="O180" s="175">
        <f t="shared" si="119"/>
        <v>74.916666666666671</v>
      </c>
      <c r="P180" s="175">
        <f t="shared" si="120"/>
        <v>0</v>
      </c>
      <c r="Q180" s="175">
        <f t="shared" si="121"/>
        <v>0</v>
      </c>
      <c r="R180" s="175">
        <f t="shared" si="122"/>
        <v>0</v>
      </c>
      <c r="S180" s="176">
        <v>1</v>
      </c>
      <c r="T180" s="175">
        <f t="shared" si="123"/>
        <v>0</v>
      </c>
      <c r="U180" s="175">
        <f t="shared" si="124"/>
        <v>4495</v>
      </c>
      <c r="V180" s="175">
        <f t="shared" si="125"/>
        <v>4495</v>
      </c>
      <c r="W180" s="176">
        <v>1</v>
      </c>
      <c r="X180" s="175">
        <f t="shared" si="126"/>
        <v>4495</v>
      </c>
      <c r="Y180" s="175">
        <f t="shared" si="127"/>
        <v>4495</v>
      </c>
      <c r="Z180" s="175">
        <f>IF(M180&gt;0,(L180-X180)/2,IF(AA180&gt;=AD180,(((L180*S180)*W180)-Y180)/2,((((L180*S180)*W180)-X180)+(((L180*S180)*W180)-Y180))/2))</f>
        <v>0</v>
      </c>
      <c r="AA180" s="175">
        <f t="shared" si="128"/>
        <v>106.58333333333333</v>
      </c>
      <c r="AB180" s="175">
        <f t="shared" si="129"/>
        <v>118.25</v>
      </c>
      <c r="AC180" s="175">
        <f t="shared" si="130"/>
        <v>111.58333333333333</v>
      </c>
      <c r="AD180" s="175">
        <f t="shared" si="131"/>
        <v>117.25</v>
      </c>
      <c r="AE180" s="175">
        <f t="shared" si="132"/>
        <v>-8.3333333333333329E-2</v>
      </c>
      <c r="AF180" s="175">
        <f t="shared" si="133"/>
        <v>0</v>
      </c>
      <c r="AG180" s="170"/>
      <c r="AH180" s="170"/>
      <c r="AI180" s="170"/>
    </row>
    <row r="181" spans="2:35" s="163" customFormat="1">
      <c r="B181" s="163" t="s">
        <v>535</v>
      </c>
      <c r="C181" s="294">
        <v>2009</v>
      </c>
      <c r="D181" s="163">
        <v>109</v>
      </c>
      <c r="E181" s="163">
        <v>12</v>
      </c>
      <c r="F181" s="178">
        <v>0</v>
      </c>
      <c r="G181" s="177" t="s">
        <v>491</v>
      </c>
      <c r="H181" s="163">
        <v>5</v>
      </c>
      <c r="I181" s="163">
        <f t="shared" si="117"/>
        <v>114</v>
      </c>
      <c r="L181" s="175">
        <v>1217.1199999999999</v>
      </c>
      <c r="M181" s="186">
        <v>0</v>
      </c>
      <c r="N181" s="175">
        <f t="shared" si="118"/>
        <v>1217.1199999999999</v>
      </c>
      <c r="O181" s="175">
        <f t="shared" si="119"/>
        <v>20.28533333333333</v>
      </c>
      <c r="P181" s="175">
        <f t="shared" si="120"/>
        <v>0</v>
      </c>
      <c r="Q181" s="175">
        <f t="shared" si="121"/>
        <v>0</v>
      </c>
      <c r="R181" s="175">
        <f t="shared" si="122"/>
        <v>0</v>
      </c>
      <c r="S181" s="176">
        <v>1</v>
      </c>
      <c r="T181" s="175">
        <f t="shared" si="123"/>
        <v>0</v>
      </c>
      <c r="U181" s="175">
        <f t="shared" si="124"/>
        <v>1217.1199999999999</v>
      </c>
      <c r="V181" s="175">
        <f t="shared" si="125"/>
        <v>1217.1199999999999</v>
      </c>
      <c r="W181" s="176">
        <v>1</v>
      </c>
      <c r="X181" s="175">
        <f t="shared" si="126"/>
        <v>1217.1199999999999</v>
      </c>
      <c r="Y181" s="175">
        <f t="shared" si="127"/>
        <v>1217.1199999999999</v>
      </c>
      <c r="Z181" s="175">
        <f>IF(M181&gt;0,(L181-X181)/2,IF(AA181&gt;=AD181,(((L181*S181)*W181)-Y181)/2,((((L181*S181)*W181)-X181)+(((L181*S181)*W181)-Y181))/2))</f>
        <v>0</v>
      </c>
      <c r="AA181" s="175">
        <f t="shared" si="128"/>
        <v>109.91666666666667</v>
      </c>
      <c r="AB181" s="175">
        <f t="shared" si="129"/>
        <v>118.25</v>
      </c>
      <c r="AC181" s="175">
        <f t="shared" si="130"/>
        <v>114.91666666666667</v>
      </c>
      <c r="AD181" s="175">
        <f t="shared" si="131"/>
        <v>117.25</v>
      </c>
      <c r="AE181" s="175">
        <f t="shared" si="132"/>
        <v>-8.3333333333333329E-2</v>
      </c>
      <c r="AF181" s="175">
        <f t="shared" si="133"/>
        <v>0</v>
      </c>
      <c r="AG181" s="170"/>
      <c r="AH181" s="170"/>
      <c r="AI181" s="170"/>
    </row>
    <row r="182" spans="2:35" s="163" customFormat="1">
      <c r="B182" s="163" t="s">
        <v>534</v>
      </c>
      <c r="C182" s="294">
        <v>2011</v>
      </c>
      <c r="D182" s="163">
        <v>111</v>
      </c>
      <c r="E182" s="163">
        <v>11</v>
      </c>
      <c r="F182" s="178">
        <v>0</v>
      </c>
      <c r="G182" s="177" t="s">
        <v>491</v>
      </c>
      <c r="H182" s="163">
        <v>5</v>
      </c>
      <c r="I182" s="163">
        <f t="shared" si="117"/>
        <v>116</v>
      </c>
      <c r="L182" s="175">
        <v>3880.08</v>
      </c>
      <c r="M182" s="186">
        <v>0</v>
      </c>
      <c r="N182" s="175">
        <f t="shared" si="118"/>
        <v>3880.08</v>
      </c>
      <c r="O182" s="175">
        <f t="shared" si="119"/>
        <v>64.667999999999992</v>
      </c>
      <c r="P182" s="175">
        <f t="shared" si="120"/>
        <v>0</v>
      </c>
      <c r="Q182" s="175">
        <f t="shared" si="121"/>
        <v>0</v>
      </c>
      <c r="R182" s="175">
        <f t="shared" si="122"/>
        <v>0</v>
      </c>
      <c r="S182" s="176">
        <v>1</v>
      </c>
      <c r="T182" s="175">
        <f t="shared" si="123"/>
        <v>0</v>
      </c>
      <c r="U182" s="175">
        <f t="shared" si="124"/>
        <v>3880.08</v>
      </c>
      <c r="V182" s="175">
        <f t="shared" si="125"/>
        <v>3880.08</v>
      </c>
      <c r="W182" s="176">
        <v>1</v>
      </c>
      <c r="X182" s="175">
        <f t="shared" si="126"/>
        <v>3880.08</v>
      </c>
      <c r="Y182" s="175">
        <f t="shared" si="127"/>
        <v>3880.08</v>
      </c>
      <c r="Z182" s="175">
        <f>IF(M182&gt;0,(L182-X182)/2,IF(AA182&gt;=AD182,(((L182*S182)*W182)-Y182)/2,((((L182*S182)*W182)-X182)+(((L182*S182)*W182)-Y182))/2))</f>
        <v>0</v>
      </c>
      <c r="AA182" s="175">
        <f t="shared" si="128"/>
        <v>111.83333333333333</v>
      </c>
      <c r="AB182" s="175">
        <f t="shared" si="129"/>
        <v>118.25</v>
      </c>
      <c r="AC182" s="175">
        <f t="shared" si="130"/>
        <v>116.83333333333333</v>
      </c>
      <c r="AD182" s="175">
        <f t="shared" si="131"/>
        <v>117.25</v>
      </c>
      <c r="AE182" s="175">
        <f t="shared" si="132"/>
        <v>-8.3333333333333329E-2</v>
      </c>
      <c r="AF182" s="175">
        <f t="shared" si="133"/>
        <v>0</v>
      </c>
      <c r="AG182" s="170"/>
      <c r="AH182" s="170"/>
      <c r="AI182" s="170"/>
    </row>
    <row r="183" spans="2:35" s="163" customFormat="1">
      <c r="B183" s="163" t="s">
        <v>533</v>
      </c>
      <c r="C183" s="294">
        <v>2012</v>
      </c>
      <c r="D183" s="163">
        <v>112</v>
      </c>
      <c r="E183" s="163">
        <v>4</v>
      </c>
      <c r="F183" s="178">
        <v>0</v>
      </c>
      <c r="G183" s="177" t="s">
        <v>491</v>
      </c>
      <c r="H183" s="163">
        <v>5</v>
      </c>
      <c r="I183" s="163">
        <f t="shared" si="117"/>
        <v>117</v>
      </c>
      <c r="L183" s="175">
        <v>1008.83</v>
      </c>
      <c r="M183" s="186">
        <v>0</v>
      </c>
      <c r="N183" s="175">
        <f t="shared" si="118"/>
        <v>1008.83</v>
      </c>
      <c r="O183" s="175">
        <f t="shared" si="119"/>
        <v>16.813833333333335</v>
      </c>
      <c r="P183" s="175">
        <f t="shared" si="120"/>
        <v>0</v>
      </c>
      <c r="Q183" s="175">
        <f t="shared" si="121"/>
        <v>0</v>
      </c>
      <c r="R183" s="175">
        <f t="shared" si="122"/>
        <v>0</v>
      </c>
      <c r="S183" s="176">
        <v>1</v>
      </c>
      <c r="T183" s="175">
        <f t="shared" si="123"/>
        <v>0</v>
      </c>
      <c r="U183" s="175">
        <f t="shared" si="124"/>
        <v>1008.83</v>
      </c>
      <c r="V183" s="175">
        <f t="shared" si="125"/>
        <v>1008.83</v>
      </c>
      <c r="W183" s="176">
        <v>1</v>
      </c>
      <c r="X183" s="175">
        <f t="shared" si="126"/>
        <v>1008.83</v>
      </c>
      <c r="Y183" s="175">
        <f t="shared" si="127"/>
        <v>1008.83</v>
      </c>
      <c r="Z183" s="175">
        <f>IF(M183&gt;0,(L183-X183)/2,IF(AA183&gt;=AD183,(((L183*S183)*W183)-Y183)/2,((((L183*S183)*W183)-X183)+(((L183*S183)*W183)-Y183))/2))</f>
        <v>0</v>
      </c>
      <c r="AA183" s="175">
        <f t="shared" si="128"/>
        <v>112.25</v>
      </c>
      <c r="AB183" s="175">
        <f t="shared" si="129"/>
        <v>118.25</v>
      </c>
      <c r="AC183" s="175">
        <f t="shared" si="130"/>
        <v>117.25</v>
      </c>
      <c r="AD183" s="175">
        <f t="shared" si="131"/>
        <v>117.25</v>
      </c>
      <c r="AE183" s="175">
        <f t="shared" si="132"/>
        <v>-8.3333333333333329E-2</v>
      </c>
      <c r="AF183" s="175">
        <f t="shared" si="133"/>
        <v>0</v>
      </c>
      <c r="AG183" s="170"/>
      <c r="AH183" s="170"/>
      <c r="AI183" s="170"/>
    </row>
    <row r="184" spans="2:35" s="163" customFormat="1">
      <c r="B184" s="163" t="s">
        <v>532</v>
      </c>
      <c r="C184" s="294">
        <v>2012</v>
      </c>
      <c r="D184" s="163">
        <v>112</v>
      </c>
      <c r="E184" s="163">
        <v>11</v>
      </c>
      <c r="F184" s="178">
        <v>0</v>
      </c>
      <c r="G184" s="177" t="s">
        <v>491</v>
      </c>
      <c r="H184" s="163">
        <v>5</v>
      </c>
      <c r="I184" s="163">
        <f t="shared" si="117"/>
        <v>117</v>
      </c>
      <c r="L184" s="175">
        <v>704.24</v>
      </c>
      <c r="M184" s="186">
        <v>0</v>
      </c>
      <c r="N184" s="175">
        <f t="shared" si="118"/>
        <v>704.24</v>
      </c>
      <c r="O184" s="175">
        <f t="shared" si="119"/>
        <v>11.737333333333334</v>
      </c>
      <c r="P184" s="175">
        <f t="shared" si="120"/>
        <v>82.161333333332664</v>
      </c>
      <c r="Q184" s="175">
        <f t="shared" si="121"/>
        <v>0</v>
      </c>
      <c r="R184" s="175">
        <f t="shared" si="122"/>
        <v>82.161333333332664</v>
      </c>
      <c r="S184" s="176">
        <v>1</v>
      </c>
      <c r="T184" s="175">
        <f t="shared" si="123"/>
        <v>82.161333333332664</v>
      </c>
      <c r="U184" s="175">
        <f t="shared" si="124"/>
        <v>622.07866666666735</v>
      </c>
      <c r="V184" s="175">
        <f t="shared" si="125"/>
        <v>622.07866666666735</v>
      </c>
      <c r="W184" s="176">
        <v>1</v>
      </c>
      <c r="X184" s="175">
        <f t="shared" si="126"/>
        <v>622.07866666666735</v>
      </c>
      <c r="Y184" s="175">
        <f t="shared" si="127"/>
        <v>704.24</v>
      </c>
      <c r="Z184" s="175">
        <f>L184-((+X184+Y184)/2)</f>
        <v>41.080666666666275</v>
      </c>
      <c r="AA184" s="175">
        <f t="shared" si="128"/>
        <v>112.83333333333333</v>
      </c>
      <c r="AB184" s="175">
        <f t="shared" si="129"/>
        <v>118.25</v>
      </c>
      <c r="AC184" s="175">
        <f t="shared" si="130"/>
        <v>117.83333333333333</v>
      </c>
      <c r="AD184" s="175">
        <f t="shared" si="131"/>
        <v>117.25</v>
      </c>
      <c r="AE184" s="175">
        <f t="shared" si="132"/>
        <v>-8.3333333333333329E-2</v>
      </c>
      <c r="AF184" s="175">
        <f t="shared" si="133"/>
        <v>0</v>
      </c>
      <c r="AG184" s="170"/>
      <c r="AH184" s="170"/>
      <c r="AI184" s="170"/>
    </row>
    <row r="185" spans="2:35" s="163" customFormat="1">
      <c r="B185" s="163" t="s">
        <v>531</v>
      </c>
      <c r="C185" s="294">
        <v>2012</v>
      </c>
      <c r="D185" s="163">
        <v>112</v>
      </c>
      <c r="E185" s="163">
        <v>11</v>
      </c>
      <c r="F185" s="178">
        <v>0</v>
      </c>
      <c r="G185" s="177" t="s">
        <v>491</v>
      </c>
      <c r="H185" s="163">
        <v>5</v>
      </c>
      <c r="I185" s="163">
        <f t="shared" si="117"/>
        <v>117</v>
      </c>
      <c r="L185" s="175">
        <v>1571.01</v>
      </c>
      <c r="M185" s="186">
        <v>0</v>
      </c>
      <c r="N185" s="175">
        <f t="shared" si="118"/>
        <v>1571.01</v>
      </c>
      <c r="O185" s="175">
        <f t="shared" si="119"/>
        <v>26.183499999999999</v>
      </c>
      <c r="P185" s="175">
        <f t="shared" si="120"/>
        <v>183.2844999999985</v>
      </c>
      <c r="Q185" s="175">
        <f t="shared" si="121"/>
        <v>0</v>
      </c>
      <c r="R185" s="175">
        <f t="shared" si="122"/>
        <v>183.2844999999985</v>
      </c>
      <c r="S185" s="176">
        <v>1</v>
      </c>
      <c r="T185" s="175">
        <f t="shared" si="123"/>
        <v>183.2844999999985</v>
      </c>
      <c r="U185" s="175">
        <f t="shared" si="124"/>
        <v>1387.7255000000014</v>
      </c>
      <c r="V185" s="175">
        <f t="shared" si="125"/>
        <v>1387.7255000000014</v>
      </c>
      <c r="W185" s="176">
        <v>1</v>
      </c>
      <c r="X185" s="175">
        <f t="shared" si="126"/>
        <v>1387.7255000000014</v>
      </c>
      <c r="Y185" s="175">
        <f t="shared" si="127"/>
        <v>1571.0099999999998</v>
      </c>
      <c r="Z185" s="175">
        <f>L185-((+X185+Y185)/2)</f>
        <v>91.642249999999422</v>
      </c>
      <c r="AA185" s="175">
        <f t="shared" si="128"/>
        <v>112.83333333333333</v>
      </c>
      <c r="AB185" s="175">
        <f t="shared" si="129"/>
        <v>118.25</v>
      </c>
      <c r="AC185" s="175">
        <f t="shared" si="130"/>
        <v>117.83333333333333</v>
      </c>
      <c r="AD185" s="175">
        <f t="shared" si="131"/>
        <v>117.25</v>
      </c>
      <c r="AE185" s="175">
        <f t="shared" si="132"/>
        <v>-8.3333333333333329E-2</v>
      </c>
      <c r="AF185" s="175">
        <f t="shared" si="133"/>
        <v>0</v>
      </c>
      <c r="AG185" s="170"/>
      <c r="AH185" s="170"/>
      <c r="AI185" s="170"/>
    </row>
    <row r="186" spans="2:35" s="163" customFormat="1">
      <c r="B186" s="163" t="s">
        <v>530</v>
      </c>
      <c r="C186" s="294">
        <v>2012</v>
      </c>
      <c r="D186" s="163">
        <v>112</v>
      </c>
      <c r="E186" s="163">
        <v>12</v>
      </c>
      <c r="F186" s="178">
        <v>0</v>
      </c>
      <c r="G186" s="177" t="s">
        <v>491</v>
      </c>
      <c r="H186" s="163">
        <v>5</v>
      </c>
      <c r="I186" s="163">
        <f t="shared" si="117"/>
        <v>117</v>
      </c>
      <c r="L186" s="175">
        <v>4167.51</v>
      </c>
      <c r="M186" s="186">
        <v>0</v>
      </c>
      <c r="N186" s="175">
        <f t="shared" si="118"/>
        <v>4167.51</v>
      </c>
      <c r="O186" s="175">
        <f t="shared" si="119"/>
        <v>69.458500000000001</v>
      </c>
      <c r="P186" s="175">
        <f t="shared" si="120"/>
        <v>555.66800000000399</v>
      </c>
      <c r="Q186" s="175">
        <f t="shared" si="121"/>
        <v>0</v>
      </c>
      <c r="R186" s="175">
        <f t="shared" si="122"/>
        <v>555.66800000000399</v>
      </c>
      <c r="S186" s="176">
        <v>1</v>
      </c>
      <c r="T186" s="175">
        <f t="shared" si="123"/>
        <v>555.66800000000399</v>
      </c>
      <c r="U186" s="175">
        <f t="shared" si="124"/>
        <v>3611.841999999996</v>
      </c>
      <c r="V186" s="175">
        <f t="shared" si="125"/>
        <v>3611.841999999996</v>
      </c>
      <c r="W186" s="176">
        <v>1</v>
      </c>
      <c r="X186" s="175">
        <f t="shared" si="126"/>
        <v>3611.841999999996</v>
      </c>
      <c r="Y186" s="175">
        <f t="shared" si="127"/>
        <v>4167.51</v>
      </c>
      <c r="Z186" s="175">
        <f>L186-((+X186+Y186)/2)</f>
        <v>277.83400000000211</v>
      </c>
      <c r="AA186" s="175">
        <f t="shared" si="128"/>
        <v>112.91666666666667</v>
      </c>
      <c r="AB186" s="175">
        <f t="shared" si="129"/>
        <v>118.25</v>
      </c>
      <c r="AC186" s="175">
        <f t="shared" si="130"/>
        <v>117.91666666666667</v>
      </c>
      <c r="AD186" s="175">
        <f t="shared" si="131"/>
        <v>117.25</v>
      </c>
      <c r="AE186" s="175">
        <f t="shared" si="132"/>
        <v>-8.3333333333333329E-2</v>
      </c>
      <c r="AF186" s="175">
        <f t="shared" si="133"/>
        <v>0</v>
      </c>
      <c r="AG186" s="170"/>
      <c r="AH186" s="170"/>
      <c r="AI186" s="170"/>
    </row>
    <row r="187" spans="2:35" s="163" customFormat="1">
      <c r="B187" s="163" t="s">
        <v>529</v>
      </c>
      <c r="C187" s="294">
        <v>2013</v>
      </c>
      <c r="D187" s="163">
        <v>113</v>
      </c>
      <c r="E187" s="163">
        <v>2</v>
      </c>
      <c r="F187" s="178">
        <v>0</v>
      </c>
      <c r="G187" s="177" t="s">
        <v>491</v>
      </c>
      <c r="H187" s="163">
        <v>5</v>
      </c>
      <c r="I187" s="163">
        <f t="shared" si="117"/>
        <v>118</v>
      </c>
      <c r="L187" s="175">
        <v>1093.73</v>
      </c>
      <c r="M187" s="186">
        <v>0</v>
      </c>
      <c r="N187" s="175">
        <f t="shared" si="118"/>
        <v>1093.73</v>
      </c>
      <c r="O187" s="175">
        <f t="shared" si="119"/>
        <v>18.228833333333334</v>
      </c>
      <c r="P187" s="175">
        <f t="shared" si="120"/>
        <v>182.2883333333323</v>
      </c>
      <c r="Q187" s="175">
        <f t="shared" si="121"/>
        <v>0</v>
      </c>
      <c r="R187" s="175">
        <f t="shared" si="122"/>
        <v>182.2883333333323</v>
      </c>
      <c r="S187" s="176">
        <v>1</v>
      </c>
      <c r="T187" s="175">
        <f t="shared" si="123"/>
        <v>182.2883333333323</v>
      </c>
      <c r="U187" s="175">
        <f t="shared" si="124"/>
        <v>911.44166666666774</v>
      </c>
      <c r="V187" s="175">
        <f t="shared" si="125"/>
        <v>911.44166666666774</v>
      </c>
      <c r="W187" s="176">
        <v>1</v>
      </c>
      <c r="X187" s="175">
        <f t="shared" si="126"/>
        <v>911.44166666666774</v>
      </c>
      <c r="Y187" s="175">
        <f t="shared" si="127"/>
        <v>1093.73</v>
      </c>
      <c r="Z187" s="175">
        <f>L187-((+X187+Y187)/2)</f>
        <v>91.144166666666138</v>
      </c>
      <c r="AA187" s="175">
        <f t="shared" si="128"/>
        <v>113.08333333333333</v>
      </c>
      <c r="AB187" s="175">
        <f t="shared" si="129"/>
        <v>118.25</v>
      </c>
      <c r="AC187" s="175">
        <f t="shared" si="130"/>
        <v>118.08333333333333</v>
      </c>
      <c r="AD187" s="175">
        <f t="shared" si="131"/>
        <v>117.25</v>
      </c>
      <c r="AE187" s="175">
        <f t="shared" si="132"/>
        <v>-8.3333333333333329E-2</v>
      </c>
      <c r="AF187" s="175">
        <f t="shared" si="133"/>
        <v>0</v>
      </c>
      <c r="AG187" s="170"/>
      <c r="AH187" s="170"/>
      <c r="AI187" s="170"/>
    </row>
    <row r="188" spans="2:35" s="163" customFormat="1">
      <c r="B188" s="163" t="s">
        <v>855</v>
      </c>
      <c r="C188" s="294">
        <v>2014</v>
      </c>
      <c r="D188" s="163">
        <v>114</v>
      </c>
      <c r="E188" s="163">
        <v>2</v>
      </c>
      <c r="F188" s="178">
        <v>0</v>
      </c>
      <c r="G188" s="177" t="s">
        <v>491</v>
      </c>
      <c r="H188" s="163">
        <v>5</v>
      </c>
      <c r="I188" s="163">
        <f t="shared" si="117"/>
        <v>119</v>
      </c>
      <c r="L188" s="175">
        <v>602.77</v>
      </c>
      <c r="M188" s="186">
        <v>0</v>
      </c>
      <c r="N188" s="175">
        <f t="shared" si="118"/>
        <v>602.77</v>
      </c>
      <c r="O188" s="175">
        <f t="shared" si="119"/>
        <v>10.046166666666666</v>
      </c>
      <c r="P188" s="175">
        <f t="shared" si="120"/>
        <v>120.554</v>
      </c>
      <c r="Q188" s="175">
        <f>IF(M188=0,0,IF(AND(AE188&gt;=AD188,AE188&lt;=AC188),((AE188-AD188)*12)*O188,0))</f>
        <v>0</v>
      </c>
      <c r="R188" s="175">
        <f>IF(Q188&gt;0,Q188,P188)</f>
        <v>120.554</v>
      </c>
      <c r="S188" s="176">
        <v>1</v>
      </c>
      <c r="T188" s="175">
        <f>S188*SUM(P188:Q188)</f>
        <v>120.554</v>
      </c>
      <c r="U188" s="175">
        <f>IF(AA188&gt;AB188,0,IF(AC188&lt;AD188,L188,IF(AND(AC188&gt;=AD188,AC188&lt;=AB188),(L188-R188),IF(AND(AD188&lt;=AA188,AB188&gt;=AA188),0,IF(AC188&gt;AB188,((AD188-AA188)*12)*O188,0)))))</f>
        <v>381.75433333333388</v>
      </c>
      <c r="V188" s="175">
        <f>U188*S188</f>
        <v>381.75433333333388</v>
      </c>
      <c r="W188" s="176">
        <v>1</v>
      </c>
      <c r="X188" s="175">
        <f>V188*W188</f>
        <v>381.75433333333388</v>
      </c>
      <c r="Y188" s="175">
        <f>IF(M188&gt;0,0,X188+T188*W188)*W188</f>
        <v>502.30833333333385</v>
      </c>
      <c r="Z188" s="175">
        <f>L188-((+X188+Y188)/2)</f>
        <v>160.73866666666612</v>
      </c>
      <c r="AA188" s="175">
        <f t="shared" si="128"/>
        <v>114.08333333333333</v>
      </c>
      <c r="AB188" s="175">
        <f t="shared" si="129"/>
        <v>118.25</v>
      </c>
      <c r="AC188" s="175">
        <f t="shared" si="130"/>
        <v>119.08333333333333</v>
      </c>
      <c r="AD188" s="175">
        <f t="shared" si="131"/>
        <v>117.25</v>
      </c>
      <c r="AE188" s="175">
        <f t="shared" si="132"/>
        <v>-8.3333333333333329E-2</v>
      </c>
      <c r="AF188" s="175">
        <f t="shared" si="133"/>
        <v>0</v>
      </c>
      <c r="AG188" s="170"/>
      <c r="AH188" s="170"/>
      <c r="AI188" s="170"/>
    </row>
    <row r="189" spans="2:35" s="163" customFormat="1">
      <c r="C189" s="294"/>
      <c r="F189" s="178"/>
      <c r="G189" s="177"/>
      <c r="L189" s="184"/>
      <c r="M189" s="186"/>
      <c r="N189" s="184"/>
      <c r="O189" s="184"/>
      <c r="P189" s="184"/>
      <c r="Q189" s="184"/>
      <c r="R189" s="184"/>
      <c r="S189" s="176"/>
      <c r="T189" s="184"/>
      <c r="U189" s="184"/>
      <c r="V189" s="184"/>
      <c r="W189" s="176"/>
      <c r="X189" s="184"/>
      <c r="Y189" s="184"/>
      <c r="Z189" s="184"/>
      <c r="AA189" s="175"/>
      <c r="AB189" s="175"/>
      <c r="AC189" s="175"/>
      <c r="AD189" s="175"/>
      <c r="AE189" s="175"/>
      <c r="AF189" s="184"/>
      <c r="AG189" s="170"/>
      <c r="AH189" s="170"/>
      <c r="AI189" s="170"/>
    </row>
    <row r="190" spans="2:35" s="163" customFormat="1">
      <c r="B190" s="183" t="s">
        <v>516</v>
      </c>
      <c r="C190" s="294"/>
      <c r="F190" s="178"/>
      <c r="G190" s="177"/>
      <c r="L190" s="175">
        <f>SUM(L179:L188)</f>
        <v>19809.75</v>
      </c>
      <c r="M190" s="175"/>
      <c r="N190" s="175">
        <f>SUM(N179:N188)</f>
        <v>19809.75</v>
      </c>
      <c r="O190" s="175">
        <f>SUM(O179:O188)</f>
        <v>330.16250000000002</v>
      </c>
      <c r="P190" s="175">
        <f>SUM(P179:P188)</f>
        <v>1123.9561666666675</v>
      </c>
      <c r="Q190" s="175">
        <f>SUM(Q179:Q188)</f>
        <v>0</v>
      </c>
      <c r="R190" s="175">
        <f>SUM(R179:R188)</f>
        <v>1123.9561666666675</v>
      </c>
      <c r="S190" s="175"/>
      <c r="T190" s="175">
        <f>SUM(T179:T188)</f>
        <v>1123.9561666666675</v>
      </c>
      <c r="U190" s="175">
        <f>SUM(U179:U188)</f>
        <v>18585.332166666671</v>
      </c>
      <c r="V190" s="175">
        <f>SUM(V179:V188)</f>
        <v>18585.332166666671</v>
      </c>
      <c r="W190" s="175"/>
      <c r="X190" s="175">
        <f>SUM(X179:X188)</f>
        <v>18585.332166666671</v>
      </c>
      <c r="Y190" s="175">
        <f>SUM(Y179:Y188)</f>
        <v>19709.288333333334</v>
      </c>
      <c r="Z190" s="175">
        <f>SUM(Z179:Z188)</f>
        <v>662.43975</v>
      </c>
      <c r="AA190" s="175"/>
      <c r="AB190" s="175"/>
      <c r="AC190" s="175"/>
      <c r="AD190" s="175"/>
      <c r="AE190" s="175"/>
      <c r="AF190" s="175">
        <f>SUM(AF179:AF188)</f>
        <v>0</v>
      </c>
      <c r="AG190" s="170"/>
      <c r="AH190" s="170"/>
      <c r="AI190" s="170"/>
    </row>
    <row r="191" spans="2:35" s="163" customFormat="1">
      <c r="B191" s="183"/>
      <c r="C191" s="294"/>
      <c r="F191" s="178"/>
      <c r="G191" s="177"/>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0"/>
      <c r="AH191" s="170"/>
      <c r="AI191" s="170"/>
    </row>
    <row r="192" spans="2:35" s="163" customFormat="1" ht="16.5" thickBot="1">
      <c r="B192" s="174" t="s">
        <v>528</v>
      </c>
      <c r="C192" s="294"/>
      <c r="K192" s="896" t="s">
        <v>966</v>
      </c>
      <c r="L192" s="173">
        <f>SUM(L190:L191)</f>
        <v>19809.75</v>
      </c>
      <c r="M192" s="175"/>
      <c r="N192" s="173">
        <f>SUM(N190:N191)</f>
        <v>19809.75</v>
      </c>
      <c r="O192" s="173">
        <f>SUM(O190:O191)</f>
        <v>330.16250000000002</v>
      </c>
      <c r="P192" s="173">
        <f>SUM(P190:P191)</f>
        <v>1123.9561666666675</v>
      </c>
      <c r="Q192" s="173"/>
      <c r="R192" s="173">
        <f>SUM(R190:R191)</f>
        <v>1123.9561666666675</v>
      </c>
      <c r="S192" s="165"/>
      <c r="T192" s="173">
        <f>SUM(T190:T191)</f>
        <v>1123.9561666666675</v>
      </c>
      <c r="U192" s="173">
        <f>SUM(U190:U191)</f>
        <v>18585.332166666671</v>
      </c>
      <c r="V192" s="173">
        <f>SUM(V190:V191)</f>
        <v>18585.332166666671</v>
      </c>
      <c r="W192" s="165"/>
      <c r="X192" s="173">
        <f>SUM(X190:X191)</f>
        <v>18585.332166666671</v>
      </c>
      <c r="Y192" s="173">
        <f>SUM(Y190:Y191)</f>
        <v>19709.288333333334</v>
      </c>
      <c r="Z192" s="173">
        <f>SUM(Z190:Z191)</f>
        <v>662.43975</v>
      </c>
      <c r="AA192" s="186"/>
      <c r="AB192" s="186"/>
      <c r="AC192" s="186"/>
      <c r="AD192" s="186"/>
      <c r="AE192" s="186"/>
      <c r="AF192" s="627">
        <f>SUM(AF190:AF191)</f>
        <v>0</v>
      </c>
      <c r="AG192" s="168"/>
      <c r="AH192" s="170"/>
      <c r="AI192" s="170"/>
    </row>
    <row r="193" spans="1:37" ht="16.5" thickTop="1">
      <c r="B193" s="174"/>
      <c r="C193" s="292"/>
      <c r="L193" s="186"/>
      <c r="M193" s="186"/>
      <c r="N193" s="186"/>
      <c r="O193" s="186"/>
      <c r="P193" s="186"/>
      <c r="Q193" s="186"/>
      <c r="R193" s="186"/>
      <c r="S193" s="187"/>
      <c r="T193" s="186"/>
      <c r="U193" s="186"/>
      <c r="V193" s="186"/>
      <c r="W193" s="186"/>
      <c r="X193" s="186"/>
      <c r="Y193" s="186"/>
      <c r="Z193" s="186"/>
      <c r="AA193" s="169"/>
      <c r="AB193" s="169"/>
      <c r="AC193" s="169"/>
      <c r="AD193" s="169"/>
      <c r="AE193" s="169"/>
      <c r="AF193" s="169"/>
      <c r="AG193" s="166"/>
      <c r="AH193" s="164"/>
      <c r="AI193" s="164"/>
    </row>
    <row r="194" spans="1:37">
      <c r="A194" s="163"/>
      <c r="B194" s="174" t="s">
        <v>95</v>
      </c>
      <c r="C194" s="334">
        <f>2013-C195</f>
        <v>13</v>
      </c>
      <c r="H194" s="321"/>
      <c r="L194" s="170"/>
      <c r="M194" s="170"/>
      <c r="N194" s="170"/>
      <c r="O194" s="170"/>
      <c r="P194" s="170"/>
      <c r="Q194" s="170"/>
      <c r="R194" s="170"/>
      <c r="S194" s="163"/>
      <c r="T194" s="170"/>
      <c r="U194" s="170"/>
      <c r="V194" s="170"/>
      <c r="W194" s="163"/>
      <c r="X194" s="170"/>
      <c r="Y194" s="170"/>
      <c r="Z194" s="170"/>
      <c r="AA194" s="170"/>
      <c r="AB194" s="170"/>
      <c r="AC194" s="170"/>
      <c r="AD194" s="170"/>
      <c r="AE194" s="170"/>
      <c r="AF194" s="170"/>
      <c r="AG194" s="164"/>
      <c r="AH194" s="164"/>
      <c r="AI194" s="164"/>
    </row>
    <row r="195" spans="1:37" s="163" customFormat="1">
      <c r="B195" s="163" t="s">
        <v>518</v>
      </c>
      <c r="C195" s="295">
        <v>2000</v>
      </c>
      <c r="D195" s="163">
        <v>100</v>
      </c>
      <c r="E195" s="163">
        <v>2</v>
      </c>
      <c r="F195" s="178">
        <v>0</v>
      </c>
      <c r="G195" s="177" t="s">
        <v>491</v>
      </c>
      <c r="H195" s="163">
        <v>8</v>
      </c>
      <c r="I195" s="163">
        <f>D195+H195</f>
        <v>108</v>
      </c>
      <c r="L195" s="175">
        <v>4455.72</v>
      </c>
      <c r="M195" s="175">
        <v>0</v>
      </c>
      <c r="N195" s="175">
        <f>L195-(+L195*F195)</f>
        <v>4455.72</v>
      </c>
      <c r="O195" s="175">
        <f>(+N195/H195)/12</f>
        <v>46.41375</v>
      </c>
      <c r="P195" s="175">
        <f>IF(Q195&gt;0,0,IF(OR(AA195&gt;AB195,AC195&lt;AD195),0,IF(AND(AC195&gt;=AD195,AC195&lt;=AB195),O195*((AC195-AD195)*12),IF(AND(AD195&lt;=AA195,AB195&gt;=AA195),((AB195-AA195)*12)*O195,IF(AC195&gt;AB195,12*O195,0)))))</f>
        <v>0</v>
      </c>
      <c r="Q195" s="175">
        <f>IF(M195=0,0,IF(AND(AE195&gt;=AD195,AE195&lt;=AC195),((AE195-AD195)*12)*O195,0))</f>
        <v>0</v>
      </c>
      <c r="R195" s="175">
        <f>IF(Q195&gt;0,Q195,P195)</f>
        <v>0</v>
      </c>
      <c r="S195" s="176">
        <v>1</v>
      </c>
      <c r="T195" s="175">
        <f>S195*SUM(P195:Q195)</f>
        <v>0</v>
      </c>
      <c r="U195" s="175">
        <f>IF(AA195&gt;AB195,0,IF(AC195&lt;AD195,L195,IF(AND(AC195&gt;=AD195,AC195&lt;=AB195),(L195-R195),IF(AND(AD195&lt;=AA195,AB195&gt;=AA195),0,IF(AC195&gt;AB195,((AD195-AA195)*12)*O195,0)))))</f>
        <v>4455.72</v>
      </c>
      <c r="V195" s="175">
        <f>U195*S195</f>
        <v>4455.72</v>
      </c>
      <c r="W195" s="176">
        <v>1</v>
      </c>
      <c r="X195" s="175">
        <f>V195*W195</f>
        <v>4455.72</v>
      </c>
      <c r="Y195" s="175">
        <f>IF(M195&gt;0,0,X195+T195*W195)*W195</f>
        <v>4455.72</v>
      </c>
      <c r="Z195" s="175">
        <f t="shared" ref="Z195:Z228" si="134">IF(M195&gt;0,(L195-X195)/2,IF(AA195&gt;=AD195,(((L195*S195)*W195)-Y195)/2,((((L195*S195)*W195)-X195)+(((L195*S195)*W195)-Y195))/2))</f>
        <v>0</v>
      </c>
      <c r="AA195" s="175">
        <f>$D195+(($E195-1)/12)</f>
        <v>100.08333333333333</v>
      </c>
      <c r="AB195" s="175">
        <f>($B$10+1)-($B$7/12)</f>
        <v>118.25</v>
      </c>
      <c r="AC195" s="175">
        <f>$I195+(($E195-1)/12)</f>
        <v>108.08333333333333</v>
      </c>
      <c r="AD195" s="175">
        <f>$B$9+($B$8/12)</f>
        <v>117.25</v>
      </c>
      <c r="AE195" s="175">
        <f>$J195+(($K195-1)/12)</f>
        <v>-8.3333333333333329E-2</v>
      </c>
      <c r="AF195" s="175">
        <f>L195-((X195+Y195)/2)-Z195</f>
        <v>0</v>
      </c>
      <c r="AG195" s="168"/>
      <c r="AH195" s="168"/>
      <c r="AI195" s="168"/>
      <c r="AJ195" s="165"/>
      <c r="AK195" s="165"/>
    </row>
    <row r="196" spans="1:37" s="163" customFormat="1">
      <c r="B196" s="163" t="s">
        <v>519</v>
      </c>
      <c r="C196" s="295">
        <v>2000</v>
      </c>
      <c r="D196" s="163">
        <v>100</v>
      </c>
      <c r="E196" s="163">
        <v>3</v>
      </c>
      <c r="F196" s="178">
        <v>0</v>
      </c>
      <c r="G196" s="177" t="s">
        <v>491</v>
      </c>
      <c r="H196" s="163">
        <v>8</v>
      </c>
      <c r="I196" s="163">
        <f>D196+H196</f>
        <v>108</v>
      </c>
      <c r="L196" s="175">
        <v>3922.22</v>
      </c>
      <c r="M196" s="175">
        <v>0</v>
      </c>
      <c r="N196" s="175">
        <f>L196-(+L196*F196)</f>
        <v>3922.22</v>
      </c>
      <c r="O196" s="175">
        <f>(+N196/H196)/12</f>
        <v>40.856458333333329</v>
      </c>
      <c r="P196" s="175">
        <f>IF(Q196&gt;0,0,IF(OR(AA196&gt;AB196,AC196&lt;AD196),0,IF(AND(AC196&gt;=AD196,AC196&lt;=AB196),O196*((AC196-AD196)*12),IF(AND(AD196&lt;=AA196,AB196&gt;=AA196),((AB196-AA196)*12)*O196,IF(AC196&gt;AB196,12*O196,0)))))</f>
        <v>0</v>
      </c>
      <c r="Q196" s="175">
        <f>IF(M196=0,0,IF(AND(AE196&gt;=AD196,AE196&lt;=AC196),((AE196-AD196)*12)*O196,0))</f>
        <v>0</v>
      </c>
      <c r="R196" s="175">
        <f>IF(Q196&gt;0,Q196,P196)</f>
        <v>0</v>
      </c>
      <c r="S196" s="176">
        <v>1</v>
      </c>
      <c r="T196" s="175">
        <f>S196*SUM(P196:Q196)</f>
        <v>0</v>
      </c>
      <c r="U196" s="175">
        <f>IF(AA196&gt;AB196,0,IF(AC196&lt;AD196,L196,IF(AND(AC196&gt;=AD196,AC196&lt;=AB196),(L196-R196),IF(AND(AD196&lt;=AA196,AB196&gt;=AA196),0,IF(AC196&gt;AB196,((AD196-AA196)*12)*O196,0)))))</f>
        <v>3922.22</v>
      </c>
      <c r="V196" s="175">
        <f>U196*S196</f>
        <v>3922.22</v>
      </c>
      <c r="W196" s="176">
        <v>1</v>
      </c>
      <c r="X196" s="175">
        <f>V196*W196</f>
        <v>3922.22</v>
      </c>
      <c r="Y196" s="175">
        <f>IF(M196&gt;0,0,X196+T196*W196)*W196</f>
        <v>3922.22</v>
      </c>
      <c r="Z196" s="175">
        <f t="shared" si="134"/>
        <v>0</v>
      </c>
      <c r="AA196" s="175">
        <f>$D196+(($E196-1)/12)</f>
        <v>100.16666666666667</v>
      </c>
      <c r="AB196" s="175">
        <f>($B$10+1)-($B$7/12)</f>
        <v>118.25</v>
      </c>
      <c r="AC196" s="175">
        <f>$I196+(($E196-1)/12)</f>
        <v>108.16666666666667</v>
      </c>
      <c r="AD196" s="175">
        <f>$B$9+($B$8/12)</f>
        <v>117.25</v>
      </c>
      <c r="AE196" s="175">
        <f>$J196+(($K196-1)/12)</f>
        <v>-8.3333333333333329E-2</v>
      </c>
      <c r="AF196" s="175">
        <f>L196-((X196+Y196)/2)-Z196</f>
        <v>0</v>
      </c>
      <c r="AG196" s="168"/>
      <c r="AH196" s="168"/>
      <c r="AI196" s="168"/>
      <c r="AJ196" s="165"/>
      <c r="AK196" s="165"/>
    </row>
    <row r="197" spans="1:37" s="163" customFormat="1">
      <c r="B197" s="163" t="s">
        <v>518</v>
      </c>
      <c r="C197" s="295">
        <v>2000</v>
      </c>
      <c r="D197" s="163">
        <v>100</v>
      </c>
      <c r="E197" s="163">
        <v>5</v>
      </c>
      <c r="F197" s="178">
        <v>0</v>
      </c>
      <c r="G197" s="177" t="s">
        <v>491</v>
      </c>
      <c r="H197" s="163">
        <v>8</v>
      </c>
      <c r="I197" s="163">
        <f>D197+H197</f>
        <v>108</v>
      </c>
      <c r="L197" s="175">
        <v>4455.72</v>
      </c>
      <c r="M197" s="175">
        <v>0</v>
      </c>
      <c r="N197" s="175">
        <f>L197-(+L197*F197)</f>
        <v>4455.72</v>
      </c>
      <c r="O197" s="175">
        <f>(+N197/H197)/12</f>
        <v>46.41375</v>
      </c>
      <c r="P197" s="175">
        <f>IF(Q197&gt;0,0,IF(OR(AA197&gt;AB197,AC197&lt;AD197),0,IF(AND(AC197&gt;=AD197,AC197&lt;=AB197),O197*((AC197-AD197)*12),IF(AND(AD197&lt;=AA197,AB197&gt;=AA197),((AB197-AA197)*12)*O197,IF(AC197&gt;AB197,12*O197,0)))))</f>
        <v>0</v>
      </c>
      <c r="Q197" s="175">
        <f>IF(M197=0,0,IF(AND(AE197&gt;=AD197,AE197&lt;=AC197),((AE197-AD197)*12)*O197,0))</f>
        <v>0</v>
      </c>
      <c r="R197" s="175">
        <f>IF(Q197&gt;0,Q197,P197)</f>
        <v>0</v>
      </c>
      <c r="S197" s="176">
        <v>1</v>
      </c>
      <c r="T197" s="175">
        <f>S197*SUM(P197:Q197)</f>
        <v>0</v>
      </c>
      <c r="U197" s="175">
        <f>IF(AA197&gt;AB197,0,IF(AC197&lt;AD197,L197,IF(AND(AC197&gt;=AD197,AC197&lt;=AB197),(L197-R197),IF(AND(AD197&lt;=AA197,AB197&gt;=AA197),0,IF(AC197&gt;AB197,((AD197-AA197)*12)*O197,0)))))</f>
        <v>4455.72</v>
      </c>
      <c r="V197" s="175">
        <f>U197*S197</f>
        <v>4455.72</v>
      </c>
      <c r="W197" s="176">
        <v>1</v>
      </c>
      <c r="X197" s="175">
        <f>V197*W197</f>
        <v>4455.72</v>
      </c>
      <c r="Y197" s="175">
        <f>IF(M197&gt;0,0,X197+T197*W197)*W197</f>
        <v>4455.72</v>
      </c>
      <c r="Z197" s="175">
        <f t="shared" si="134"/>
        <v>0</v>
      </c>
      <c r="AA197" s="175">
        <f>$D197+(($E197-1)/12)</f>
        <v>100.33333333333333</v>
      </c>
      <c r="AB197" s="175">
        <f>($B$10+1)-($B$7/12)</f>
        <v>118.25</v>
      </c>
      <c r="AC197" s="175">
        <f>$I197+(($E197-1)/12)</f>
        <v>108.33333333333333</v>
      </c>
      <c r="AD197" s="175">
        <f>$B$9+($B$8/12)</f>
        <v>117.25</v>
      </c>
      <c r="AE197" s="175">
        <f>$J197+(($K197-1)/12)</f>
        <v>-8.3333333333333329E-2</v>
      </c>
      <c r="AF197" s="175">
        <f>L197-((X197+Y197)/2)-Z197</f>
        <v>0</v>
      </c>
      <c r="AG197" s="168"/>
      <c r="AH197" s="168"/>
      <c r="AI197" s="168"/>
      <c r="AJ197" s="165"/>
      <c r="AK197" s="165"/>
    </row>
    <row r="198" spans="1:37" s="163" customFormat="1">
      <c r="B198" s="163" t="s">
        <v>517</v>
      </c>
      <c r="C198" s="295">
        <v>2000</v>
      </c>
      <c r="D198" s="163">
        <v>100</v>
      </c>
      <c r="E198" s="163">
        <v>6</v>
      </c>
      <c r="F198" s="178">
        <v>0</v>
      </c>
      <c r="G198" s="177" t="s">
        <v>491</v>
      </c>
      <c r="H198" s="163">
        <v>8</v>
      </c>
      <c r="I198" s="163">
        <f t="shared" ref="I198:I228" si="135">D198+H198</f>
        <v>108</v>
      </c>
      <c r="L198" s="175">
        <v>4266.38</v>
      </c>
      <c r="M198" s="175">
        <v>0</v>
      </c>
      <c r="N198" s="175">
        <f t="shared" ref="N198:N228" si="136">L198-(+L198*F198)</f>
        <v>4266.38</v>
      </c>
      <c r="O198" s="175">
        <f t="shared" ref="O198:O228" si="137">(+N198/H198)/12</f>
        <v>44.441458333333337</v>
      </c>
      <c r="P198" s="175">
        <f t="shared" ref="P198:P228" si="138">IF(Q198&gt;0,0,IF(OR(AA198&gt;AB198,AC198&lt;AD198),0,IF(AND(AC198&gt;=AD198,AC198&lt;=AB198),O198*((AC198-AD198)*12),IF(AND(AD198&lt;=AA198,AB198&gt;=AA198),((AB198-AA198)*12)*O198,IF(AC198&gt;AB198,12*O198,0)))))</f>
        <v>0</v>
      </c>
      <c r="Q198" s="175">
        <f t="shared" ref="Q198:Q228" si="139">IF(M198=0,0,IF(AND(AE198&gt;=AD198,AE198&lt;=AC198),((AE198-AD198)*12)*O198,0))</f>
        <v>0</v>
      </c>
      <c r="R198" s="175">
        <f t="shared" ref="R198:R228" si="140">IF(Q198&gt;0,Q198,P198)</f>
        <v>0</v>
      </c>
      <c r="S198" s="176">
        <v>1</v>
      </c>
      <c r="T198" s="175">
        <f t="shared" ref="T198:T228" si="141">S198*SUM(P198:Q198)</f>
        <v>0</v>
      </c>
      <c r="U198" s="175">
        <f t="shared" ref="U198:U228" si="142">IF(AA198&gt;AB198,0,IF(AC198&lt;AD198,L198,IF(AND(AC198&gt;=AD198,AC198&lt;=AB198),(L198-R198),IF(AND(AD198&lt;=AA198,AB198&gt;=AA198),0,IF(AC198&gt;AB198,((AD198-AA198)*12)*O198,0)))))</f>
        <v>4266.38</v>
      </c>
      <c r="V198" s="175">
        <f t="shared" ref="V198:V228" si="143">U198*S198</f>
        <v>4266.38</v>
      </c>
      <c r="W198" s="176">
        <v>1</v>
      </c>
      <c r="X198" s="175">
        <f t="shared" ref="X198:X228" si="144">V198*W198</f>
        <v>4266.38</v>
      </c>
      <c r="Y198" s="175">
        <f t="shared" ref="Y198:Y228" si="145">IF(M198&gt;0,0,X198+T198*W198)*W198</f>
        <v>4266.38</v>
      </c>
      <c r="Z198" s="175">
        <f t="shared" si="134"/>
        <v>0</v>
      </c>
      <c r="AA198" s="175">
        <f t="shared" ref="AA198:AA228" si="146">$D198+(($E198-1)/12)</f>
        <v>100.41666666666667</v>
      </c>
      <c r="AB198" s="175">
        <f t="shared" ref="AB198:AB228" si="147">($B$10+1)-($B$7/12)</f>
        <v>118.25</v>
      </c>
      <c r="AC198" s="175">
        <f t="shared" ref="AC198:AC228" si="148">$I198+(($E198-1)/12)</f>
        <v>108.41666666666667</v>
      </c>
      <c r="AD198" s="175">
        <f t="shared" ref="AD198:AD228" si="149">$B$9+($B$8/12)</f>
        <v>117.25</v>
      </c>
      <c r="AE198" s="175">
        <f t="shared" ref="AE198:AE228" si="150">$J198+(($K198-1)/12)</f>
        <v>-8.3333333333333329E-2</v>
      </c>
      <c r="AF198" s="175">
        <f t="shared" ref="AF198:AF228" si="151">L198-((X198+Y198)/2)-Z198</f>
        <v>0</v>
      </c>
      <c r="AG198" s="168"/>
      <c r="AH198" s="168"/>
      <c r="AI198" s="168"/>
      <c r="AJ198" s="165"/>
      <c r="AK198" s="165"/>
    </row>
    <row r="199" spans="1:37" s="163" customFormat="1">
      <c r="B199" s="163" t="s">
        <v>518</v>
      </c>
      <c r="C199" s="295">
        <v>2000</v>
      </c>
      <c r="D199" s="163">
        <v>100</v>
      </c>
      <c r="E199" s="163">
        <v>9</v>
      </c>
      <c r="F199" s="178">
        <v>0</v>
      </c>
      <c r="G199" s="177" t="s">
        <v>491</v>
      </c>
      <c r="H199" s="163">
        <v>8</v>
      </c>
      <c r="I199" s="163">
        <f t="shared" si="135"/>
        <v>108</v>
      </c>
      <c r="L199" s="175">
        <v>4455.72</v>
      </c>
      <c r="M199" s="175">
        <v>0</v>
      </c>
      <c r="N199" s="175">
        <f t="shared" si="136"/>
        <v>4455.72</v>
      </c>
      <c r="O199" s="175">
        <f t="shared" si="137"/>
        <v>46.41375</v>
      </c>
      <c r="P199" s="175">
        <f t="shared" si="138"/>
        <v>0</v>
      </c>
      <c r="Q199" s="175">
        <f t="shared" si="139"/>
        <v>0</v>
      </c>
      <c r="R199" s="175">
        <f t="shared" si="140"/>
        <v>0</v>
      </c>
      <c r="S199" s="176">
        <v>1</v>
      </c>
      <c r="T199" s="175">
        <f t="shared" si="141"/>
        <v>0</v>
      </c>
      <c r="U199" s="175">
        <f t="shared" si="142"/>
        <v>4455.72</v>
      </c>
      <c r="V199" s="175">
        <f t="shared" si="143"/>
        <v>4455.72</v>
      </c>
      <c r="W199" s="176">
        <v>1</v>
      </c>
      <c r="X199" s="175">
        <f t="shared" si="144"/>
        <v>4455.72</v>
      </c>
      <c r="Y199" s="175">
        <f t="shared" si="145"/>
        <v>4455.72</v>
      </c>
      <c r="Z199" s="175">
        <f t="shared" si="134"/>
        <v>0</v>
      </c>
      <c r="AA199" s="175">
        <f t="shared" si="146"/>
        <v>100.66666666666667</v>
      </c>
      <c r="AB199" s="175">
        <f t="shared" si="147"/>
        <v>118.25</v>
      </c>
      <c r="AC199" s="175">
        <f t="shared" si="148"/>
        <v>108.66666666666667</v>
      </c>
      <c r="AD199" s="175">
        <f t="shared" si="149"/>
        <v>117.25</v>
      </c>
      <c r="AE199" s="175">
        <f t="shared" si="150"/>
        <v>-8.3333333333333329E-2</v>
      </c>
      <c r="AF199" s="175">
        <f t="shared" si="151"/>
        <v>0</v>
      </c>
      <c r="AG199" s="168"/>
      <c r="AH199" s="168"/>
      <c r="AI199" s="168"/>
      <c r="AJ199" s="165"/>
      <c r="AK199" s="165"/>
    </row>
    <row r="200" spans="1:37" s="163" customFormat="1">
      <c r="B200" s="163" t="s">
        <v>522</v>
      </c>
      <c r="C200" s="295">
        <v>2000</v>
      </c>
      <c r="D200" s="163">
        <v>100</v>
      </c>
      <c r="E200" s="163">
        <v>10</v>
      </c>
      <c r="F200" s="178">
        <v>0</v>
      </c>
      <c r="G200" s="177" t="s">
        <v>491</v>
      </c>
      <c r="H200" s="163">
        <v>8</v>
      </c>
      <c r="I200" s="163">
        <f t="shared" si="135"/>
        <v>108</v>
      </c>
      <c r="L200" s="175">
        <v>2125.1</v>
      </c>
      <c r="M200" s="175">
        <v>0</v>
      </c>
      <c r="N200" s="175">
        <f t="shared" si="136"/>
        <v>2125.1</v>
      </c>
      <c r="O200" s="175">
        <f t="shared" si="137"/>
        <v>22.136458333333334</v>
      </c>
      <c r="P200" s="175">
        <f t="shared" si="138"/>
        <v>0</v>
      </c>
      <c r="Q200" s="175">
        <f t="shared" si="139"/>
        <v>0</v>
      </c>
      <c r="R200" s="175">
        <f t="shared" si="140"/>
        <v>0</v>
      </c>
      <c r="S200" s="176">
        <v>1</v>
      </c>
      <c r="T200" s="175">
        <f t="shared" si="141"/>
        <v>0</v>
      </c>
      <c r="U200" s="175">
        <f t="shared" si="142"/>
        <v>2125.1</v>
      </c>
      <c r="V200" s="175">
        <f t="shared" si="143"/>
        <v>2125.1</v>
      </c>
      <c r="W200" s="176">
        <v>1</v>
      </c>
      <c r="X200" s="175">
        <f t="shared" si="144"/>
        <v>2125.1</v>
      </c>
      <c r="Y200" s="175">
        <f t="shared" si="145"/>
        <v>2125.1</v>
      </c>
      <c r="Z200" s="175">
        <f t="shared" si="134"/>
        <v>0</v>
      </c>
      <c r="AA200" s="175">
        <f t="shared" si="146"/>
        <v>100.75</v>
      </c>
      <c r="AB200" s="175">
        <f t="shared" si="147"/>
        <v>118.25</v>
      </c>
      <c r="AC200" s="175">
        <f t="shared" si="148"/>
        <v>108.75</v>
      </c>
      <c r="AD200" s="175">
        <f t="shared" si="149"/>
        <v>117.25</v>
      </c>
      <c r="AE200" s="175">
        <f t="shared" si="150"/>
        <v>-8.3333333333333329E-2</v>
      </c>
      <c r="AF200" s="175">
        <f t="shared" si="151"/>
        <v>0</v>
      </c>
      <c r="AG200" s="168"/>
      <c r="AH200" s="168"/>
      <c r="AI200" s="168"/>
      <c r="AJ200" s="165"/>
      <c r="AK200" s="165"/>
    </row>
    <row r="201" spans="1:37" s="163" customFormat="1">
      <c r="B201" s="163" t="s">
        <v>517</v>
      </c>
      <c r="C201" s="295">
        <v>2000</v>
      </c>
      <c r="D201" s="163">
        <v>100</v>
      </c>
      <c r="E201" s="163">
        <v>11</v>
      </c>
      <c r="F201" s="178">
        <v>0</v>
      </c>
      <c r="G201" s="177" t="s">
        <v>491</v>
      </c>
      <c r="H201" s="163">
        <v>8</v>
      </c>
      <c r="I201" s="163">
        <f t="shared" si="135"/>
        <v>108</v>
      </c>
      <c r="L201" s="175">
        <v>3686.38</v>
      </c>
      <c r="M201" s="175">
        <v>0</v>
      </c>
      <c r="N201" s="175">
        <f t="shared" si="136"/>
        <v>3686.38</v>
      </c>
      <c r="O201" s="175">
        <f t="shared" si="137"/>
        <v>38.399791666666665</v>
      </c>
      <c r="P201" s="175">
        <f t="shared" si="138"/>
        <v>0</v>
      </c>
      <c r="Q201" s="175">
        <f t="shared" si="139"/>
        <v>0</v>
      </c>
      <c r="R201" s="175">
        <f t="shared" si="140"/>
        <v>0</v>
      </c>
      <c r="S201" s="176">
        <v>1</v>
      </c>
      <c r="T201" s="175">
        <f t="shared" si="141"/>
        <v>0</v>
      </c>
      <c r="U201" s="175">
        <f t="shared" si="142"/>
        <v>3686.38</v>
      </c>
      <c r="V201" s="175">
        <f t="shared" si="143"/>
        <v>3686.38</v>
      </c>
      <c r="W201" s="176">
        <v>1</v>
      </c>
      <c r="X201" s="175">
        <f t="shared" si="144"/>
        <v>3686.38</v>
      </c>
      <c r="Y201" s="175">
        <f t="shared" si="145"/>
        <v>3686.38</v>
      </c>
      <c r="Z201" s="175">
        <f t="shared" si="134"/>
        <v>0</v>
      </c>
      <c r="AA201" s="175">
        <f t="shared" si="146"/>
        <v>100.83333333333333</v>
      </c>
      <c r="AB201" s="175">
        <f t="shared" si="147"/>
        <v>118.25</v>
      </c>
      <c r="AC201" s="175">
        <f t="shared" si="148"/>
        <v>108.83333333333333</v>
      </c>
      <c r="AD201" s="175">
        <f t="shared" si="149"/>
        <v>117.25</v>
      </c>
      <c r="AE201" s="175">
        <f t="shared" si="150"/>
        <v>-8.3333333333333329E-2</v>
      </c>
      <c r="AF201" s="175">
        <f t="shared" si="151"/>
        <v>0</v>
      </c>
      <c r="AG201" s="168"/>
      <c r="AH201" s="168"/>
      <c r="AI201" s="168"/>
      <c r="AJ201" s="165"/>
      <c r="AK201" s="165"/>
    </row>
    <row r="202" spans="1:37" s="163" customFormat="1">
      <c r="B202" s="163" t="s">
        <v>518</v>
      </c>
      <c r="C202" s="295">
        <v>2000</v>
      </c>
      <c r="D202" s="163">
        <v>100</v>
      </c>
      <c r="E202" s="163">
        <v>12</v>
      </c>
      <c r="F202" s="178">
        <v>0</v>
      </c>
      <c r="G202" s="177" t="s">
        <v>491</v>
      </c>
      <c r="H202" s="163">
        <v>8</v>
      </c>
      <c r="I202" s="163">
        <f t="shared" si="135"/>
        <v>108</v>
      </c>
      <c r="L202" s="175">
        <v>6049.96</v>
      </c>
      <c r="M202" s="175">
        <v>0</v>
      </c>
      <c r="N202" s="175">
        <f t="shared" si="136"/>
        <v>6049.96</v>
      </c>
      <c r="O202" s="175">
        <f t="shared" si="137"/>
        <v>63.020416666666669</v>
      </c>
      <c r="P202" s="175">
        <f t="shared" si="138"/>
        <v>0</v>
      </c>
      <c r="Q202" s="175">
        <f t="shared" si="139"/>
        <v>0</v>
      </c>
      <c r="R202" s="175">
        <f t="shared" si="140"/>
        <v>0</v>
      </c>
      <c r="S202" s="176">
        <v>1</v>
      </c>
      <c r="T202" s="175">
        <f t="shared" si="141"/>
        <v>0</v>
      </c>
      <c r="U202" s="175">
        <f t="shared" si="142"/>
        <v>6049.96</v>
      </c>
      <c r="V202" s="175">
        <f t="shared" si="143"/>
        <v>6049.96</v>
      </c>
      <c r="W202" s="176">
        <v>1</v>
      </c>
      <c r="X202" s="175">
        <f t="shared" si="144"/>
        <v>6049.96</v>
      </c>
      <c r="Y202" s="175">
        <f t="shared" si="145"/>
        <v>6049.96</v>
      </c>
      <c r="Z202" s="175">
        <f t="shared" si="134"/>
        <v>0</v>
      </c>
      <c r="AA202" s="175">
        <f t="shared" si="146"/>
        <v>100.91666666666667</v>
      </c>
      <c r="AB202" s="175">
        <f t="shared" si="147"/>
        <v>118.25</v>
      </c>
      <c r="AC202" s="175">
        <f t="shared" si="148"/>
        <v>108.91666666666667</v>
      </c>
      <c r="AD202" s="175">
        <f t="shared" si="149"/>
        <v>117.25</v>
      </c>
      <c r="AE202" s="175">
        <f t="shared" si="150"/>
        <v>-8.3333333333333329E-2</v>
      </c>
      <c r="AF202" s="175">
        <f t="shared" si="151"/>
        <v>0</v>
      </c>
      <c r="AG202" s="168"/>
      <c r="AH202" s="168"/>
      <c r="AI202" s="168"/>
      <c r="AJ202" s="165"/>
      <c r="AK202" s="165"/>
    </row>
    <row r="203" spans="1:37" s="163" customFormat="1">
      <c r="B203" s="163" t="s">
        <v>518</v>
      </c>
      <c r="C203" s="295">
        <v>2001</v>
      </c>
      <c r="D203" s="163">
        <v>101</v>
      </c>
      <c r="E203" s="163">
        <v>6</v>
      </c>
      <c r="F203" s="178">
        <v>0</v>
      </c>
      <c r="G203" s="177" t="s">
        <v>491</v>
      </c>
      <c r="H203" s="163">
        <v>8</v>
      </c>
      <c r="I203" s="163">
        <f t="shared" si="135"/>
        <v>109</v>
      </c>
      <c r="L203" s="175">
        <v>5130.53</v>
      </c>
      <c r="M203" s="175">
        <v>0</v>
      </c>
      <c r="N203" s="175">
        <f t="shared" si="136"/>
        <v>5130.53</v>
      </c>
      <c r="O203" s="175">
        <f t="shared" si="137"/>
        <v>53.443020833333328</v>
      </c>
      <c r="P203" s="175">
        <f t="shared" si="138"/>
        <v>0</v>
      </c>
      <c r="Q203" s="175">
        <f t="shared" si="139"/>
        <v>0</v>
      </c>
      <c r="R203" s="175">
        <f t="shared" si="140"/>
        <v>0</v>
      </c>
      <c r="S203" s="176">
        <v>1</v>
      </c>
      <c r="T203" s="175">
        <f t="shared" si="141"/>
        <v>0</v>
      </c>
      <c r="U203" s="175">
        <f t="shared" si="142"/>
        <v>5130.53</v>
      </c>
      <c r="V203" s="175">
        <f t="shared" si="143"/>
        <v>5130.53</v>
      </c>
      <c r="W203" s="176">
        <v>1</v>
      </c>
      <c r="X203" s="175">
        <f t="shared" si="144"/>
        <v>5130.53</v>
      </c>
      <c r="Y203" s="175">
        <f t="shared" si="145"/>
        <v>5130.53</v>
      </c>
      <c r="Z203" s="175">
        <f t="shared" si="134"/>
        <v>0</v>
      </c>
      <c r="AA203" s="175">
        <f t="shared" si="146"/>
        <v>101.41666666666667</v>
      </c>
      <c r="AB203" s="175">
        <f t="shared" si="147"/>
        <v>118.25</v>
      </c>
      <c r="AC203" s="175">
        <f t="shared" si="148"/>
        <v>109.41666666666667</v>
      </c>
      <c r="AD203" s="175">
        <f t="shared" si="149"/>
        <v>117.25</v>
      </c>
      <c r="AE203" s="175">
        <f t="shared" si="150"/>
        <v>-8.3333333333333329E-2</v>
      </c>
      <c r="AF203" s="175">
        <f t="shared" si="151"/>
        <v>0</v>
      </c>
      <c r="AG203" s="168"/>
      <c r="AH203" s="168"/>
      <c r="AI203" s="168"/>
      <c r="AJ203" s="165"/>
      <c r="AK203" s="165"/>
    </row>
    <row r="204" spans="1:37" s="163" customFormat="1">
      <c r="B204" s="163" t="s">
        <v>522</v>
      </c>
      <c r="C204" s="295">
        <v>2001</v>
      </c>
      <c r="D204" s="163">
        <v>101</v>
      </c>
      <c r="E204" s="163">
        <v>8</v>
      </c>
      <c r="F204" s="178">
        <v>0</v>
      </c>
      <c r="G204" s="177" t="s">
        <v>491</v>
      </c>
      <c r="H204" s="163">
        <v>8</v>
      </c>
      <c r="I204" s="163">
        <f t="shared" si="135"/>
        <v>109</v>
      </c>
      <c r="L204" s="175">
        <v>2088.2600000000002</v>
      </c>
      <c r="M204" s="175">
        <v>0</v>
      </c>
      <c r="N204" s="175">
        <f t="shared" si="136"/>
        <v>2088.2600000000002</v>
      </c>
      <c r="O204" s="175">
        <f t="shared" si="137"/>
        <v>21.752708333333334</v>
      </c>
      <c r="P204" s="175">
        <f t="shared" si="138"/>
        <v>0</v>
      </c>
      <c r="Q204" s="175">
        <f t="shared" si="139"/>
        <v>0</v>
      </c>
      <c r="R204" s="175">
        <f t="shared" si="140"/>
        <v>0</v>
      </c>
      <c r="S204" s="176">
        <v>1</v>
      </c>
      <c r="T204" s="175">
        <f t="shared" si="141"/>
        <v>0</v>
      </c>
      <c r="U204" s="175">
        <f t="shared" si="142"/>
        <v>2088.2600000000002</v>
      </c>
      <c r="V204" s="175">
        <f t="shared" si="143"/>
        <v>2088.2600000000002</v>
      </c>
      <c r="W204" s="176">
        <v>1</v>
      </c>
      <c r="X204" s="175">
        <f t="shared" si="144"/>
        <v>2088.2600000000002</v>
      </c>
      <c r="Y204" s="175">
        <f t="shared" si="145"/>
        <v>2088.2600000000002</v>
      </c>
      <c r="Z204" s="175">
        <f t="shared" si="134"/>
        <v>0</v>
      </c>
      <c r="AA204" s="175">
        <f t="shared" si="146"/>
        <v>101.58333333333333</v>
      </c>
      <c r="AB204" s="175">
        <f t="shared" si="147"/>
        <v>118.25</v>
      </c>
      <c r="AC204" s="175">
        <f t="shared" si="148"/>
        <v>109.58333333333333</v>
      </c>
      <c r="AD204" s="175">
        <f t="shared" si="149"/>
        <v>117.25</v>
      </c>
      <c r="AE204" s="175">
        <f t="shared" si="150"/>
        <v>-8.3333333333333329E-2</v>
      </c>
      <c r="AF204" s="175">
        <f t="shared" si="151"/>
        <v>0</v>
      </c>
      <c r="AG204" s="168"/>
      <c r="AH204" s="168"/>
      <c r="AI204" s="168"/>
      <c r="AJ204" s="165"/>
      <c r="AK204" s="165"/>
    </row>
    <row r="205" spans="1:37" s="163" customFormat="1">
      <c r="B205" s="163" t="s">
        <v>527</v>
      </c>
      <c r="C205" s="295">
        <v>2001</v>
      </c>
      <c r="D205" s="163">
        <v>101</v>
      </c>
      <c r="E205" s="163">
        <v>11</v>
      </c>
      <c r="F205" s="178">
        <v>0</v>
      </c>
      <c r="G205" s="177" t="s">
        <v>491</v>
      </c>
      <c r="H205" s="163">
        <v>8</v>
      </c>
      <c r="I205" s="163">
        <f t="shared" si="135"/>
        <v>109</v>
      </c>
      <c r="L205" s="175">
        <v>60245.85</v>
      </c>
      <c r="M205" s="175">
        <v>0</v>
      </c>
      <c r="N205" s="175">
        <f t="shared" si="136"/>
        <v>60245.85</v>
      </c>
      <c r="O205" s="175">
        <f t="shared" si="137"/>
        <v>627.56093750000002</v>
      </c>
      <c r="P205" s="175">
        <f t="shared" si="138"/>
        <v>0</v>
      </c>
      <c r="Q205" s="175">
        <f t="shared" si="139"/>
        <v>0</v>
      </c>
      <c r="R205" s="175">
        <f t="shared" si="140"/>
        <v>0</v>
      </c>
      <c r="S205" s="176">
        <v>1</v>
      </c>
      <c r="T205" s="175">
        <f t="shared" si="141"/>
        <v>0</v>
      </c>
      <c r="U205" s="175">
        <f t="shared" si="142"/>
        <v>60245.85</v>
      </c>
      <c r="V205" s="175">
        <f t="shared" si="143"/>
        <v>60245.85</v>
      </c>
      <c r="W205" s="176">
        <v>1</v>
      </c>
      <c r="X205" s="175">
        <f t="shared" si="144"/>
        <v>60245.85</v>
      </c>
      <c r="Y205" s="175">
        <f t="shared" si="145"/>
        <v>60245.85</v>
      </c>
      <c r="Z205" s="175">
        <f t="shared" si="134"/>
        <v>0</v>
      </c>
      <c r="AA205" s="175">
        <f t="shared" si="146"/>
        <v>101.83333333333333</v>
      </c>
      <c r="AB205" s="175">
        <f t="shared" si="147"/>
        <v>118.25</v>
      </c>
      <c r="AC205" s="175">
        <f t="shared" si="148"/>
        <v>109.83333333333333</v>
      </c>
      <c r="AD205" s="175">
        <f t="shared" si="149"/>
        <v>117.25</v>
      </c>
      <c r="AE205" s="175">
        <f t="shared" si="150"/>
        <v>-8.3333333333333329E-2</v>
      </c>
      <c r="AF205" s="175">
        <f t="shared" si="151"/>
        <v>0</v>
      </c>
      <c r="AG205" s="168"/>
      <c r="AH205" s="168"/>
      <c r="AI205" s="168"/>
      <c r="AJ205" s="165"/>
      <c r="AK205" s="165"/>
    </row>
    <row r="206" spans="1:37" s="163" customFormat="1">
      <c r="B206" s="163" t="s">
        <v>526</v>
      </c>
      <c r="C206" s="295">
        <v>2002</v>
      </c>
      <c r="D206" s="163">
        <v>102</v>
      </c>
      <c r="E206" s="163">
        <v>6</v>
      </c>
      <c r="F206" s="178">
        <v>0</v>
      </c>
      <c r="G206" s="177" t="s">
        <v>491</v>
      </c>
      <c r="H206" s="163">
        <v>8</v>
      </c>
      <c r="I206" s="163">
        <f t="shared" si="135"/>
        <v>110</v>
      </c>
      <c r="L206" s="175">
        <v>4071.05</v>
      </c>
      <c r="M206" s="175">
        <v>0</v>
      </c>
      <c r="N206" s="175">
        <f t="shared" si="136"/>
        <v>4071.05</v>
      </c>
      <c r="O206" s="175">
        <f t="shared" si="137"/>
        <v>42.406770833333333</v>
      </c>
      <c r="P206" s="175">
        <f t="shared" si="138"/>
        <v>0</v>
      </c>
      <c r="Q206" s="175">
        <f t="shared" si="139"/>
        <v>0</v>
      </c>
      <c r="R206" s="175">
        <f t="shared" si="140"/>
        <v>0</v>
      </c>
      <c r="S206" s="176">
        <v>1</v>
      </c>
      <c r="T206" s="175">
        <f t="shared" si="141"/>
        <v>0</v>
      </c>
      <c r="U206" s="175">
        <f t="shared" si="142"/>
        <v>4071.05</v>
      </c>
      <c r="V206" s="175">
        <f t="shared" si="143"/>
        <v>4071.05</v>
      </c>
      <c r="W206" s="176">
        <v>1</v>
      </c>
      <c r="X206" s="175">
        <f t="shared" si="144"/>
        <v>4071.05</v>
      </c>
      <c r="Y206" s="175">
        <f t="shared" si="145"/>
        <v>4071.05</v>
      </c>
      <c r="Z206" s="175">
        <f t="shared" si="134"/>
        <v>0</v>
      </c>
      <c r="AA206" s="175">
        <f t="shared" si="146"/>
        <v>102.41666666666667</v>
      </c>
      <c r="AB206" s="175">
        <f t="shared" si="147"/>
        <v>118.25</v>
      </c>
      <c r="AC206" s="175">
        <f t="shared" si="148"/>
        <v>110.41666666666667</v>
      </c>
      <c r="AD206" s="175">
        <f t="shared" si="149"/>
        <v>117.25</v>
      </c>
      <c r="AE206" s="175">
        <f t="shared" si="150"/>
        <v>-8.3333333333333329E-2</v>
      </c>
      <c r="AF206" s="175">
        <f t="shared" si="151"/>
        <v>0</v>
      </c>
      <c r="AG206" s="168"/>
      <c r="AH206" s="168"/>
      <c r="AI206" s="168"/>
      <c r="AJ206" s="165"/>
      <c r="AK206" s="165"/>
    </row>
    <row r="207" spans="1:37" s="163" customFormat="1">
      <c r="B207" s="163" t="s">
        <v>521</v>
      </c>
      <c r="C207" s="295">
        <v>2002</v>
      </c>
      <c r="D207" s="163">
        <v>102</v>
      </c>
      <c r="E207" s="163">
        <v>8</v>
      </c>
      <c r="F207" s="178">
        <v>0</v>
      </c>
      <c r="G207" s="177" t="s">
        <v>491</v>
      </c>
      <c r="H207" s="163">
        <v>8</v>
      </c>
      <c r="I207" s="163">
        <f t="shared" si="135"/>
        <v>110</v>
      </c>
      <c r="L207" s="175">
        <v>3494.31</v>
      </c>
      <c r="M207" s="175">
        <v>0</v>
      </c>
      <c r="N207" s="175">
        <f t="shared" si="136"/>
        <v>3494.31</v>
      </c>
      <c r="O207" s="175">
        <f t="shared" si="137"/>
        <v>36.399062499999999</v>
      </c>
      <c r="P207" s="175">
        <f t="shared" si="138"/>
        <v>0</v>
      </c>
      <c r="Q207" s="175">
        <f t="shared" si="139"/>
        <v>0</v>
      </c>
      <c r="R207" s="175">
        <f t="shared" si="140"/>
        <v>0</v>
      </c>
      <c r="S207" s="176">
        <v>1</v>
      </c>
      <c r="T207" s="175">
        <f t="shared" si="141"/>
        <v>0</v>
      </c>
      <c r="U207" s="175">
        <f t="shared" si="142"/>
        <v>3494.31</v>
      </c>
      <c r="V207" s="175">
        <f t="shared" si="143"/>
        <v>3494.31</v>
      </c>
      <c r="W207" s="176">
        <v>1</v>
      </c>
      <c r="X207" s="175">
        <f t="shared" si="144"/>
        <v>3494.31</v>
      </c>
      <c r="Y207" s="175">
        <f t="shared" si="145"/>
        <v>3494.31</v>
      </c>
      <c r="Z207" s="175">
        <f t="shared" si="134"/>
        <v>0</v>
      </c>
      <c r="AA207" s="175">
        <f t="shared" si="146"/>
        <v>102.58333333333333</v>
      </c>
      <c r="AB207" s="175">
        <f t="shared" si="147"/>
        <v>118.25</v>
      </c>
      <c r="AC207" s="175">
        <f t="shared" si="148"/>
        <v>110.58333333333333</v>
      </c>
      <c r="AD207" s="175">
        <f t="shared" si="149"/>
        <v>117.25</v>
      </c>
      <c r="AE207" s="175">
        <f t="shared" si="150"/>
        <v>-8.3333333333333329E-2</v>
      </c>
      <c r="AF207" s="175">
        <f t="shared" si="151"/>
        <v>0</v>
      </c>
      <c r="AG207" s="168"/>
      <c r="AH207" s="168"/>
      <c r="AI207" s="168"/>
      <c r="AJ207" s="165"/>
      <c r="AK207" s="165"/>
    </row>
    <row r="208" spans="1:37" s="163" customFormat="1">
      <c r="B208" s="163" t="s">
        <v>525</v>
      </c>
      <c r="C208" s="295">
        <v>2002</v>
      </c>
      <c r="D208" s="163">
        <v>102</v>
      </c>
      <c r="E208" s="163">
        <v>12</v>
      </c>
      <c r="F208" s="178">
        <v>0</v>
      </c>
      <c r="G208" s="177" t="s">
        <v>491</v>
      </c>
      <c r="H208" s="163">
        <v>8</v>
      </c>
      <c r="I208" s="163">
        <f t="shared" si="135"/>
        <v>110</v>
      </c>
      <c r="L208" s="175">
        <v>5245.5</v>
      </c>
      <c r="M208" s="175">
        <v>0</v>
      </c>
      <c r="N208" s="175">
        <f t="shared" si="136"/>
        <v>5245.5</v>
      </c>
      <c r="O208" s="175">
        <f t="shared" si="137"/>
        <v>54.640625</v>
      </c>
      <c r="P208" s="175">
        <f t="shared" si="138"/>
        <v>0</v>
      </c>
      <c r="Q208" s="175">
        <f t="shared" si="139"/>
        <v>0</v>
      </c>
      <c r="R208" s="175">
        <f t="shared" si="140"/>
        <v>0</v>
      </c>
      <c r="S208" s="176">
        <v>1</v>
      </c>
      <c r="T208" s="175">
        <f t="shared" si="141"/>
        <v>0</v>
      </c>
      <c r="U208" s="175">
        <f t="shared" si="142"/>
        <v>5245.5</v>
      </c>
      <c r="V208" s="175">
        <f t="shared" si="143"/>
        <v>5245.5</v>
      </c>
      <c r="W208" s="176">
        <v>1</v>
      </c>
      <c r="X208" s="175">
        <f t="shared" si="144"/>
        <v>5245.5</v>
      </c>
      <c r="Y208" s="175">
        <f t="shared" si="145"/>
        <v>5245.5</v>
      </c>
      <c r="Z208" s="175">
        <f t="shared" si="134"/>
        <v>0</v>
      </c>
      <c r="AA208" s="175">
        <f t="shared" si="146"/>
        <v>102.91666666666667</v>
      </c>
      <c r="AB208" s="175">
        <f t="shared" si="147"/>
        <v>118.25</v>
      </c>
      <c r="AC208" s="175">
        <f t="shared" si="148"/>
        <v>110.91666666666667</v>
      </c>
      <c r="AD208" s="175">
        <f t="shared" si="149"/>
        <v>117.25</v>
      </c>
      <c r="AE208" s="175">
        <f t="shared" si="150"/>
        <v>-8.3333333333333329E-2</v>
      </c>
      <c r="AF208" s="175">
        <f t="shared" si="151"/>
        <v>0</v>
      </c>
      <c r="AG208" s="168"/>
      <c r="AH208" s="168"/>
      <c r="AI208" s="168"/>
      <c r="AJ208" s="165"/>
      <c r="AK208" s="165"/>
    </row>
    <row r="209" spans="2:37" s="163" customFormat="1">
      <c r="B209" s="163" t="s">
        <v>614</v>
      </c>
      <c r="C209" s="295">
        <v>2002</v>
      </c>
      <c r="D209" s="163">
        <v>102</v>
      </c>
      <c r="E209" s="163">
        <v>8</v>
      </c>
      <c r="F209" s="178">
        <v>0</v>
      </c>
      <c r="G209" s="177" t="s">
        <v>491</v>
      </c>
      <c r="H209" s="163">
        <v>8</v>
      </c>
      <c r="I209" s="163">
        <f t="shared" si="135"/>
        <v>110</v>
      </c>
      <c r="L209" s="175">
        <v>3967.76</v>
      </c>
      <c r="M209" s="175">
        <v>0</v>
      </c>
      <c r="N209" s="175">
        <f t="shared" si="136"/>
        <v>3967.76</v>
      </c>
      <c r="O209" s="175">
        <f t="shared" si="137"/>
        <v>41.330833333333338</v>
      </c>
      <c r="P209" s="175">
        <f t="shared" si="138"/>
        <v>0</v>
      </c>
      <c r="Q209" s="175">
        <f t="shared" si="139"/>
        <v>0</v>
      </c>
      <c r="R209" s="175">
        <f t="shared" si="140"/>
        <v>0</v>
      </c>
      <c r="S209" s="176">
        <v>1</v>
      </c>
      <c r="T209" s="175">
        <f t="shared" si="141"/>
        <v>0</v>
      </c>
      <c r="U209" s="175">
        <f t="shared" si="142"/>
        <v>3967.76</v>
      </c>
      <c r="V209" s="175">
        <f t="shared" si="143"/>
        <v>3967.76</v>
      </c>
      <c r="W209" s="176">
        <v>1</v>
      </c>
      <c r="X209" s="175">
        <f t="shared" si="144"/>
        <v>3967.76</v>
      </c>
      <c r="Y209" s="175">
        <f t="shared" si="145"/>
        <v>3967.76</v>
      </c>
      <c r="Z209" s="175">
        <f t="shared" si="134"/>
        <v>0</v>
      </c>
      <c r="AA209" s="175">
        <f t="shared" si="146"/>
        <v>102.58333333333333</v>
      </c>
      <c r="AB209" s="175">
        <f t="shared" si="147"/>
        <v>118.25</v>
      </c>
      <c r="AC209" s="175">
        <f t="shared" si="148"/>
        <v>110.58333333333333</v>
      </c>
      <c r="AD209" s="175">
        <f t="shared" si="149"/>
        <v>117.25</v>
      </c>
      <c r="AE209" s="175">
        <f t="shared" si="150"/>
        <v>-8.3333333333333329E-2</v>
      </c>
      <c r="AF209" s="175">
        <f t="shared" si="151"/>
        <v>0</v>
      </c>
      <c r="AG209" s="168"/>
      <c r="AH209" s="168"/>
      <c r="AI209" s="168"/>
      <c r="AJ209" s="165"/>
      <c r="AK209" s="165"/>
    </row>
    <row r="210" spans="2:37" s="163" customFormat="1">
      <c r="B210" s="163" t="s">
        <v>520</v>
      </c>
      <c r="C210" s="295">
        <v>2003</v>
      </c>
      <c r="D210" s="163">
        <v>103</v>
      </c>
      <c r="E210" s="163">
        <v>8</v>
      </c>
      <c r="F210" s="178">
        <v>0</v>
      </c>
      <c r="G210" s="177" t="s">
        <v>491</v>
      </c>
      <c r="H210" s="163">
        <v>8</v>
      </c>
      <c r="I210" s="163">
        <f t="shared" si="135"/>
        <v>111</v>
      </c>
      <c r="L210" s="175">
        <v>2227.86</v>
      </c>
      <c r="M210" s="175">
        <v>0</v>
      </c>
      <c r="N210" s="175">
        <f t="shared" si="136"/>
        <v>2227.86</v>
      </c>
      <c r="O210" s="175">
        <f t="shared" si="137"/>
        <v>23.206875</v>
      </c>
      <c r="P210" s="175">
        <f t="shared" si="138"/>
        <v>0</v>
      </c>
      <c r="Q210" s="175">
        <f t="shared" si="139"/>
        <v>0</v>
      </c>
      <c r="R210" s="175">
        <f t="shared" si="140"/>
        <v>0</v>
      </c>
      <c r="S210" s="176">
        <v>1</v>
      </c>
      <c r="T210" s="175">
        <f t="shared" si="141"/>
        <v>0</v>
      </c>
      <c r="U210" s="175">
        <f t="shared" si="142"/>
        <v>2227.86</v>
      </c>
      <c r="V210" s="175">
        <f t="shared" si="143"/>
        <v>2227.86</v>
      </c>
      <c r="W210" s="176">
        <v>1</v>
      </c>
      <c r="X210" s="175">
        <f t="shared" si="144"/>
        <v>2227.86</v>
      </c>
      <c r="Y210" s="175">
        <f t="shared" si="145"/>
        <v>2227.86</v>
      </c>
      <c r="Z210" s="175">
        <f t="shared" si="134"/>
        <v>0</v>
      </c>
      <c r="AA210" s="175">
        <f t="shared" si="146"/>
        <v>103.58333333333333</v>
      </c>
      <c r="AB210" s="175">
        <f t="shared" si="147"/>
        <v>118.25</v>
      </c>
      <c r="AC210" s="175">
        <f t="shared" si="148"/>
        <v>111.58333333333333</v>
      </c>
      <c r="AD210" s="175">
        <f t="shared" si="149"/>
        <v>117.25</v>
      </c>
      <c r="AE210" s="175">
        <f t="shared" si="150"/>
        <v>-8.3333333333333329E-2</v>
      </c>
      <c r="AF210" s="175">
        <f t="shared" si="151"/>
        <v>0</v>
      </c>
      <c r="AG210" s="168"/>
      <c r="AH210" s="168"/>
      <c r="AI210" s="168"/>
      <c r="AJ210" s="165"/>
      <c r="AK210" s="165"/>
    </row>
    <row r="211" spans="2:37" s="163" customFormat="1">
      <c r="B211" s="163" t="s">
        <v>521</v>
      </c>
      <c r="C211" s="295">
        <v>2003</v>
      </c>
      <c r="D211" s="163">
        <v>103</v>
      </c>
      <c r="E211" s="163">
        <v>8</v>
      </c>
      <c r="F211" s="178">
        <v>0</v>
      </c>
      <c r="G211" s="177" t="s">
        <v>491</v>
      </c>
      <c r="H211" s="163">
        <v>8</v>
      </c>
      <c r="I211" s="163">
        <f t="shared" si="135"/>
        <v>111</v>
      </c>
      <c r="L211" s="175">
        <v>1883</v>
      </c>
      <c r="M211" s="175">
        <v>0</v>
      </c>
      <c r="N211" s="175">
        <f t="shared" si="136"/>
        <v>1883</v>
      </c>
      <c r="O211" s="175">
        <f t="shared" si="137"/>
        <v>19.614583333333332</v>
      </c>
      <c r="P211" s="175">
        <f t="shared" si="138"/>
        <v>0</v>
      </c>
      <c r="Q211" s="175">
        <f t="shared" si="139"/>
        <v>0</v>
      </c>
      <c r="R211" s="175">
        <f t="shared" si="140"/>
        <v>0</v>
      </c>
      <c r="S211" s="176">
        <v>1</v>
      </c>
      <c r="T211" s="175">
        <f t="shared" si="141"/>
        <v>0</v>
      </c>
      <c r="U211" s="175">
        <f t="shared" si="142"/>
        <v>1883</v>
      </c>
      <c r="V211" s="175">
        <f t="shared" si="143"/>
        <v>1883</v>
      </c>
      <c r="W211" s="176">
        <v>1</v>
      </c>
      <c r="X211" s="175">
        <f t="shared" si="144"/>
        <v>1883</v>
      </c>
      <c r="Y211" s="175">
        <f t="shared" si="145"/>
        <v>1883</v>
      </c>
      <c r="Z211" s="175">
        <f t="shared" si="134"/>
        <v>0</v>
      </c>
      <c r="AA211" s="175">
        <f t="shared" si="146"/>
        <v>103.58333333333333</v>
      </c>
      <c r="AB211" s="175">
        <f t="shared" si="147"/>
        <v>118.25</v>
      </c>
      <c r="AC211" s="175">
        <f t="shared" si="148"/>
        <v>111.58333333333333</v>
      </c>
      <c r="AD211" s="175">
        <f t="shared" si="149"/>
        <v>117.25</v>
      </c>
      <c r="AE211" s="175">
        <f t="shared" si="150"/>
        <v>-8.3333333333333329E-2</v>
      </c>
      <c r="AF211" s="175">
        <f t="shared" si="151"/>
        <v>0</v>
      </c>
      <c r="AG211" s="168"/>
      <c r="AH211" s="168"/>
      <c r="AI211" s="168"/>
      <c r="AJ211" s="165"/>
      <c r="AK211" s="165"/>
    </row>
    <row r="212" spans="2:37" s="163" customFormat="1">
      <c r="B212" s="163" t="s">
        <v>522</v>
      </c>
      <c r="C212" s="295">
        <v>2003</v>
      </c>
      <c r="D212" s="163">
        <v>103</v>
      </c>
      <c r="E212" s="163">
        <v>8</v>
      </c>
      <c r="F212" s="178">
        <v>0</v>
      </c>
      <c r="G212" s="177" t="s">
        <v>491</v>
      </c>
      <c r="H212" s="163">
        <v>8</v>
      </c>
      <c r="I212" s="163">
        <f t="shared" si="135"/>
        <v>111</v>
      </c>
      <c r="L212" s="175">
        <v>1748.5</v>
      </c>
      <c r="M212" s="175">
        <v>0</v>
      </c>
      <c r="N212" s="175">
        <f t="shared" si="136"/>
        <v>1748.5</v>
      </c>
      <c r="O212" s="175">
        <f t="shared" si="137"/>
        <v>18.213541666666668</v>
      </c>
      <c r="P212" s="175">
        <f t="shared" si="138"/>
        <v>0</v>
      </c>
      <c r="Q212" s="175">
        <f t="shared" si="139"/>
        <v>0</v>
      </c>
      <c r="R212" s="175">
        <f t="shared" si="140"/>
        <v>0</v>
      </c>
      <c r="S212" s="176">
        <v>1</v>
      </c>
      <c r="T212" s="175">
        <f t="shared" si="141"/>
        <v>0</v>
      </c>
      <c r="U212" s="175">
        <f t="shared" si="142"/>
        <v>1748.5</v>
      </c>
      <c r="V212" s="175">
        <f t="shared" si="143"/>
        <v>1748.5</v>
      </c>
      <c r="W212" s="176">
        <v>1</v>
      </c>
      <c r="X212" s="175">
        <f t="shared" si="144"/>
        <v>1748.5</v>
      </c>
      <c r="Y212" s="175">
        <f t="shared" si="145"/>
        <v>1748.5</v>
      </c>
      <c r="Z212" s="175">
        <f t="shared" si="134"/>
        <v>0</v>
      </c>
      <c r="AA212" s="175">
        <f t="shared" si="146"/>
        <v>103.58333333333333</v>
      </c>
      <c r="AB212" s="175">
        <f t="shared" si="147"/>
        <v>118.25</v>
      </c>
      <c r="AC212" s="175">
        <f t="shared" si="148"/>
        <v>111.58333333333333</v>
      </c>
      <c r="AD212" s="175">
        <f t="shared" si="149"/>
        <v>117.25</v>
      </c>
      <c r="AE212" s="175">
        <f t="shared" si="150"/>
        <v>-8.3333333333333329E-2</v>
      </c>
      <c r="AF212" s="175">
        <f t="shared" si="151"/>
        <v>0</v>
      </c>
      <c r="AG212" s="168"/>
      <c r="AH212" s="168"/>
      <c r="AI212" s="168"/>
      <c r="AJ212" s="165"/>
      <c r="AK212" s="165"/>
    </row>
    <row r="213" spans="2:37" s="163" customFormat="1">
      <c r="B213" s="163" t="s">
        <v>518</v>
      </c>
      <c r="C213" s="295">
        <v>2003</v>
      </c>
      <c r="D213" s="163">
        <v>103</v>
      </c>
      <c r="E213" s="163">
        <v>9</v>
      </c>
      <c r="F213" s="178">
        <v>0</v>
      </c>
      <c r="G213" s="177" t="s">
        <v>491</v>
      </c>
      <c r="H213" s="163">
        <v>8</v>
      </c>
      <c r="I213" s="163">
        <f t="shared" si="135"/>
        <v>111</v>
      </c>
      <c r="L213" s="175">
        <v>5564.84</v>
      </c>
      <c r="M213" s="175">
        <v>0</v>
      </c>
      <c r="N213" s="175">
        <f t="shared" si="136"/>
        <v>5564.84</v>
      </c>
      <c r="O213" s="175">
        <f t="shared" si="137"/>
        <v>57.967083333333335</v>
      </c>
      <c r="P213" s="175">
        <f t="shared" si="138"/>
        <v>0</v>
      </c>
      <c r="Q213" s="175">
        <f t="shared" si="139"/>
        <v>0</v>
      </c>
      <c r="R213" s="175">
        <f t="shared" si="140"/>
        <v>0</v>
      </c>
      <c r="S213" s="176">
        <v>1</v>
      </c>
      <c r="T213" s="175">
        <f t="shared" si="141"/>
        <v>0</v>
      </c>
      <c r="U213" s="175">
        <f t="shared" si="142"/>
        <v>5564.84</v>
      </c>
      <c r="V213" s="175">
        <f t="shared" si="143"/>
        <v>5564.84</v>
      </c>
      <c r="W213" s="176">
        <v>1</v>
      </c>
      <c r="X213" s="175">
        <f t="shared" si="144"/>
        <v>5564.84</v>
      </c>
      <c r="Y213" s="175">
        <f t="shared" si="145"/>
        <v>5564.84</v>
      </c>
      <c r="Z213" s="175">
        <f t="shared" si="134"/>
        <v>0</v>
      </c>
      <c r="AA213" s="175">
        <f t="shared" si="146"/>
        <v>103.66666666666667</v>
      </c>
      <c r="AB213" s="175">
        <f t="shared" si="147"/>
        <v>118.25</v>
      </c>
      <c r="AC213" s="175">
        <f t="shared" si="148"/>
        <v>111.66666666666667</v>
      </c>
      <c r="AD213" s="175">
        <f t="shared" si="149"/>
        <v>117.25</v>
      </c>
      <c r="AE213" s="175">
        <f t="shared" si="150"/>
        <v>-8.3333333333333329E-2</v>
      </c>
      <c r="AF213" s="175">
        <f t="shared" si="151"/>
        <v>0</v>
      </c>
      <c r="AG213" s="168"/>
      <c r="AH213" s="168"/>
      <c r="AI213" s="168"/>
      <c r="AJ213" s="165"/>
      <c r="AK213" s="165"/>
    </row>
    <row r="214" spans="2:37" s="163" customFormat="1">
      <c r="B214" s="163" t="s">
        <v>517</v>
      </c>
      <c r="C214" s="295">
        <v>2003</v>
      </c>
      <c r="D214" s="163">
        <v>103</v>
      </c>
      <c r="E214" s="163">
        <v>10</v>
      </c>
      <c r="F214" s="178">
        <v>0</v>
      </c>
      <c r="G214" s="177" t="s">
        <v>491</v>
      </c>
      <c r="H214" s="163">
        <v>8</v>
      </c>
      <c r="I214" s="163">
        <f t="shared" si="135"/>
        <v>111</v>
      </c>
      <c r="L214" s="175">
        <v>5003.3999999999996</v>
      </c>
      <c r="M214" s="175">
        <v>0</v>
      </c>
      <c r="N214" s="175">
        <f t="shared" si="136"/>
        <v>5003.3999999999996</v>
      </c>
      <c r="O214" s="175">
        <f t="shared" si="137"/>
        <v>52.118749999999999</v>
      </c>
      <c r="P214" s="175">
        <f t="shared" si="138"/>
        <v>0</v>
      </c>
      <c r="Q214" s="175">
        <f t="shared" si="139"/>
        <v>0</v>
      </c>
      <c r="R214" s="175">
        <f t="shared" si="140"/>
        <v>0</v>
      </c>
      <c r="S214" s="176">
        <v>1</v>
      </c>
      <c r="T214" s="175">
        <f t="shared" si="141"/>
        <v>0</v>
      </c>
      <c r="U214" s="175">
        <f t="shared" si="142"/>
        <v>5003.3999999999996</v>
      </c>
      <c r="V214" s="175">
        <f t="shared" si="143"/>
        <v>5003.3999999999996</v>
      </c>
      <c r="W214" s="176">
        <v>1</v>
      </c>
      <c r="X214" s="175">
        <f t="shared" si="144"/>
        <v>5003.3999999999996</v>
      </c>
      <c r="Y214" s="175">
        <f t="shared" si="145"/>
        <v>5003.3999999999996</v>
      </c>
      <c r="Z214" s="175">
        <f t="shared" si="134"/>
        <v>0</v>
      </c>
      <c r="AA214" s="175">
        <f t="shared" si="146"/>
        <v>103.75</v>
      </c>
      <c r="AB214" s="175">
        <f t="shared" si="147"/>
        <v>118.25</v>
      </c>
      <c r="AC214" s="175">
        <f t="shared" si="148"/>
        <v>111.75</v>
      </c>
      <c r="AD214" s="175">
        <f t="shared" si="149"/>
        <v>117.25</v>
      </c>
      <c r="AE214" s="175">
        <f t="shared" si="150"/>
        <v>-8.3333333333333329E-2</v>
      </c>
      <c r="AF214" s="175">
        <f t="shared" si="151"/>
        <v>0</v>
      </c>
      <c r="AG214" s="168"/>
      <c r="AH214" s="168"/>
      <c r="AI214" s="168"/>
      <c r="AJ214" s="165"/>
      <c r="AK214" s="165"/>
    </row>
    <row r="215" spans="2:37" s="163" customFormat="1">
      <c r="B215" s="163" t="s">
        <v>517</v>
      </c>
      <c r="C215" s="295">
        <v>2003</v>
      </c>
      <c r="D215" s="163">
        <v>103</v>
      </c>
      <c r="E215" s="163">
        <v>12</v>
      </c>
      <c r="F215" s="178">
        <v>0</v>
      </c>
      <c r="G215" s="177" t="s">
        <v>491</v>
      </c>
      <c r="H215" s="163">
        <v>8</v>
      </c>
      <c r="I215" s="163">
        <f t="shared" si="135"/>
        <v>111</v>
      </c>
      <c r="L215" s="175">
        <v>3766</v>
      </c>
      <c r="M215" s="175">
        <v>0</v>
      </c>
      <c r="N215" s="175">
        <f t="shared" si="136"/>
        <v>3766</v>
      </c>
      <c r="O215" s="175">
        <f t="shared" si="137"/>
        <v>39.229166666666664</v>
      </c>
      <c r="P215" s="175">
        <f t="shared" si="138"/>
        <v>0</v>
      </c>
      <c r="Q215" s="175">
        <f t="shared" si="139"/>
        <v>0</v>
      </c>
      <c r="R215" s="175">
        <f t="shared" si="140"/>
        <v>0</v>
      </c>
      <c r="S215" s="176">
        <v>1</v>
      </c>
      <c r="T215" s="175">
        <f t="shared" si="141"/>
        <v>0</v>
      </c>
      <c r="U215" s="175">
        <f t="shared" si="142"/>
        <v>3766</v>
      </c>
      <c r="V215" s="175">
        <f t="shared" si="143"/>
        <v>3766</v>
      </c>
      <c r="W215" s="176">
        <v>1</v>
      </c>
      <c r="X215" s="175">
        <f t="shared" si="144"/>
        <v>3766</v>
      </c>
      <c r="Y215" s="175">
        <f t="shared" si="145"/>
        <v>3766</v>
      </c>
      <c r="Z215" s="175">
        <f t="shared" si="134"/>
        <v>0</v>
      </c>
      <c r="AA215" s="175">
        <f t="shared" si="146"/>
        <v>103.91666666666667</v>
      </c>
      <c r="AB215" s="175">
        <f t="shared" si="147"/>
        <v>118.25</v>
      </c>
      <c r="AC215" s="175">
        <f t="shared" si="148"/>
        <v>111.91666666666667</v>
      </c>
      <c r="AD215" s="175">
        <f t="shared" si="149"/>
        <v>117.25</v>
      </c>
      <c r="AE215" s="175">
        <f t="shared" si="150"/>
        <v>-8.3333333333333329E-2</v>
      </c>
      <c r="AF215" s="175">
        <f t="shared" si="151"/>
        <v>0</v>
      </c>
      <c r="AG215" s="168"/>
      <c r="AH215" s="168"/>
      <c r="AI215" s="168"/>
      <c r="AJ215" s="165"/>
      <c r="AK215" s="165"/>
    </row>
    <row r="216" spans="2:37" s="163" customFormat="1">
      <c r="B216" s="163" t="s">
        <v>519</v>
      </c>
      <c r="C216" s="295">
        <v>2004</v>
      </c>
      <c r="D216" s="163">
        <v>104</v>
      </c>
      <c r="E216" s="163">
        <v>1</v>
      </c>
      <c r="F216" s="178">
        <v>0</v>
      </c>
      <c r="G216" s="177" t="s">
        <v>491</v>
      </c>
      <c r="H216" s="163">
        <v>8</v>
      </c>
      <c r="I216" s="163">
        <f t="shared" si="135"/>
        <v>112</v>
      </c>
      <c r="L216" s="175">
        <v>5353.62</v>
      </c>
      <c r="M216" s="175">
        <v>0</v>
      </c>
      <c r="N216" s="175">
        <f t="shared" si="136"/>
        <v>5353.62</v>
      </c>
      <c r="O216" s="175">
        <f t="shared" si="137"/>
        <v>55.766874999999999</v>
      </c>
      <c r="P216" s="175">
        <f t="shared" si="138"/>
        <v>0</v>
      </c>
      <c r="Q216" s="175">
        <f t="shared" si="139"/>
        <v>0</v>
      </c>
      <c r="R216" s="175">
        <f t="shared" si="140"/>
        <v>0</v>
      </c>
      <c r="S216" s="176">
        <v>1</v>
      </c>
      <c r="T216" s="175">
        <f t="shared" si="141"/>
        <v>0</v>
      </c>
      <c r="U216" s="175">
        <f t="shared" si="142"/>
        <v>5353.62</v>
      </c>
      <c r="V216" s="175">
        <f t="shared" si="143"/>
        <v>5353.62</v>
      </c>
      <c r="W216" s="176">
        <v>1</v>
      </c>
      <c r="X216" s="175">
        <f t="shared" si="144"/>
        <v>5353.62</v>
      </c>
      <c r="Y216" s="175">
        <f t="shared" si="145"/>
        <v>5353.62</v>
      </c>
      <c r="Z216" s="175">
        <f t="shared" si="134"/>
        <v>0</v>
      </c>
      <c r="AA216" s="175">
        <f t="shared" si="146"/>
        <v>104</v>
      </c>
      <c r="AB216" s="175">
        <f t="shared" si="147"/>
        <v>118.25</v>
      </c>
      <c r="AC216" s="175">
        <f t="shared" si="148"/>
        <v>112</v>
      </c>
      <c r="AD216" s="175">
        <f t="shared" si="149"/>
        <v>117.25</v>
      </c>
      <c r="AE216" s="175">
        <f t="shared" si="150"/>
        <v>-8.3333333333333329E-2</v>
      </c>
      <c r="AF216" s="175">
        <f t="shared" si="151"/>
        <v>0</v>
      </c>
      <c r="AG216" s="168"/>
      <c r="AH216" s="168"/>
      <c r="AI216" s="168"/>
      <c r="AJ216" s="165"/>
      <c r="AK216" s="165"/>
    </row>
    <row r="217" spans="2:37" s="163" customFormat="1">
      <c r="B217" s="163" t="s">
        <v>518</v>
      </c>
      <c r="C217" s="295">
        <v>2004</v>
      </c>
      <c r="D217" s="163">
        <v>104</v>
      </c>
      <c r="E217" s="163">
        <v>5</v>
      </c>
      <c r="F217" s="178">
        <v>0</v>
      </c>
      <c r="G217" s="177" t="s">
        <v>491</v>
      </c>
      <c r="H217" s="163">
        <v>8</v>
      </c>
      <c r="I217" s="163">
        <f t="shared" si="135"/>
        <v>112</v>
      </c>
      <c r="L217" s="175">
        <v>4455.72</v>
      </c>
      <c r="M217" s="175">
        <v>0</v>
      </c>
      <c r="N217" s="175">
        <f t="shared" si="136"/>
        <v>4455.72</v>
      </c>
      <c r="O217" s="175">
        <f t="shared" si="137"/>
        <v>46.41375</v>
      </c>
      <c r="P217" s="175">
        <f t="shared" si="138"/>
        <v>0</v>
      </c>
      <c r="Q217" s="175">
        <f t="shared" si="139"/>
        <v>0</v>
      </c>
      <c r="R217" s="175">
        <f t="shared" si="140"/>
        <v>0</v>
      </c>
      <c r="S217" s="176">
        <v>1</v>
      </c>
      <c r="T217" s="175">
        <f t="shared" si="141"/>
        <v>0</v>
      </c>
      <c r="U217" s="175">
        <f t="shared" si="142"/>
        <v>4455.72</v>
      </c>
      <c r="V217" s="175">
        <f t="shared" si="143"/>
        <v>4455.72</v>
      </c>
      <c r="W217" s="176">
        <v>1</v>
      </c>
      <c r="X217" s="175">
        <f t="shared" si="144"/>
        <v>4455.72</v>
      </c>
      <c r="Y217" s="175">
        <f t="shared" si="145"/>
        <v>4455.72</v>
      </c>
      <c r="Z217" s="175">
        <f t="shared" si="134"/>
        <v>0</v>
      </c>
      <c r="AA217" s="175">
        <f t="shared" si="146"/>
        <v>104.33333333333333</v>
      </c>
      <c r="AB217" s="175">
        <f t="shared" si="147"/>
        <v>118.25</v>
      </c>
      <c r="AC217" s="175">
        <f t="shared" si="148"/>
        <v>112.33333333333333</v>
      </c>
      <c r="AD217" s="175">
        <f t="shared" si="149"/>
        <v>117.25</v>
      </c>
      <c r="AE217" s="175">
        <f t="shared" si="150"/>
        <v>-8.3333333333333329E-2</v>
      </c>
      <c r="AF217" s="175">
        <f t="shared" si="151"/>
        <v>0</v>
      </c>
      <c r="AG217" s="168"/>
      <c r="AH217" s="168"/>
      <c r="AI217" s="168"/>
      <c r="AJ217" s="165"/>
      <c r="AK217" s="165"/>
    </row>
    <row r="218" spans="2:37" s="163" customFormat="1">
      <c r="B218" s="163" t="s">
        <v>518</v>
      </c>
      <c r="C218" s="295">
        <v>2004</v>
      </c>
      <c r="D218" s="163">
        <v>104</v>
      </c>
      <c r="E218" s="163">
        <v>5</v>
      </c>
      <c r="F218" s="178">
        <v>0</v>
      </c>
      <c r="G218" s="177" t="s">
        <v>491</v>
      </c>
      <c r="H218" s="163">
        <v>8</v>
      </c>
      <c r="I218" s="163">
        <f t="shared" si="135"/>
        <v>112</v>
      </c>
      <c r="L218" s="175">
        <v>4455.71</v>
      </c>
      <c r="M218" s="175">
        <v>0</v>
      </c>
      <c r="N218" s="175">
        <f t="shared" si="136"/>
        <v>4455.71</v>
      </c>
      <c r="O218" s="175">
        <f t="shared" si="137"/>
        <v>46.413645833333334</v>
      </c>
      <c r="P218" s="175">
        <f t="shared" si="138"/>
        <v>0</v>
      </c>
      <c r="Q218" s="175">
        <f t="shared" si="139"/>
        <v>0</v>
      </c>
      <c r="R218" s="175">
        <f t="shared" si="140"/>
        <v>0</v>
      </c>
      <c r="S218" s="176">
        <v>1</v>
      </c>
      <c r="T218" s="175">
        <f t="shared" si="141"/>
        <v>0</v>
      </c>
      <c r="U218" s="175">
        <f t="shared" si="142"/>
        <v>4455.71</v>
      </c>
      <c r="V218" s="175">
        <f t="shared" si="143"/>
        <v>4455.71</v>
      </c>
      <c r="W218" s="176">
        <v>1</v>
      </c>
      <c r="X218" s="175">
        <f t="shared" si="144"/>
        <v>4455.71</v>
      </c>
      <c r="Y218" s="175">
        <f t="shared" si="145"/>
        <v>4455.71</v>
      </c>
      <c r="Z218" s="175">
        <f t="shared" si="134"/>
        <v>0</v>
      </c>
      <c r="AA218" s="175">
        <f t="shared" si="146"/>
        <v>104.33333333333333</v>
      </c>
      <c r="AB218" s="175">
        <f t="shared" si="147"/>
        <v>118.25</v>
      </c>
      <c r="AC218" s="175">
        <f t="shared" si="148"/>
        <v>112.33333333333333</v>
      </c>
      <c r="AD218" s="175">
        <f t="shared" si="149"/>
        <v>117.25</v>
      </c>
      <c r="AE218" s="175">
        <f t="shared" si="150"/>
        <v>-8.3333333333333329E-2</v>
      </c>
      <c r="AF218" s="175">
        <f t="shared" si="151"/>
        <v>0</v>
      </c>
      <c r="AG218" s="168"/>
      <c r="AH218" s="168"/>
      <c r="AI218" s="168"/>
      <c r="AJ218" s="165"/>
      <c r="AK218" s="165"/>
    </row>
    <row r="219" spans="2:37" s="163" customFormat="1">
      <c r="B219" s="163" t="s">
        <v>524</v>
      </c>
      <c r="C219" s="295">
        <v>2004</v>
      </c>
      <c r="D219" s="163">
        <v>104</v>
      </c>
      <c r="E219" s="163">
        <v>7</v>
      </c>
      <c r="F219" s="178">
        <v>0</v>
      </c>
      <c r="G219" s="177" t="s">
        <v>491</v>
      </c>
      <c r="H219" s="163">
        <v>8</v>
      </c>
      <c r="I219" s="163">
        <f t="shared" si="135"/>
        <v>112</v>
      </c>
      <c r="L219" s="175">
        <v>7101.6</v>
      </c>
      <c r="M219" s="175">
        <v>0</v>
      </c>
      <c r="N219" s="175">
        <f t="shared" si="136"/>
        <v>7101.6</v>
      </c>
      <c r="O219" s="175">
        <f t="shared" si="137"/>
        <v>73.975000000000009</v>
      </c>
      <c r="P219" s="175">
        <f t="shared" si="138"/>
        <v>0</v>
      </c>
      <c r="Q219" s="175">
        <f t="shared" si="139"/>
        <v>0</v>
      </c>
      <c r="R219" s="175">
        <f t="shared" si="140"/>
        <v>0</v>
      </c>
      <c r="S219" s="176">
        <v>1</v>
      </c>
      <c r="T219" s="175">
        <f t="shared" si="141"/>
        <v>0</v>
      </c>
      <c r="U219" s="175">
        <f t="shared" si="142"/>
        <v>7101.6</v>
      </c>
      <c r="V219" s="175">
        <f t="shared" si="143"/>
        <v>7101.6</v>
      </c>
      <c r="W219" s="176">
        <v>1</v>
      </c>
      <c r="X219" s="175">
        <f t="shared" si="144"/>
        <v>7101.6</v>
      </c>
      <c r="Y219" s="175">
        <f t="shared" si="145"/>
        <v>7101.6</v>
      </c>
      <c r="Z219" s="175">
        <f t="shared" si="134"/>
        <v>0</v>
      </c>
      <c r="AA219" s="175">
        <f t="shared" si="146"/>
        <v>104.5</v>
      </c>
      <c r="AB219" s="175">
        <f t="shared" si="147"/>
        <v>118.25</v>
      </c>
      <c r="AC219" s="175">
        <f t="shared" si="148"/>
        <v>112.5</v>
      </c>
      <c r="AD219" s="175">
        <f t="shared" si="149"/>
        <v>117.25</v>
      </c>
      <c r="AE219" s="175">
        <f t="shared" si="150"/>
        <v>-8.3333333333333329E-2</v>
      </c>
      <c r="AF219" s="175">
        <f t="shared" si="151"/>
        <v>0</v>
      </c>
      <c r="AG219" s="168"/>
      <c r="AH219" s="168"/>
      <c r="AI219" s="168"/>
      <c r="AJ219" s="165"/>
      <c r="AK219" s="165"/>
    </row>
    <row r="220" spans="2:37" s="163" customFormat="1">
      <c r="B220" s="163" t="s">
        <v>518</v>
      </c>
      <c r="C220" s="295">
        <v>2004</v>
      </c>
      <c r="D220" s="163">
        <v>104</v>
      </c>
      <c r="E220" s="163">
        <v>8</v>
      </c>
      <c r="F220" s="178">
        <v>0</v>
      </c>
      <c r="G220" s="177" t="s">
        <v>491</v>
      </c>
      <c r="H220" s="163">
        <v>8</v>
      </c>
      <c r="I220" s="163">
        <f t="shared" si="135"/>
        <v>112</v>
      </c>
      <c r="L220" s="175">
        <v>5370.32</v>
      </c>
      <c r="M220" s="175">
        <v>0</v>
      </c>
      <c r="N220" s="175">
        <f t="shared" si="136"/>
        <v>5370.32</v>
      </c>
      <c r="O220" s="175">
        <f t="shared" si="137"/>
        <v>55.94083333333333</v>
      </c>
      <c r="P220" s="175">
        <f t="shared" si="138"/>
        <v>0</v>
      </c>
      <c r="Q220" s="175">
        <f t="shared" si="139"/>
        <v>0</v>
      </c>
      <c r="R220" s="175">
        <f t="shared" si="140"/>
        <v>0</v>
      </c>
      <c r="S220" s="176">
        <v>1</v>
      </c>
      <c r="T220" s="175">
        <f t="shared" si="141"/>
        <v>0</v>
      </c>
      <c r="U220" s="175">
        <f t="shared" si="142"/>
        <v>5370.32</v>
      </c>
      <c r="V220" s="175">
        <f t="shared" si="143"/>
        <v>5370.32</v>
      </c>
      <c r="W220" s="176">
        <v>1</v>
      </c>
      <c r="X220" s="175">
        <f t="shared" si="144"/>
        <v>5370.32</v>
      </c>
      <c r="Y220" s="175">
        <f t="shared" si="145"/>
        <v>5370.32</v>
      </c>
      <c r="Z220" s="175">
        <f t="shared" si="134"/>
        <v>0</v>
      </c>
      <c r="AA220" s="175">
        <f t="shared" si="146"/>
        <v>104.58333333333333</v>
      </c>
      <c r="AB220" s="175">
        <f t="shared" si="147"/>
        <v>118.25</v>
      </c>
      <c r="AC220" s="175">
        <f t="shared" si="148"/>
        <v>112.58333333333333</v>
      </c>
      <c r="AD220" s="175">
        <f t="shared" si="149"/>
        <v>117.25</v>
      </c>
      <c r="AE220" s="175">
        <f t="shared" si="150"/>
        <v>-8.3333333333333329E-2</v>
      </c>
      <c r="AF220" s="175">
        <f t="shared" si="151"/>
        <v>0</v>
      </c>
      <c r="AG220" s="168"/>
      <c r="AH220" s="168"/>
      <c r="AI220" s="168"/>
      <c r="AJ220" s="165"/>
      <c r="AK220" s="165"/>
    </row>
    <row r="221" spans="2:37" s="163" customFormat="1">
      <c r="B221" s="163" t="s">
        <v>517</v>
      </c>
      <c r="C221" s="295">
        <v>2004</v>
      </c>
      <c r="D221" s="163">
        <v>104</v>
      </c>
      <c r="E221" s="163">
        <v>9</v>
      </c>
      <c r="F221" s="178">
        <v>0</v>
      </c>
      <c r="G221" s="177" t="s">
        <v>491</v>
      </c>
      <c r="H221" s="163">
        <v>8</v>
      </c>
      <c r="I221" s="163">
        <f t="shared" si="135"/>
        <v>112</v>
      </c>
      <c r="L221" s="175">
        <v>3766</v>
      </c>
      <c r="M221" s="175">
        <v>0</v>
      </c>
      <c r="N221" s="175">
        <f t="shared" si="136"/>
        <v>3766</v>
      </c>
      <c r="O221" s="175">
        <f t="shared" si="137"/>
        <v>39.229166666666664</v>
      </c>
      <c r="P221" s="175">
        <f t="shared" si="138"/>
        <v>0</v>
      </c>
      <c r="Q221" s="175">
        <f t="shared" si="139"/>
        <v>0</v>
      </c>
      <c r="R221" s="175">
        <f t="shared" si="140"/>
        <v>0</v>
      </c>
      <c r="S221" s="176">
        <v>1</v>
      </c>
      <c r="T221" s="175">
        <f t="shared" si="141"/>
        <v>0</v>
      </c>
      <c r="U221" s="175">
        <f t="shared" si="142"/>
        <v>3766</v>
      </c>
      <c r="V221" s="175">
        <f t="shared" si="143"/>
        <v>3766</v>
      </c>
      <c r="W221" s="176">
        <v>1</v>
      </c>
      <c r="X221" s="175">
        <f t="shared" si="144"/>
        <v>3766</v>
      </c>
      <c r="Y221" s="175">
        <f t="shared" si="145"/>
        <v>3766</v>
      </c>
      <c r="Z221" s="175">
        <f t="shared" si="134"/>
        <v>0</v>
      </c>
      <c r="AA221" s="175">
        <f t="shared" si="146"/>
        <v>104.66666666666667</v>
      </c>
      <c r="AB221" s="175">
        <f t="shared" si="147"/>
        <v>118.25</v>
      </c>
      <c r="AC221" s="175">
        <f t="shared" si="148"/>
        <v>112.66666666666667</v>
      </c>
      <c r="AD221" s="175">
        <f t="shared" si="149"/>
        <v>117.25</v>
      </c>
      <c r="AE221" s="175">
        <f t="shared" si="150"/>
        <v>-8.3333333333333329E-2</v>
      </c>
      <c r="AF221" s="175">
        <f t="shared" si="151"/>
        <v>0</v>
      </c>
      <c r="AG221" s="168"/>
      <c r="AH221" s="168"/>
      <c r="AI221" s="168"/>
      <c r="AJ221" s="165"/>
      <c r="AK221" s="165"/>
    </row>
    <row r="222" spans="2:37" s="163" customFormat="1">
      <c r="B222" s="163" t="s">
        <v>518</v>
      </c>
      <c r="C222" s="295">
        <v>2004</v>
      </c>
      <c r="D222" s="163">
        <v>104</v>
      </c>
      <c r="E222" s="163">
        <v>10</v>
      </c>
      <c r="F222" s="178">
        <v>0</v>
      </c>
      <c r="G222" s="177" t="s">
        <v>491</v>
      </c>
      <c r="H222" s="163">
        <v>8</v>
      </c>
      <c r="I222" s="163">
        <f t="shared" si="135"/>
        <v>112</v>
      </c>
      <c r="L222" s="175">
        <v>5477.92</v>
      </c>
      <c r="M222" s="175">
        <v>0</v>
      </c>
      <c r="N222" s="175">
        <f t="shared" si="136"/>
        <v>5477.92</v>
      </c>
      <c r="O222" s="175">
        <f t="shared" si="137"/>
        <v>57.061666666666667</v>
      </c>
      <c r="P222" s="175">
        <f t="shared" si="138"/>
        <v>0</v>
      </c>
      <c r="Q222" s="175">
        <f t="shared" si="139"/>
        <v>0</v>
      </c>
      <c r="R222" s="175">
        <f t="shared" si="140"/>
        <v>0</v>
      </c>
      <c r="S222" s="176">
        <v>1</v>
      </c>
      <c r="T222" s="175">
        <f t="shared" si="141"/>
        <v>0</v>
      </c>
      <c r="U222" s="175">
        <f t="shared" si="142"/>
        <v>5477.92</v>
      </c>
      <c r="V222" s="175">
        <f t="shared" si="143"/>
        <v>5477.92</v>
      </c>
      <c r="W222" s="176">
        <v>1</v>
      </c>
      <c r="X222" s="175">
        <f t="shared" si="144"/>
        <v>5477.92</v>
      </c>
      <c r="Y222" s="175">
        <f t="shared" si="145"/>
        <v>5477.92</v>
      </c>
      <c r="Z222" s="175">
        <f t="shared" si="134"/>
        <v>0</v>
      </c>
      <c r="AA222" s="175">
        <f t="shared" si="146"/>
        <v>104.75</v>
      </c>
      <c r="AB222" s="175">
        <f t="shared" si="147"/>
        <v>118.25</v>
      </c>
      <c r="AC222" s="175">
        <f t="shared" si="148"/>
        <v>112.75</v>
      </c>
      <c r="AD222" s="175">
        <f t="shared" si="149"/>
        <v>117.25</v>
      </c>
      <c r="AE222" s="175">
        <f t="shared" si="150"/>
        <v>-8.3333333333333329E-2</v>
      </c>
      <c r="AF222" s="175">
        <f t="shared" si="151"/>
        <v>0</v>
      </c>
      <c r="AG222" s="168"/>
      <c r="AH222" s="168"/>
      <c r="AI222" s="168"/>
      <c r="AJ222" s="165"/>
      <c r="AK222" s="165"/>
    </row>
    <row r="223" spans="2:37" s="163" customFormat="1">
      <c r="B223" s="163" t="s">
        <v>522</v>
      </c>
      <c r="C223" s="295">
        <v>2004</v>
      </c>
      <c r="D223" s="163">
        <v>104</v>
      </c>
      <c r="E223" s="163">
        <v>11</v>
      </c>
      <c r="F223" s="178">
        <v>0</v>
      </c>
      <c r="G223" s="177" t="s">
        <v>491</v>
      </c>
      <c r="H223" s="163">
        <v>8</v>
      </c>
      <c r="I223" s="163">
        <f t="shared" si="135"/>
        <v>112</v>
      </c>
      <c r="L223" s="175">
        <v>2394.1</v>
      </c>
      <c r="M223" s="175">
        <v>0</v>
      </c>
      <c r="N223" s="175">
        <f t="shared" si="136"/>
        <v>2394.1</v>
      </c>
      <c r="O223" s="175">
        <f t="shared" si="137"/>
        <v>24.938541666666666</v>
      </c>
      <c r="P223" s="175">
        <f t="shared" si="138"/>
        <v>0</v>
      </c>
      <c r="Q223" s="175">
        <f t="shared" si="139"/>
        <v>0</v>
      </c>
      <c r="R223" s="175">
        <f t="shared" si="140"/>
        <v>0</v>
      </c>
      <c r="S223" s="176">
        <v>1</v>
      </c>
      <c r="T223" s="175">
        <f t="shared" si="141"/>
        <v>0</v>
      </c>
      <c r="U223" s="175">
        <f t="shared" si="142"/>
        <v>2394.1</v>
      </c>
      <c r="V223" s="175">
        <f t="shared" si="143"/>
        <v>2394.1</v>
      </c>
      <c r="W223" s="176">
        <v>1</v>
      </c>
      <c r="X223" s="175">
        <f t="shared" si="144"/>
        <v>2394.1</v>
      </c>
      <c r="Y223" s="175">
        <f t="shared" si="145"/>
        <v>2394.1</v>
      </c>
      <c r="Z223" s="175">
        <f t="shared" si="134"/>
        <v>0</v>
      </c>
      <c r="AA223" s="175">
        <f t="shared" si="146"/>
        <v>104.83333333333333</v>
      </c>
      <c r="AB223" s="175">
        <f t="shared" si="147"/>
        <v>118.25</v>
      </c>
      <c r="AC223" s="175">
        <f t="shared" si="148"/>
        <v>112.83333333333333</v>
      </c>
      <c r="AD223" s="175">
        <f t="shared" si="149"/>
        <v>117.25</v>
      </c>
      <c r="AE223" s="175">
        <f t="shared" si="150"/>
        <v>-8.3333333333333329E-2</v>
      </c>
      <c r="AF223" s="175">
        <f t="shared" si="151"/>
        <v>0</v>
      </c>
      <c r="AG223" s="168"/>
      <c r="AH223" s="168"/>
      <c r="AI223" s="168"/>
      <c r="AJ223" s="165"/>
      <c r="AK223" s="165"/>
    </row>
    <row r="224" spans="2:37" s="163" customFormat="1">
      <c r="B224" s="163" t="s">
        <v>521</v>
      </c>
      <c r="C224" s="295">
        <v>2004</v>
      </c>
      <c r="D224" s="163">
        <v>104</v>
      </c>
      <c r="E224" s="163">
        <v>11</v>
      </c>
      <c r="F224" s="178">
        <v>0</v>
      </c>
      <c r="G224" s="177" t="s">
        <v>491</v>
      </c>
      <c r="H224" s="163">
        <v>8</v>
      </c>
      <c r="I224" s="163">
        <f t="shared" si="135"/>
        <v>112</v>
      </c>
      <c r="L224" s="175">
        <v>2528.6</v>
      </c>
      <c r="M224" s="175">
        <v>0</v>
      </c>
      <c r="N224" s="175">
        <f t="shared" si="136"/>
        <v>2528.6</v>
      </c>
      <c r="O224" s="175">
        <f t="shared" si="137"/>
        <v>26.339583333333334</v>
      </c>
      <c r="P224" s="175">
        <f t="shared" si="138"/>
        <v>0</v>
      </c>
      <c r="Q224" s="175">
        <f t="shared" si="139"/>
        <v>0</v>
      </c>
      <c r="R224" s="175">
        <f t="shared" si="140"/>
        <v>0</v>
      </c>
      <c r="S224" s="176">
        <v>1</v>
      </c>
      <c r="T224" s="175">
        <f t="shared" si="141"/>
        <v>0</v>
      </c>
      <c r="U224" s="175">
        <f t="shared" si="142"/>
        <v>2528.6</v>
      </c>
      <c r="V224" s="175">
        <f t="shared" si="143"/>
        <v>2528.6</v>
      </c>
      <c r="W224" s="176">
        <v>1</v>
      </c>
      <c r="X224" s="175">
        <f t="shared" si="144"/>
        <v>2528.6</v>
      </c>
      <c r="Y224" s="175">
        <f t="shared" si="145"/>
        <v>2528.6</v>
      </c>
      <c r="Z224" s="175">
        <f t="shared" si="134"/>
        <v>0</v>
      </c>
      <c r="AA224" s="175">
        <f t="shared" si="146"/>
        <v>104.83333333333333</v>
      </c>
      <c r="AB224" s="175">
        <f t="shared" si="147"/>
        <v>118.25</v>
      </c>
      <c r="AC224" s="175">
        <f t="shared" si="148"/>
        <v>112.83333333333333</v>
      </c>
      <c r="AD224" s="175">
        <f t="shared" si="149"/>
        <v>117.25</v>
      </c>
      <c r="AE224" s="175">
        <f t="shared" si="150"/>
        <v>-8.3333333333333329E-2</v>
      </c>
      <c r="AF224" s="175">
        <f t="shared" si="151"/>
        <v>0</v>
      </c>
      <c r="AG224" s="168"/>
      <c r="AH224" s="168"/>
      <c r="AI224" s="168"/>
      <c r="AJ224" s="165"/>
      <c r="AK224" s="165"/>
    </row>
    <row r="225" spans="2:37" s="163" customFormat="1">
      <c r="B225" s="163" t="s">
        <v>518</v>
      </c>
      <c r="C225" s="295">
        <v>2004</v>
      </c>
      <c r="D225" s="163">
        <v>104</v>
      </c>
      <c r="E225" s="163">
        <v>12</v>
      </c>
      <c r="F225" s="178">
        <v>0</v>
      </c>
      <c r="G225" s="177" t="s">
        <v>491</v>
      </c>
      <c r="H225" s="163">
        <v>8</v>
      </c>
      <c r="I225" s="163">
        <f t="shared" si="135"/>
        <v>112</v>
      </c>
      <c r="L225" s="175">
        <v>7867.17</v>
      </c>
      <c r="M225" s="175">
        <v>0</v>
      </c>
      <c r="N225" s="175">
        <f t="shared" si="136"/>
        <v>7867.17</v>
      </c>
      <c r="O225" s="175">
        <f t="shared" si="137"/>
        <v>81.949687499999996</v>
      </c>
      <c r="P225" s="175">
        <f t="shared" si="138"/>
        <v>0</v>
      </c>
      <c r="Q225" s="175">
        <f t="shared" si="139"/>
        <v>0</v>
      </c>
      <c r="R225" s="175">
        <f t="shared" si="140"/>
        <v>0</v>
      </c>
      <c r="S225" s="176">
        <v>1</v>
      </c>
      <c r="T225" s="175">
        <f t="shared" si="141"/>
        <v>0</v>
      </c>
      <c r="U225" s="175">
        <f t="shared" si="142"/>
        <v>7867.17</v>
      </c>
      <c r="V225" s="175">
        <f t="shared" si="143"/>
        <v>7867.17</v>
      </c>
      <c r="W225" s="176">
        <v>1</v>
      </c>
      <c r="X225" s="175">
        <f t="shared" si="144"/>
        <v>7867.17</v>
      </c>
      <c r="Y225" s="175">
        <f t="shared" si="145"/>
        <v>7867.17</v>
      </c>
      <c r="Z225" s="175">
        <f t="shared" si="134"/>
        <v>0</v>
      </c>
      <c r="AA225" s="175">
        <f t="shared" si="146"/>
        <v>104.91666666666667</v>
      </c>
      <c r="AB225" s="175">
        <f t="shared" si="147"/>
        <v>118.25</v>
      </c>
      <c r="AC225" s="175">
        <f t="shared" si="148"/>
        <v>112.91666666666667</v>
      </c>
      <c r="AD225" s="175">
        <f t="shared" si="149"/>
        <v>117.25</v>
      </c>
      <c r="AE225" s="175">
        <f t="shared" si="150"/>
        <v>-8.3333333333333329E-2</v>
      </c>
      <c r="AF225" s="175">
        <f t="shared" si="151"/>
        <v>0</v>
      </c>
      <c r="AG225" s="168"/>
      <c r="AH225" s="168"/>
      <c r="AI225" s="168"/>
      <c r="AJ225" s="165"/>
      <c r="AK225" s="165"/>
    </row>
    <row r="226" spans="2:37" s="163" customFormat="1">
      <c r="B226" s="163" t="s">
        <v>518</v>
      </c>
      <c r="C226" s="295">
        <v>2005</v>
      </c>
      <c r="D226" s="163">
        <v>105</v>
      </c>
      <c r="E226" s="163">
        <v>2</v>
      </c>
      <c r="F226" s="178">
        <v>0</v>
      </c>
      <c r="G226" s="177" t="s">
        <v>491</v>
      </c>
      <c r="H226" s="163">
        <v>8</v>
      </c>
      <c r="I226" s="163">
        <f t="shared" si="135"/>
        <v>113</v>
      </c>
      <c r="L226" s="175">
        <v>5101.32</v>
      </c>
      <c r="M226" s="175">
        <v>0</v>
      </c>
      <c r="N226" s="175">
        <f t="shared" si="136"/>
        <v>5101.32</v>
      </c>
      <c r="O226" s="175">
        <f t="shared" si="137"/>
        <v>53.138749999999995</v>
      </c>
      <c r="P226" s="175">
        <f t="shared" si="138"/>
        <v>0</v>
      </c>
      <c r="Q226" s="175">
        <f t="shared" si="139"/>
        <v>0</v>
      </c>
      <c r="R226" s="175">
        <f t="shared" si="140"/>
        <v>0</v>
      </c>
      <c r="S226" s="176">
        <v>1</v>
      </c>
      <c r="T226" s="175">
        <f t="shared" si="141"/>
        <v>0</v>
      </c>
      <c r="U226" s="175">
        <f t="shared" si="142"/>
        <v>5101.32</v>
      </c>
      <c r="V226" s="175">
        <f t="shared" si="143"/>
        <v>5101.32</v>
      </c>
      <c r="W226" s="176">
        <v>1</v>
      </c>
      <c r="X226" s="175">
        <f t="shared" si="144"/>
        <v>5101.32</v>
      </c>
      <c r="Y226" s="175">
        <f t="shared" si="145"/>
        <v>5101.32</v>
      </c>
      <c r="Z226" s="175">
        <f t="shared" si="134"/>
        <v>0</v>
      </c>
      <c r="AA226" s="175">
        <f t="shared" si="146"/>
        <v>105.08333333333333</v>
      </c>
      <c r="AB226" s="175">
        <f t="shared" si="147"/>
        <v>118.25</v>
      </c>
      <c r="AC226" s="175">
        <f t="shared" si="148"/>
        <v>113.08333333333333</v>
      </c>
      <c r="AD226" s="175">
        <f t="shared" si="149"/>
        <v>117.25</v>
      </c>
      <c r="AE226" s="175">
        <f t="shared" si="150"/>
        <v>-8.3333333333333329E-2</v>
      </c>
      <c r="AF226" s="175">
        <f t="shared" si="151"/>
        <v>0</v>
      </c>
      <c r="AG226" s="168"/>
      <c r="AH226" s="168"/>
      <c r="AI226" s="168"/>
      <c r="AJ226" s="165"/>
      <c r="AK226" s="165"/>
    </row>
    <row r="227" spans="2:37" s="163" customFormat="1">
      <c r="B227" s="163" t="s">
        <v>518</v>
      </c>
      <c r="C227" s="295">
        <v>2005</v>
      </c>
      <c r="D227" s="163">
        <v>105</v>
      </c>
      <c r="E227" s="163">
        <v>3</v>
      </c>
      <c r="F227" s="178">
        <v>0</v>
      </c>
      <c r="G227" s="177" t="s">
        <v>491</v>
      </c>
      <c r="H227" s="163">
        <v>8</v>
      </c>
      <c r="I227" s="163">
        <f t="shared" si="135"/>
        <v>113</v>
      </c>
      <c r="L227" s="175">
        <v>6684.11</v>
      </c>
      <c r="M227" s="175">
        <v>0</v>
      </c>
      <c r="N227" s="175">
        <f t="shared" si="136"/>
        <v>6684.11</v>
      </c>
      <c r="O227" s="175">
        <f t="shared" si="137"/>
        <v>69.626145833333325</v>
      </c>
      <c r="P227" s="175">
        <f t="shared" si="138"/>
        <v>0</v>
      </c>
      <c r="Q227" s="175">
        <f t="shared" si="139"/>
        <v>0</v>
      </c>
      <c r="R227" s="175">
        <f t="shared" si="140"/>
        <v>0</v>
      </c>
      <c r="S227" s="176">
        <v>1</v>
      </c>
      <c r="T227" s="175">
        <f t="shared" si="141"/>
        <v>0</v>
      </c>
      <c r="U227" s="175">
        <f t="shared" si="142"/>
        <v>6684.11</v>
      </c>
      <c r="V227" s="175">
        <f t="shared" si="143"/>
        <v>6684.11</v>
      </c>
      <c r="W227" s="176">
        <v>1</v>
      </c>
      <c r="X227" s="175">
        <f t="shared" si="144"/>
        <v>6684.11</v>
      </c>
      <c r="Y227" s="175">
        <f t="shared" si="145"/>
        <v>6684.11</v>
      </c>
      <c r="Z227" s="175">
        <f t="shared" si="134"/>
        <v>0</v>
      </c>
      <c r="AA227" s="175">
        <f t="shared" si="146"/>
        <v>105.16666666666667</v>
      </c>
      <c r="AB227" s="175">
        <f t="shared" si="147"/>
        <v>118.25</v>
      </c>
      <c r="AC227" s="175">
        <f t="shared" si="148"/>
        <v>113.16666666666667</v>
      </c>
      <c r="AD227" s="175">
        <f t="shared" si="149"/>
        <v>117.25</v>
      </c>
      <c r="AE227" s="175">
        <f t="shared" si="150"/>
        <v>-8.3333333333333329E-2</v>
      </c>
      <c r="AF227" s="175">
        <f t="shared" si="151"/>
        <v>0</v>
      </c>
      <c r="AG227" s="168"/>
      <c r="AH227" s="168"/>
      <c r="AI227" s="168"/>
      <c r="AJ227" s="165"/>
      <c r="AK227" s="165"/>
    </row>
    <row r="228" spans="2:37" s="163" customFormat="1">
      <c r="B228" s="163" t="s">
        <v>522</v>
      </c>
      <c r="C228" s="295">
        <v>2005</v>
      </c>
      <c r="D228" s="163">
        <v>105</v>
      </c>
      <c r="E228" s="163">
        <v>5</v>
      </c>
      <c r="F228" s="178">
        <v>0</v>
      </c>
      <c r="G228" s="177" t="s">
        <v>491</v>
      </c>
      <c r="H228" s="163">
        <v>8</v>
      </c>
      <c r="I228" s="163">
        <f t="shared" si="135"/>
        <v>113</v>
      </c>
      <c r="L228" s="175">
        <v>2465.25</v>
      </c>
      <c r="M228" s="175">
        <v>0</v>
      </c>
      <c r="N228" s="175">
        <f t="shared" si="136"/>
        <v>2465.25</v>
      </c>
      <c r="O228" s="175">
        <f t="shared" si="137"/>
        <v>25.6796875</v>
      </c>
      <c r="P228" s="175">
        <f t="shared" si="138"/>
        <v>0</v>
      </c>
      <c r="Q228" s="175">
        <f t="shared" si="139"/>
        <v>0</v>
      </c>
      <c r="R228" s="175">
        <f t="shared" si="140"/>
        <v>0</v>
      </c>
      <c r="S228" s="176">
        <v>1</v>
      </c>
      <c r="T228" s="175">
        <f t="shared" si="141"/>
        <v>0</v>
      </c>
      <c r="U228" s="175">
        <f t="shared" si="142"/>
        <v>2465.25</v>
      </c>
      <c r="V228" s="175">
        <f t="shared" si="143"/>
        <v>2465.25</v>
      </c>
      <c r="W228" s="176">
        <v>1</v>
      </c>
      <c r="X228" s="175">
        <f t="shared" si="144"/>
        <v>2465.25</v>
      </c>
      <c r="Y228" s="175">
        <f t="shared" si="145"/>
        <v>2465.25</v>
      </c>
      <c r="Z228" s="175">
        <f t="shared" si="134"/>
        <v>0</v>
      </c>
      <c r="AA228" s="175">
        <f t="shared" si="146"/>
        <v>105.33333333333333</v>
      </c>
      <c r="AB228" s="175">
        <f t="shared" si="147"/>
        <v>118.25</v>
      </c>
      <c r="AC228" s="175">
        <f t="shared" si="148"/>
        <v>113.33333333333333</v>
      </c>
      <c r="AD228" s="175">
        <f t="shared" si="149"/>
        <v>117.25</v>
      </c>
      <c r="AE228" s="175">
        <f t="shared" si="150"/>
        <v>-8.3333333333333329E-2</v>
      </c>
      <c r="AF228" s="175">
        <f t="shared" si="151"/>
        <v>0</v>
      </c>
      <c r="AG228" s="168"/>
      <c r="AH228" s="168"/>
      <c r="AI228" s="168"/>
      <c r="AJ228" s="165"/>
      <c r="AK228" s="165"/>
    </row>
    <row r="229" spans="2:37" s="163" customFormat="1">
      <c r="B229" s="163" t="s">
        <v>517</v>
      </c>
      <c r="C229" s="295">
        <v>2005</v>
      </c>
      <c r="D229" s="163">
        <v>105</v>
      </c>
      <c r="E229" s="163">
        <v>5</v>
      </c>
      <c r="F229" s="178">
        <v>0</v>
      </c>
      <c r="G229" s="177" t="s">
        <v>491</v>
      </c>
      <c r="H229" s="163">
        <v>8</v>
      </c>
      <c r="I229" s="163">
        <f t="shared" ref="I229:I255" si="152">D229+H229</f>
        <v>113</v>
      </c>
      <c r="L229" s="175">
        <v>5301</v>
      </c>
      <c r="M229" s="175">
        <v>0</v>
      </c>
      <c r="N229" s="175">
        <f t="shared" ref="N229:N255" si="153">L229-(+L229*F229)</f>
        <v>5301</v>
      </c>
      <c r="O229" s="175">
        <f t="shared" ref="O229:O255" si="154">(+N229/H229)/12</f>
        <v>55.21875</v>
      </c>
      <c r="P229" s="175">
        <f t="shared" ref="P229:P255" si="155">IF(Q229&gt;0,0,IF(OR(AA229&gt;AB229,AC229&lt;AD229),0,IF(AND(AC229&gt;=AD229,AC229&lt;=AB229),O229*((AC229-AD229)*12),IF(AND(AD229&lt;=AA229,AB229&gt;=AA229),((AB229-AA229)*12)*O229,IF(AC229&gt;AB229,12*O229,0)))))</f>
        <v>0</v>
      </c>
      <c r="Q229" s="175">
        <f t="shared" ref="Q229:Q255" si="156">IF(M229=0,0,IF(AND(AE229&gt;=AD229,AE229&lt;=AC229),((AE229-AD229)*12)*O229,0))</f>
        <v>0</v>
      </c>
      <c r="R229" s="175">
        <f t="shared" ref="R229:R255" si="157">IF(Q229&gt;0,Q229,P229)</f>
        <v>0</v>
      </c>
      <c r="S229" s="176">
        <v>1</v>
      </c>
      <c r="T229" s="175">
        <f t="shared" ref="T229:T255" si="158">S229*SUM(P229:Q229)</f>
        <v>0</v>
      </c>
      <c r="U229" s="175">
        <f t="shared" ref="U229:U255" si="159">IF(AA229&gt;AB229,0,IF(AC229&lt;AD229,L229,IF(AND(AC229&gt;=AD229,AC229&lt;=AB229),(L229-R229),IF(AND(AD229&lt;=AA229,AB229&gt;=AA229),0,IF(AC229&gt;AB229,((AD229-AA229)*12)*O229,0)))))</f>
        <v>5301</v>
      </c>
      <c r="V229" s="175">
        <f t="shared" ref="V229:V255" si="160">U229*S229</f>
        <v>5301</v>
      </c>
      <c r="W229" s="176">
        <v>1</v>
      </c>
      <c r="X229" s="175">
        <f t="shared" ref="X229:X255" si="161">V229*W229</f>
        <v>5301</v>
      </c>
      <c r="Y229" s="175">
        <f t="shared" ref="Y229:Y255" si="162">IF(M229&gt;0,0,X229+T229*W229)*W229</f>
        <v>5301</v>
      </c>
      <c r="Z229" s="175">
        <f t="shared" ref="Z229:Z281" si="163">IF(M229&gt;0,(L229-X229)/2,IF(AA229&gt;=AD229,(((L229*S229)*W229)-Y229)/2,((((L229*S229)*W229)-X229)+(((L229*S229)*W229)-Y229))/2))</f>
        <v>0</v>
      </c>
      <c r="AA229" s="175">
        <f t="shared" ref="AA229:AA260" si="164">$D229+(($E229-1)/12)</f>
        <v>105.33333333333333</v>
      </c>
      <c r="AB229" s="175">
        <f t="shared" ref="AB229:AB255" si="165">($B$10+1)-($B$7/12)</f>
        <v>118.25</v>
      </c>
      <c r="AC229" s="175">
        <f t="shared" ref="AC229:AC260" si="166">$I229+(($E229-1)/12)</f>
        <v>113.33333333333333</v>
      </c>
      <c r="AD229" s="175">
        <f t="shared" ref="AD229:AD255" si="167">$B$9+($B$8/12)</f>
        <v>117.25</v>
      </c>
      <c r="AE229" s="175">
        <f t="shared" ref="AE229:AE260" si="168">$J229+(($K229-1)/12)</f>
        <v>-8.3333333333333329E-2</v>
      </c>
      <c r="AF229" s="175">
        <f t="shared" ref="AF229:AF255" si="169">L229-((X229+Y229)/2)-Z229</f>
        <v>0</v>
      </c>
      <c r="AG229" s="168"/>
      <c r="AH229" s="168"/>
      <c r="AI229" s="168"/>
      <c r="AJ229" s="165"/>
      <c r="AK229" s="165"/>
    </row>
    <row r="230" spans="2:37" s="163" customFormat="1">
      <c r="B230" s="163" t="s">
        <v>517</v>
      </c>
      <c r="C230" s="295">
        <v>2005</v>
      </c>
      <c r="D230" s="163">
        <v>105</v>
      </c>
      <c r="E230" s="163">
        <v>6</v>
      </c>
      <c r="F230" s="178">
        <v>0</v>
      </c>
      <c r="G230" s="177" t="s">
        <v>491</v>
      </c>
      <c r="H230" s="163">
        <v>8</v>
      </c>
      <c r="I230" s="163">
        <f t="shared" si="152"/>
        <v>113</v>
      </c>
      <c r="L230" s="175">
        <v>4200.3</v>
      </c>
      <c r="M230" s="175">
        <v>0</v>
      </c>
      <c r="N230" s="175">
        <f t="shared" si="153"/>
        <v>4200.3</v>
      </c>
      <c r="O230" s="175">
        <f t="shared" si="154"/>
        <v>43.753125000000004</v>
      </c>
      <c r="P230" s="175">
        <f t="shared" si="155"/>
        <v>0</v>
      </c>
      <c r="Q230" s="175">
        <f t="shared" si="156"/>
        <v>0</v>
      </c>
      <c r="R230" s="175">
        <f t="shared" si="157"/>
        <v>0</v>
      </c>
      <c r="S230" s="176">
        <v>1</v>
      </c>
      <c r="T230" s="175">
        <f t="shared" si="158"/>
        <v>0</v>
      </c>
      <c r="U230" s="175">
        <f t="shared" si="159"/>
        <v>4200.3</v>
      </c>
      <c r="V230" s="175">
        <f t="shared" si="160"/>
        <v>4200.3</v>
      </c>
      <c r="W230" s="176">
        <v>1</v>
      </c>
      <c r="X230" s="175">
        <f t="shared" si="161"/>
        <v>4200.3</v>
      </c>
      <c r="Y230" s="175">
        <f t="shared" si="162"/>
        <v>4200.3</v>
      </c>
      <c r="Z230" s="175">
        <f t="shared" si="163"/>
        <v>0</v>
      </c>
      <c r="AA230" s="175">
        <f t="shared" si="164"/>
        <v>105.41666666666667</v>
      </c>
      <c r="AB230" s="175">
        <f t="shared" si="165"/>
        <v>118.25</v>
      </c>
      <c r="AC230" s="175">
        <f t="shared" si="166"/>
        <v>113.41666666666667</v>
      </c>
      <c r="AD230" s="175">
        <f t="shared" si="167"/>
        <v>117.25</v>
      </c>
      <c r="AE230" s="175">
        <f t="shared" si="168"/>
        <v>-8.3333333333333329E-2</v>
      </c>
      <c r="AF230" s="175">
        <f t="shared" si="169"/>
        <v>0</v>
      </c>
      <c r="AG230" s="168"/>
      <c r="AH230" s="168"/>
      <c r="AI230" s="168"/>
      <c r="AJ230" s="165"/>
      <c r="AK230" s="165"/>
    </row>
    <row r="231" spans="2:37" s="163" customFormat="1">
      <c r="B231" s="163" t="s">
        <v>518</v>
      </c>
      <c r="C231" s="295">
        <v>2005</v>
      </c>
      <c r="D231" s="163">
        <v>105</v>
      </c>
      <c r="E231" s="163">
        <v>7</v>
      </c>
      <c r="F231" s="178">
        <v>0</v>
      </c>
      <c r="G231" s="177" t="s">
        <v>491</v>
      </c>
      <c r="H231" s="163">
        <v>8</v>
      </c>
      <c r="I231" s="163">
        <f t="shared" si="152"/>
        <v>113</v>
      </c>
      <c r="L231" s="175">
        <v>5923.5</v>
      </c>
      <c r="M231" s="175">
        <v>0</v>
      </c>
      <c r="N231" s="175">
        <f t="shared" si="153"/>
        <v>5923.5</v>
      </c>
      <c r="O231" s="175">
        <f t="shared" si="154"/>
        <v>61.703125</v>
      </c>
      <c r="P231" s="175">
        <f t="shared" si="155"/>
        <v>0</v>
      </c>
      <c r="Q231" s="175">
        <f t="shared" si="156"/>
        <v>0</v>
      </c>
      <c r="R231" s="175">
        <f t="shared" si="157"/>
        <v>0</v>
      </c>
      <c r="S231" s="176">
        <v>1</v>
      </c>
      <c r="T231" s="175">
        <f t="shared" si="158"/>
        <v>0</v>
      </c>
      <c r="U231" s="175">
        <f t="shared" si="159"/>
        <v>5923.5</v>
      </c>
      <c r="V231" s="175">
        <f t="shared" si="160"/>
        <v>5923.5</v>
      </c>
      <c r="W231" s="176">
        <v>1</v>
      </c>
      <c r="X231" s="175">
        <f t="shared" si="161"/>
        <v>5923.5</v>
      </c>
      <c r="Y231" s="175">
        <f t="shared" si="162"/>
        <v>5923.5</v>
      </c>
      <c r="Z231" s="175">
        <f t="shared" si="163"/>
        <v>0</v>
      </c>
      <c r="AA231" s="175">
        <f t="shared" si="164"/>
        <v>105.5</v>
      </c>
      <c r="AB231" s="175">
        <f t="shared" si="165"/>
        <v>118.25</v>
      </c>
      <c r="AC231" s="175">
        <f t="shared" si="166"/>
        <v>113.5</v>
      </c>
      <c r="AD231" s="175">
        <f t="shared" si="167"/>
        <v>117.25</v>
      </c>
      <c r="AE231" s="175">
        <f t="shared" si="168"/>
        <v>-8.3333333333333329E-2</v>
      </c>
      <c r="AF231" s="175">
        <f t="shared" si="169"/>
        <v>0</v>
      </c>
      <c r="AG231" s="168"/>
      <c r="AH231" s="168"/>
      <c r="AI231" s="168"/>
      <c r="AJ231" s="165"/>
      <c r="AK231" s="165"/>
    </row>
    <row r="232" spans="2:37" s="163" customFormat="1">
      <c r="B232" s="163" t="s">
        <v>518</v>
      </c>
      <c r="C232" s="295">
        <v>2005</v>
      </c>
      <c r="D232" s="163">
        <v>105</v>
      </c>
      <c r="E232" s="163">
        <v>9</v>
      </c>
      <c r="F232" s="178">
        <v>0</v>
      </c>
      <c r="G232" s="177" t="s">
        <v>491</v>
      </c>
      <c r="H232" s="163">
        <v>8</v>
      </c>
      <c r="I232" s="163">
        <f t="shared" si="152"/>
        <v>113</v>
      </c>
      <c r="L232" s="175">
        <v>5842.73</v>
      </c>
      <c r="M232" s="175">
        <v>0</v>
      </c>
      <c r="N232" s="175">
        <f t="shared" si="153"/>
        <v>5842.73</v>
      </c>
      <c r="O232" s="175">
        <f t="shared" si="154"/>
        <v>60.861770833333331</v>
      </c>
      <c r="P232" s="175">
        <f t="shared" si="155"/>
        <v>0</v>
      </c>
      <c r="Q232" s="175">
        <f t="shared" si="156"/>
        <v>0</v>
      </c>
      <c r="R232" s="175">
        <f t="shared" si="157"/>
        <v>0</v>
      </c>
      <c r="S232" s="176">
        <v>1</v>
      </c>
      <c r="T232" s="175">
        <f t="shared" si="158"/>
        <v>0</v>
      </c>
      <c r="U232" s="175">
        <f t="shared" si="159"/>
        <v>5842.73</v>
      </c>
      <c r="V232" s="175">
        <f t="shared" si="160"/>
        <v>5842.73</v>
      </c>
      <c r="W232" s="176">
        <v>1</v>
      </c>
      <c r="X232" s="175">
        <f t="shared" si="161"/>
        <v>5842.73</v>
      </c>
      <c r="Y232" s="175">
        <f t="shared" si="162"/>
        <v>5842.73</v>
      </c>
      <c r="Z232" s="175">
        <f t="shared" si="163"/>
        <v>0</v>
      </c>
      <c r="AA232" s="175">
        <f t="shared" si="164"/>
        <v>105.66666666666667</v>
      </c>
      <c r="AB232" s="175">
        <f t="shared" si="165"/>
        <v>118.25</v>
      </c>
      <c r="AC232" s="175">
        <f t="shared" si="166"/>
        <v>113.66666666666667</v>
      </c>
      <c r="AD232" s="175">
        <f t="shared" si="167"/>
        <v>117.25</v>
      </c>
      <c r="AE232" s="175">
        <f t="shared" si="168"/>
        <v>-8.3333333333333329E-2</v>
      </c>
      <c r="AF232" s="175">
        <f t="shared" si="169"/>
        <v>0</v>
      </c>
      <c r="AG232" s="168"/>
      <c r="AH232" s="168"/>
      <c r="AI232" s="168"/>
      <c r="AJ232" s="165"/>
      <c r="AK232" s="165"/>
    </row>
    <row r="233" spans="2:37" s="163" customFormat="1">
      <c r="B233" s="163" t="s">
        <v>517</v>
      </c>
      <c r="C233" s="295">
        <v>2005</v>
      </c>
      <c r="D233" s="163">
        <v>105</v>
      </c>
      <c r="E233" s="163">
        <v>9</v>
      </c>
      <c r="F233" s="178">
        <v>0</v>
      </c>
      <c r="G233" s="177" t="s">
        <v>491</v>
      </c>
      <c r="H233" s="163">
        <v>8</v>
      </c>
      <c r="I233" s="163">
        <f t="shared" si="152"/>
        <v>113</v>
      </c>
      <c r="L233" s="175">
        <v>4765.72</v>
      </c>
      <c r="M233" s="175">
        <v>0</v>
      </c>
      <c r="N233" s="175">
        <f t="shared" si="153"/>
        <v>4765.72</v>
      </c>
      <c r="O233" s="175">
        <f t="shared" si="154"/>
        <v>49.642916666666672</v>
      </c>
      <c r="P233" s="175">
        <f t="shared" si="155"/>
        <v>0</v>
      </c>
      <c r="Q233" s="175">
        <f t="shared" si="156"/>
        <v>0</v>
      </c>
      <c r="R233" s="175">
        <f t="shared" si="157"/>
        <v>0</v>
      </c>
      <c r="S233" s="176">
        <v>1</v>
      </c>
      <c r="T233" s="175">
        <f t="shared" si="158"/>
        <v>0</v>
      </c>
      <c r="U233" s="175">
        <f t="shared" si="159"/>
        <v>4765.72</v>
      </c>
      <c r="V233" s="175">
        <f t="shared" si="160"/>
        <v>4765.72</v>
      </c>
      <c r="W233" s="176">
        <v>1</v>
      </c>
      <c r="X233" s="175">
        <f t="shared" si="161"/>
        <v>4765.72</v>
      </c>
      <c r="Y233" s="175">
        <f t="shared" si="162"/>
        <v>4765.72</v>
      </c>
      <c r="Z233" s="175">
        <f t="shared" si="163"/>
        <v>0</v>
      </c>
      <c r="AA233" s="175">
        <f t="shared" si="164"/>
        <v>105.66666666666667</v>
      </c>
      <c r="AB233" s="175">
        <f t="shared" si="165"/>
        <v>118.25</v>
      </c>
      <c r="AC233" s="175">
        <f t="shared" si="166"/>
        <v>113.66666666666667</v>
      </c>
      <c r="AD233" s="175">
        <f t="shared" si="167"/>
        <v>117.25</v>
      </c>
      <c r="AE233" s="175">
        <f t="shared" si="168"/>
        <v>-8.3333333333333329E-2</v>
      </c>
      <c r="AF233" s="175">
        <f t="shared" si="169"/>
        <v>0</v>
      </c>
      <c r="AG233" s="168"/>
      <c r="AH233" s="168"/>
      <c r="AI233" s="168"/>
      <c r="AJ233" s="165"/>
      <c r="AK233" s="165"/>
    </row>
    <row r="234" spans="2:37" s="163" customFormat="1">
      <c r="B234" s="163" t="s">
        <v>521</v>
      </c>
      <c r="C234" s="295">
        <v>2005</v>
      </c>
      <c r="D234" s="163">
        <v>105</v>
      </c>
      <c r="E234" s="163">
        <v>11</v>
      </c>
      <c r="F234" s="178">
        <v>0</v>
      </c>
      <c r="G234" s="177" t="s">
        <v>491</v>
      </c>
      <c r="H234" s="163">
        <v>8</v>
      </c>
      <c r="I234" s="163">
        <f t="shared" si="152"/>
        <v>113</v>
      </c>
      <c r="L234" s="175">
        <v>2692.5</v>
      </c>
      <c r="M234" s="175">
        <v>0</v>
      </c>
      <c r="N234" s="175">
        <f t="shared" si="153"/>
        <v>2692.5</v>
      </c>
      <c r="O234" s="175">
        <f t="shared" si="154"/>
        <v>28.046875</v>
      </c>
      <c r="P234" s="175">
        <f t="shared" si="155"/>
        <v>0</v>
      </c>
      <c r="Q234" s="175">
        <f t="shared" si="156"/>
        <v>0</v>
      </c>
      <c r="R234" s="175">
        <f t="shared" si="157"/>
        <v>0</v>
      </c>
      <c r="S234" s="176">
        <v>1</v>
      </c>
      <c r="T234" s="175">
        <f t="shared" si="158"/>
        <v>0</v>
      </c>
      <c r="U234" s="175">
        <f t="shared" si="159"/>
        <v>2692.5</v>
      </c>
      <c r="V234" s="175">
        <f t="shared" si="160"/>
        <v>2692.5</v>
      </c>
      <c r="W234" s="176">
        <v>1</v>
      </c>
      <c r="X234" s="175">
        <f t="shared" si="161"/>
        <v>2692.5</v>
      </c>
      <c r="Y234" s="175">
        <f t="shared" si="162"/>
        <v>2692.5</v>
      </c>
      <c r="Z234" s="175">
        <f t="shared" si="163"/>
        <v>0</v>
      </c>
      <c r="AA234" s="175">
        <f t="shared" si="164"/>
        <v>105.83333333333333</v>
      </c>
      <c r="AB234" s="175">
        <f t="shared" si="165"/>
        <v>118.25</v>
      </c>
      <c r="AC234" s="175">
        <f t="shared" si="166"/>
        <v>113.83333333333333</v>
      </c>
      <c r="AD234" s="175">
        <f t="shared" si="167"/>
        <v>117.25</v>
      </c>
      <c r="AE234" s="175">
        <f t="shared" si="168"/>
        <v>-8.3333333333333329E-2</v>
      </c>
      <c r="AF234" s="175">
        <f t="shared" si="169"/>
        <v>0</v>
      </c>
      <c r="AG234" s="168"/>
      <c r="AH234" s="168"/>
      <c r="AI234" s="168"/>
      <c r="AJ234" s="165"/>
      <c r="AK234" s="165"/>
    </row>
    <row r="235" spans="2:37" s="163" customFormat="1">
      <c r="B235" s="163" t="s">
        <v>517</v>
      </c>
      <c r="C235" s="295">
        <v>2005</v>
      </c>
      <c r="D235" s="163">
        <v>105</v>
      </c>
      <c r="E235" s="163">
        <v>12</v>
      </c>
      <c r="F235" s="178">
        <v>0</v>
      </c>
      <c r="G235" s="177" t="s">
        <v>491</v>
      </c>
      <c r="H235" s="163">
        <v>8</v>
      </c>
      <c r="I235" s="163">
        <f t="shared" si="152"/>
        <v>113</v>
      </c>
      <c r="L235" s="175">
        <v>5247.14</v>
      </c>
      <c r="M235" s="175">
        <v>0</v>
      </c>
      <c r="N235" s="175">
        <f t="shared" si="153"/>
        <v>5247.14</v>
      </c>
      <c r="O235" s="175">
        <f t="shared" si="154"/>
        <v>54.657708333333339</v>
      </c>
      <c r="P235" s="175">
        <f t="shared" si="155"/>
        <v>0</v>
      </c>
      <c r="Q235" s="175">
        <f t="shared" si="156"/>
        <v>0</v>
      </c>
      <c r="R235" s="175">
        <f t="shared" si="157"/>
        <v>0</v>
      </c>
      <c r="S235" s="176">
        <v>1</v>
      </c>
      <c r="T235" s="175">
        <f t="shared" si="158"/>
        <v>0</v>
      </c>
      <c r="U235" s="175">
        <f t="shared" si="159"/>
        <v>5247.14</v>
      </c>
      <c r="V235" s="175">
        <f t="shared" si="160"/>
        <v>5247.14</v>
      </c>
      <c r="W235" s="176">
        <v>1</v>
      </c>
      <c r="X235" s="175">
        <f t="shared" si="161"/>
        <v>5247.14</v>
      </c>
      <c r="Y235" s="175">
        <f t="shared" si="162"/>
        <v>5247.14</v>
      </c>
      <c r="Z235" s="175">
        <f t="shared" si="163"/>
        <v>0</v>
      </c>
      <c r="AA235" s="175">
        <f t="shared" si="164"/>
        <v>105.91666666666667</v>
      </c>
      <c r="AB235" s="175">
        <f t="shared" si="165"/>
        <v>118.25</v>
      </c>
      <c r="AC235" s="175">
        <f t="shared" si="166"/>
        <v>113.91666666666667</v>
      </c>
      <c r="AD235" s="175">
        <f t="shared" si="167"/>
        <v>117.25</v>
      </c>
      <c r="AE235" s="175">
        <f t="shared" si="168"/>
        <v>-8.3333333333333329E-2</v>
      </c>
      <c r="AF235" s="175">
        <f t="shared" si="169"/>
        <v>0</v>
      </c>
      <c r="AG235" s="168"/>
      <c r="AH235" s="168"/>
      <c r="AI235" s="168"/>
      <c r="AJ235" s="165"/>
      <c r="AK235" s="165"/>
    </row>
    <row r="236" spans="2:37" s="163" customFormat="1">
      <c r="B236" s="163" t="s">
        <v>522</v>
      </c>
      <c r="C236" s="295">
        <v>2006</v>
      </c>
      <c r="D236" s="163">
        <v>106</v>
      </c>
      <c r="E236" s="163">
        <v>3</v>
      </c>
      <c r="F236" s="178">
        <v>0</v>
      </c>
      <c r="G236" s="177" t="s">
        <v>491</v>
      </c>
      <c r="H236" s="163">
        <v>8</v>
      </c>
      <c r="I236" s="163">
        <f t="shared" si="152"/>
        <v>114</v>
      </c>
      <c r="L236" s="175">
        <v>2568.11</v>
      </c>
      <c r="M236" s="175">
        <v>0</v>
      </c>
      <c r="N236" s="175">
        <f t="shared" si="153"/>
        <v>2568.11</v>
      </c>
      <c r="O236" s="175">
        <f t="shared" si="154"/>
        <v>26.751145833333336</v>
      </c>
      <c r="P236" s="175">
        <f t="shared" si="155"/>
        <v>0</v>
      </c>
      <c r="Q236" s="175">
        <f t="shared" si="156"/>
        <v>0</v>
      </c>
      <c r="R236" s="175">
        <f t="shared" si="157"/>
        <v>0</v>
      </c>
      <c r="S236" s="176">
        <v>1</v>
      </c>
      <c r="T236" s="175">
        <f t="shared" si="158"/>
        <v>0</v>
      </c>
      <c r="U236" s="175">
        <f t="shared" si="159"/>
        <v>2568.11</v>
      </c>
      <c r="V236" s="175">
        <f t="shared" si="160"/>
        <v>2568.11</v>
      </c>
      <c r="W236" s="176">
        <v>1</v>
      </c>
      <c r="X236" s="175">
        <f t="shared" si="161"/>
        <v>2568.11</v>
      </c>
      <c r="Y236" s="175">
        <f t="shared" si="162"/>
        <v>2568.11</v>
      </c>
      <c r="Z236" s="175">
        <f t="shared" si="163"/>
        <v>0</v>
      </c>
      <c r="AA236" s="175">
        <f t="shared" si="164"/>
        <v>106.16666666666667</v>
      </c>
      <c r="AB236" s="175">
        <f t="shared" si="165"/>
        <v>118.25</v>
      </c>
      <c r="AC236" s="175">
        <f t="shared" si="166"/>
        <v>114.16666666666667</v>
      </c>
      <c r="AD236" s="175">
        <f t="shared" si="167"/>
        <v>117.25</v>
      </c>
      <c r="AE236" s="175">
        <f t="shared" si="168"/>
        <v>-8.3333333333333329E-2</v>
      </c>
      <c r="AF236" s="175">
        <f t="shared" si="169"/>
        <v>0</v>
      </c>
      <c r="AG236" s="168"/>
      <c r="AH236" s="168"/>
      <c r="AI236" s="168"/>
      <c r="AJ236" s="165"/>
      <c r="AK236" s="165"/>
    </row>
    <row r="237" spans="2:37" s="163" customFormat="1">
      <c r="B237" s="163" t="s">
        <v>521</v>
      </c>
      <c r="C237" s="295">
        <v>2006</v>
      </c>
      <c r="D237" s="163">
        <v>106</v>
      </c>
      <c r="E237" s="163">
        <v>3</v>
      </c>
      <c r="F237" s="178">
        <v>0</v>
      </c>
      <c r="G237" s="177" t="s">
        <v>491</v>
      </c>
      <c r="H237" s="163">
        <v>8</v>
      </c>
      <c r="I237" s="163">
        <f t="shared" si="152"/>
        <v>114</v>
      </c>
      <c r="L237" s="175">
        <v>2907.9</v>
      </c>
      <c r="M237" s="175">
        <v>0</v>
      </c>
      <c r="N237" s="175">
        <f t="shared" si="153"/>
        <v>2907.9</v>
      </c>
      <c r="O237" s="175">
        <f t="shared" si="154"/>
        <v>30.290625000000002</v>
      </c>
      <c r="P237" s="175">
        <f t="shared" si="155"/>
        <v>0</v>
      </c>
      <c r="Q237" s="175">
        <f t="shared" si="156"/>
        <v>0</v>
      </c>
      <c r="R237" s="175">
        <f t="shared" si="157"/>
        <v>0</v>
      </c>
      <c r="S237" s="176">
        <v>1</v>
      </c>
      <c r="T237" s="175">
        <f t="shared" si="158"/>
        <v>0</v>
      </c>
      <c r="U237" s="175">
        <f t="shared" si="159"/>
        <v>2907.9</v>
      </c>
      <c r="V237" s="175">
        <f t="shared" si="160"/>
        <v>2907.9</v>
      </c>
      <c r="W237" s="176">
        <v>1</v>
      </c>
      <c r="X237" s="175">
        <f t="shared" si="161"/>
        <v>2907.9</v>
      </c>
      <c r="Y237" s="175">
        <f t="shared" si="162"/>
        <v>2907.9</v>
      </c>
      <c r="Z237" s="175">
        <f t="shared" si="163"/>
        <v>0</v>
      </c>
      <c r="AA237" s="175">
        <f t="shared" si="164"/>
        <v>106.16666666666667</v>
      </c>
      <c r="AB237" s="175">
        <f t="shared" si="165"/>
        <v>118.25</v>
      </c>
      <c r="AC237" s="175">
        <f t="shared" si="166"/>
        <v>114.16666666666667</v>
      </c>
      <c r="AD237" s="175">
        <f t="shared" si="167"/>
        <v>117.25</v>
      </c>
      <c r="AE237" s="175">
        <f t="shared" si="168"/>
        <v>-8.3333333333333329E-2</v>
      </c>
      <c r="AF237" s="175">
        <f t="shared" si="169"/>
        <v>0</v>
      </c>
      <c r="AG237" s="168"/>
      <c r="AH237" s="168"/>
      <c r="AI237" s="168"/>
      <c r="AJ237" s="165"/>
      <c r="AK237" s="165"/>
    </row>
    <row r="238" spans="2:37" s="163" customFormat="1">
      <c r="B238" s="163" t="s">
        <v>523</v>
      </c>
      <c r="C238" s="295">
        <v>2006</v>
      </c>
      <c r="D238" s="163">
        <v>106</v>
      </c>
      <c r="E238" s="163">
        <v>6</v>
      </c>
      <c r="F238" s="178">
        <v>0</v>
      </c>
      <c r="G238" s="177" t="s">
        <v>491</v>
      </c>
      <c r="H238" s="163">
        <v>8</v>
      </c>
      <c r="I238" s="163">
        <f t="shared" si="152"/>
        <v>114</v>
      </c>
      <c r="L238" s="175">
        <v>1421.64</v>
      </c>
      <c r="M238" s="175">
        <v>0</v>
      </c>
      <c r="N238" s="175">
        <f t="shared" si="153"/>
        <v>1421.64</v>
      </c>
      <c r="O238" s="175">
        <f t="shared" si="154"/>
        <v>14.808750000000002</v>
      </c>
      <c r="P238" s="175">
        <f t="shared" si="155"/>
        <v>0</v>
      </c>
      <c r="Q238" s="175">
        <f t="shared" si="156"/>
        <v>0</v>
      </c>
      <c r="R238" s="175">
        <f t="shared" si="157"/>
        <v>0</v>
      </c>
      <c r="S238" s="176">
        <v>1</v>
      </c>
      <c r="T238" s="175">
        <f t="shared" si="158"/>
        <v>0</v>
      </c>
      <c r="U238" s="175">
        <f t="shared" si="159"/>
        <v>1421.64</v>
      </c>
      <c r="V238" s="175">
        <f t="shared" si="160"/>
        <v>1421.64</v>
      </c>
      <c r="W238" s="176">
        <v>1</v>
      </c>
      <c r="X238" s="175">
        <f t="shared" si="161"/>
        <v>1421.64</v>
      </c>
      <c r="Y238" s="175">
        <f t="shared" si="162"/>
        <v>1421.64</v>
      </c>
      <c r="Z238" s="175">
        <f t="shared" si="163"/>
        <v>0</v>
      </c>
      <c r="AA238" s="175">
        <f t="shared" si="164"/>
        <v>106.41666666666667</v>
      </c>
      <c r="AB238" s="175">
        <f t="shared" si="165"/>
        <v>118.25</v>
      </c>
      <c r="AC238" s="175">
        <f t="shared" si="166"/>
        <v>114.41666666666667</v>
      </c>
      <c r="AD238" s="175">
        <f t="shared" si="167"/>
        <v>117.25</v>
      </c>
      <c r="AE238" s="175">
        <f t="shared" si="168"/>
        <v>-8.3333333333333329E-2</v>
      </c>
      <c r="AF238" s="175">
        <f t="shared" si="169"/>
        <v>0</v>
      </c>
      <c r="AG238" s="168"/>
      <c r="AH238" s="168"/>
      <c r="AI238" s="168"/>
      <c r="AJ238" s="165"/>
      <c r="AK238" s="165"/>
    </row>
    <row r="239" spans="2:37" s="163" customFormat="1">
      <c r="B239" s="163" t="s">
        <v>517</v>
      </c>
      <c r="C239" s="295">
        <v>2006</v>
      </c>
      <c r="D239" s="163">
        <v>106</v>
      </c>
      <c r="E239" s="163">
        <v>6</v>
      </c>
      <c r="F239" s="178">
        <v>0</v>
      </c>
      <c r="G239" s="177" t="s">
        <v>491</v>
      </c>
      <c r="H239" s="163">
        <v>8</v>
      </c>
      <c r="I239" s="163">
        <f t="shared" si="152"/>
        <v>114</v>
      </c>
      <c r="L239" s="175">
        <v>5061.8999999999996</v>
      </c>
      <c r="M239" s="175">
        <v>0</v>
      </c>
      <c r="N239" s="175">
        <f t="shared" si="153"/>
        <v>5061.8999999999996</v>
      </c>
      <c r="O239" s="175">
        <f t="shared" si="154"/>
        <v>52.728124999999999</v>
      </c>
      <c r="P239" s="175">
        <f t="shared" si="155"/>
        <v>0</v>
      </c>
      <c r="Q239" s="175">
        <f t="shared" si="156"/>
        <v>0</v>
      </c>
      <c r="R239" s="175">
        <f t="shared" si="157"/>
        <v>0</v>
      </c>
      <c r="S239" s="176">
        <v>1</v>
      </c>
      <c r="T239" s="175">
        <f t="shared" si="158"/>
        <v>0</v>
      </c>
      <c r="U239" s="175">
        <f t="shared" si="159"/>
        <v>5061.8999999999996</v>
      </c>
      <c r="V239" s="175">
        <f t="shared" si="160"/>
        <v>5061.8999999999996</v>
      </c>
      <c r="W239" s="176">
        <v>1</v>
      </c>
      <c r="X239" s="175">
        <f t="shared" si="161"/>
        <v>5061.8999999999996</v>
      </c>
      <c r="Y239" s="175">
        <f t="shared" si="162"/>
        <v>5061.8999999999996</v>
      </c>
      <c r="Z239" s="175">
        <f t="shared" si="163"/>
        <v>0</v>
      </c>
      <c r="AA239" s="175">
        <f t="shared" si="164"/>
        <v>106.41666666666667</v>
      </c>
      <c r="AB239" s="175">
        <f t="shared" si="165"/>
        <v>118.25</v>
      </c>
      <c r="AC239" s="175">
        <f t="shared" si="166"/>
        <v>114.41666666666667</v>
      </c>
      <c r="AD239" s="175">
        <f t="shared" si="167"/>
        <v>117.25</v>
      </c>
      <c r="AE239" s="175">
        <f t="shared" si="168"/>
        <v>-8.3333333333333329E-2</v>
      </c>
      <c r="AF239" s="175">
        <f t="shared" si="169"/>
        <v>0</v>
      </c>
      <c r="AG239" s="168"/>
      <c r="AH239" s="168"/>
      <c r="AI239" s="168"/>
      <c r="AJ239" s="165"/>
      <c r="AK239" s="165"/>
    </row>
    <row r="240" spans="2:37" s="163" customFormat="1" ht="15.75" customHeight="1">
      <c r="B240" s="163" t="s">
        <v>520</v>
      </c>
      <c r="C240" s="295">
        <v>2006</v>
      </c>
      <c r="D240" s="163">
        <v>106</v>
      </c>
      <c r="E240" s="163">
        <v>8</v>
      </c>
      <c r="F240" s="178">
        <v>0</v>
      </c>
      <c r="G240" s="177" t="s">
        <v>491</v>
      </c>
      <c r="H240" s="163">
        <v>8</v>
      </c>
      <c r="I240" s="163">
        <f t="shared" si="152"/>
        <v>114</v>
      </c>
      <c r="L240" s="175">
        <v>5761.95</v>
      </c>
      <c r="M240" s="175">
        <v>0</v>
      </c>
      <c r="N240" s="175">
        <f t="shared" si="153"/>
        <v>5761.95</v>
      </c>
      <c r="O240" s="175">
        <f t="shared" si="154"/>
        <v>60.020312499999996</v>
      </c>
      <c r="P240" s="175">
        <f t="shared" si="155"/>
        <v>0</v>
      </c>
      <c r="Q240" s="175">
        <f t="shared" si="156"/>
        <v>0</v>
      </c>
      <c r="R240" s="175">
        <f t="shared" si="157"/>
        <v>0</v>
      </c>
      <c r="S240" s="176">
        <v>1</v>
      </c>
      <c r="T240" s="175">
        <f t="shared" si="158"/>
        <v>0</v>
      </c>
      <c r="U240" s="175">
        <f t="shared" si="159"/>
        <v>5761.95</v>
      </c>
      <c r="V240" s="175">
        <f t="shared" si="160"/>
        <v>5761.95</v>
      </c>
      <c r="W240" s="176">
        <v>1</v>
      </c>
      <c r="X240" s="175">
        <f t="shared" si="161"/>
        <v>5761.95</v>
      </c>
      <c r="Y240" s="175">
        <f t="shared" si="162"/>
        <v>5761.95</v>
      </c>
      <c r="Z240" s="175">
        <f t="shared" si="163"/>
        <v>0</v>
      </c>
      <c r="AA240" s="175">
        <f t="shared" si="164"/>
        <v>106.58333333333333</v>
      </c>
      <c r="AB240" s="175">
        <f t="shared" si="165"/>
        <v>118.25</v>
      </c>
      <c r="AC240" s="175">
        <f t="shared" si="166"/>
        <v>114.58333333333333</v>
      </c>
      <c r="AD240" s="175">
        <f t="shared" si="167"/>
        <v>117.25</v>
      </c>
      <c r="AE240" s="175">
        <f t="shared" si="168"/>
        <v>-8.3333333333333329E-2</v>
      </c>
      <c r="AF240" s="175">
        <f t="shared" si="169"/>
        <v>0</v>
      </c>
      <c r="AG240" s="168"/>
      <c r="AH240" s="168"/>
      <c r="AI240" s="168"/>
      <c r="AJ240" s="165"/>
      <c r="AK240" s="165"/>
    </row>
    <row r="241" spans="2:37" s="163" customFormat="1">
      <c r="B241" s="163" t="s">
        <v>522</v>
      </c>
      <c r="C241" s="295">
        <v>2006</v>
      </c>
      <c r="D241" s="163">
        <v>106</v>
      </c>
      <c r="E241" s="163">
        <v>8</v>
      </c>
      <c r="F241" s="178">
        <v>0</v>
      </c>
      <c r="G241" s="177" t="s">
        <v>491</v>
      </c>
      <c r="H241" s="163">
        <v>8</v>
      </c>
      <c r="I241" s="163">
        <f t="shared" si="152"/>
        <v>114</v>
      </c>
      <c r="L241" s="175">
        <v>2083.46</v>
      </c>
      <c r="M241" s="175">
        <v>0</v>
      </c>
      <c r="N241" s="175">
        <f t="shared" si="153"/>
        <v>2083.46</v>
      </c>
      <c r="O241" s="175">
        <f t="shared" si="154"/>
        <v>21.702708333333334</v>
      </c>
      <c r="P241" s="175">
        <f t="shared" si="155"/>
        <v>0</v>
      </c>
      <c r="Q241" s="175">
        <f t="shared" si="156"/>
        <v>0</v>
      </c>
      <c r="R241" s="175">
        <f t="shared" si="157"/>
        <v>0</v>
      </c>
      <c r="S241" s="176">
        <v>1</v>
      </c>
      <c r="T241" s="175">
        <f t="shared" si="158"/>
        <v>0</v>
      </c>
      <c r="U241" s="175">
        <f t="shared" si="159"/>
        <v>2083.46</v>
      </c>
      <c r="V241" s="175">
        <f t="shared" si="160"/>
        <v>2083.46</v>
      </c>
      <c r="W241" s="176">
        <v>1</v>
      </c>
      <c r="X241" s="175">
        <f t="shared" si="161"/>
        <v>2083.46</v>
      </c>
      <c r="Y241" s="175">
        <f t="shared" si="162"/>
        <v>2083.46</v>
      </c>
      <c r="Z241" s="175">
        <f t="shared" si="163"/>
        <v>0</v>
      </c>
      <c r="AA241" s="175">
        <f t="shared" si="164"/>
        <v>106.58333333333333</v>
      </c>
      <c r="AB241" s="175">
        <f t="shared" si="165"/>
        <v>118.25</v>
      </c>
      <c r="AC241" s="175">
        <f t="shared" si="166"/>
        <v>114.58333333333333</v>
      </c>
      <c r="AD241" s="175">
        <f t="shared" si="167"/>
        <v>117.25</v>
      </c>
      <c r="AE241" s="175">
        <f t="shared" si="168"/>
        <v>-8.3333333333333329E-2</v>
      </c>
      <c r="AF241" s="175">
        <f t="shared" si="169"/>
        <v>0</v>
      </c>
      <c r="AG241" s="168"/>
      <c r="AH241" s="168"/>
      <c r="AI241" s="168"/>
      <c r="AJ241" s="165"/>
      <c r="AK241" s="165"/>
    </row>
    <row r="242" spans="2:37" s="163" customFormat="1">
      <c r="B242" s="163" t="s">
        <v>521</v>
      </c>
      <c r="C242" s="295">
        <v>2006</v>
      </c>
      <c r="D242" s="163">
        <v>106</v>
      </c>
      <c r="E242" s="163">
        <v>10</v>
      </c>
      <c r="F242" s="178">
        <v>0</v>
      </c>
      <c r="G242" s="177" t="s">
        <v>491</v>
      </c>
      <c r="H242" s="163">
        <v>8</v>
      </c>
      <c r="I242" s="163">
        <f t="shared" si="152"/>
        <v>114</v>
      </c>
      <c r="L242" s="175">
        <v>2584.8000000000002</v>
      </c>
      <c r="M242" s="175">
        <v>0</v>
      </c>
      <c r="N242" s="175">
        <f t="shared" si="153"/>
        <v>2584.8000000000002</v>
      </c>
      <c r="O242" s="175">
        <f t="shared" si="154"/>
        <v>26.925000000000001</v>
      </c>
      <c r="P242" s="175">
        <f t="shared" si="155"/>
        <v>0</v>
      </c>
      <c r="Q242" s="175">
        <f t="shared" si="156"/>
        <v>0</v>
      </c>
      <c r="R242" s="175">
        <f t="shared" si="157"/>
        <v>0</v>
      </c>
      <c r="S242" s="176">
        <v>1</v>
      </c>
      <c r="T242" s="175">
        <f t="shared" si="158"/>
        <v>0</v>
      </c>
      <c r="U242" s="175">
        <f t="shared" si="159"/>
        <v>2584.8000000000002</v>
      </c>
      <c r="V242" s="175">
        <f t="shared" si="160"/>
        <v>2584.8000000000002</v>
      </c>
      <c r="W242" s="176">
        <v>1</v>
      </c>
      <c r="X242" s="175">
        <f t="shared" si="161"/>
        <v>2584.8000000000002</v>
      </c>
      <c r="Y242" s="175">
        <f t="shared" si="162"/>
        <v>2584.8000000000002</v>
      </c>
      <c r="Z242" s="175">
        <f t="shared" si="163"/>
        <v>0</v>
      </c>
      <c r="AA242" s="175">
        <f t="shared" si="164"/>
        <v>106.75</v>
      </c>
      <c r="AB242" s="175">
        <f t="shared" si="165"/>
        <v>118.25</v>
      </c>
      <c r="AC242" s="175">
        <f t="shared" si="166"/>
        <v>114.75</v>
      </c>
      <c r="AD242" s="175">
        <f t="shared" si="167"/>
        <v>117.25</v>
      </c>
      <c r="AE242" s="175">
        <f t="shared" si="168"/>
        <v>-8.3333333333333329E-2</v>
      </c>
      <c r="AF242" s="175">
        <f t="shared" si="169"/>
        <v>0</v>
      </c>
      <c r="AG242" s="168"/>
      <c r="AH242" s="168"/>
      <c r="AI242" s="168"/>
      <c r="AJ242" s="165"/>
      <c r="AK242" s="165"/>
    </row>
    <row r="243" spans="2:37" s="163" customFormat="1">
      <c r="B243" s="163" t="s">
        <v>517</v>
      </c>
      <c r="C243" s="295">
        <v>2006</v>
      </c>
      <c r="D243" s="163">
        <v>106</v>
      </c>
      <c r="E243" s="163">
        <v>10</v>
      </c>
      <c r="F243" s="178">
        <v>0</v>
      </c>
      <c r="G243" s="177" t="s">
        <v>491</v>
      </c>
      <c r="H243" s="163">
        <v>8</v>
      </c>
      <c r="I243" s="163">
        <f t="shared" si="152"/>
        <v>114</v>
      </c>
      <c r="L243" s="175">
        <v>5061.8999999999996</v>
      </c>
      <c r="M243" s="175">
        <v>0</v>
      </c>
      <c r="N243" s="175">
        <f t="shared" si="153"/>
        <v>5061.8999999999996</v>
      </c>
      <c r="O243" s="175">
        <f t="shared" si="154"/>
        <v>52.728124999999999</v>
      </c>
      <c r="P243" s="175">
        <f t="shared" si="155"/>
        <v>0</v>
      </c>
      <c r="Q243" s="175">
        <f t="shared" si="156"/>
        <v>0</v>
      </c>
      <c r="R243" s="175">
        <f t="shared" si="157"/>
        <v>0</v>
      </c>
      <c r="S243" s="176">
        <v>1</v>
      </c>
      <c r="T243" s="175">
        <f t="shared" si="158"/>
        <v>0</v>
      </c>
      <c r="U243" s="175">
        <f t="shared" si="159"/>
        <v>5061.8999999999996</v>
      </c>
      <c r="V243" s="175">
        <f t="shared" si="160"/>
        <v>5061.8999999999996</v>
      </c>
      <c r="W243" s="176">
        <v>1</v>
      </c>
      <c r="X243" s="175">
        <f t="shared" si="161"/>
        <v>5061.8999999999996</v>
      </c>
      <c r="Y243" s="175">
        <f t="shared" si="162"/>
        <v>5061.8999999999996</v>
      </c>
      <c r="Z243" s="175">
        <f t="shared" si="163"/>
        <v>0</v>
      </c>
      <c r="AA243" s="175">
        <f t="shared" si="164"/>
        <v>106.75</v>
      </c>
      <c r="AB243" s="175">
        <f t="shared" si="165"/>
        <v>118.25</v>
      </c>
      <c r="AC243" s="175">
        <f t="shared" si="166"/>
        <v>114.75</v>
      </c>
      <c r="AD243" s="175">
        <f t="shared" si="167"/>
        <v>117.25</v>
      </c>
      <c r="AE243" s="175">
        <f t="shared" si="168"/>
        <v>-8.3333333333333329E-2</v>
      </c>
      <c r="AF243" s="175">
        <f t="shared" si="169"/>
        <v>0</v>
      </c>
      <c r="AG243" s="168"/>
      <c r="AH243" s="168"/>
      <c r="AI243" s="168"/>
      <c r="AJ243" s="165"/>
      <c r="AK243" s="165"/>
    </row>
    <row r="244" spans="2:37" s="163" customFormat="1">
      <c r="B244" s="163" t="s">
        <v>519</v>
      </c>
      <c r="C244" s="295">
        <v>2007</v>
      </c>
      <c r="D244" s="163">
        <v>107</v>
      </c>
      <c r="E244" s="163">
        <v>2</v>
      </c>
      <c r="F244" s="178">
        <v>0</v>
      </c>
      <c r="G244" s="177" t="s">
        <v>491</v>
      </c>
      <c r="H244" s="163">
        <v>8</v>
      </c>
      <c r="I244" s="163">
        <f t="shared" si="152"/>
        <v>115</v>
      </c>
      <c r="L244" s="175">
        <v>4166.91</v>
      </c>
      <c r="M244" s="175">
        <v>0</v>
      </c>
      <c r="N244" s="175">
        <f t="shared" si="153"/>
        <v>4166.91</v>
      </c>
      <c r="O244" s="175">
        <f t="shared" si="154"/>
        <v>43.405312500000001</v>
      </c>
      <c r="P244" s="175">
        <f t="shared" si="155"/>
        <v>0</v>
      </c>
      <c r="Q244" s="175">
        <f t="shared" si="156"/>
        <v>0</v>
      </c>
      <c r="R244" s="175">
        <f t="shared" si="157"/>
        <v>0</v>
      </c>
      <c r="S244" s="176">
        <v>1</v>
      </c>
      <c r="T244" s="175">
        <f t="shared" si="158"/>
        <v>0</v>
      </c>
      <c r="U244" s="175">
        <f t="shared" si="159"/>
        <v>4166.91</v>
      </c>
      <c r="V244" s="175">
        <f t="shared" si="160"/>
        <v>4166.91</v>
      </c>
      <c r="W244" s="176">
        <v>1</v>
      </c>
      <c r="X244" s="175">
        <f t="shared" si="161"/>
        <v>4166.91</v>
      </c>
      <c r="Y244" s="175">
        <f t="shared" si="162"/>
        <v>4166.91</v>
      </c>
      <c r="Z244" s="175">
        <f t="shared" si="163"/>
        <v>0</v>
      </c>
      <c r="AA244" s="175">
        <f t="shared" si="164"/>
        <v>107.08333333333333</v>
      </c>
      <c r="AB244" s="175">
        <f t="shared" si="165"/>
        <v>118.25</v>
      </c>
      <c r="AC244" s="175">
        <f t="shared" si="166"/>
        <v>115.08333333333333</v>
      </c>
      <c r="AD244" s="175">
        <f t="shared" si="167"/>
        <v>117.25</v>
      </c>
      <c r="AE244" s="175">
        <f t="shared" si="168"/>
        <v>-8.3333333333333329E-2</v>
      </c>
      <c r="AF244" s="175">
        <f t="shared" si="169"/>
        <v>0</v>
      </c>
      <c r="AG244" s="168"/>
      <c r="AH244" s="168"/>
      <c r="AI244" s="168"/>
      <c r="AJ244" s="165"/>
      <c r="AK244" s="165"/>
    </row>
    <row r="245" spans="2:37" s="163" customFormat="1">
      <c r="B245" s="163" t="s">
        <v>517</v>
      </c>
      <c r="C245" s="295">
        <v>2007</v>
      </c>
      <c r="D245" s="163">
        <v>107</v>
      </c>
      <c r="E245" s="163">
        <v>2</v>
      </c>
      <c r="F245" s="178">
        <v>0</v>
      </c>
      <c r="G245" s="177" t="s">
        <v>491</v>
      </c>
      <c r="H245" s="163">
        <v>8</v>
      </c>
      <c r="I245" s="163">
        <f t="shared" si="152"/>
        <v>115</v>
      </c>
      <c r="L245" s="175">
        <v>5923.5</v>
      </c>
      <c r="M245" s="175">
        <v>0</v>
      </c>
      <c r="N245" s="175">
        <f t="shared" si="153"/>
        <v>5923.5</v>
      </c>
      <c r="O245" s="175">
        <f t="shared" si="154"/>
        <v>61.703125</v>
      </c>
      <c r="P245" s="175">
        <f t="shared" si="155"/>
        <v>0</v>
      </c>
      <c r="Q245" s="175">
        <f t="shared" si="156"/>
        <v>0</v>
      </c>
      <c r="R245" s="175">
        <f t="shared" si="157"/>
        <v>0</v>
      </c>
      <c r="S245" s="176">
        <v>1</v>
      </c>
      <c r="T245" s="175">
        <f t="shared" si="158"/>
        <v>0</v>
      </c>
      <c r="U245" s="175">
        <f t="shared" si="159"/>
        <v>5923.5</v>
      </c>
      <c r="V245" s="175">
        <f t="shared" si="160"/>
        <v>5923.5</v>
      </c>
      <c r="W245" s="176">
        <v>1</v>
      </c>
      <c r="X245" s="175">
        <f t="shared" si="161"/>
        <v>5923.5</v>
      </c>
      <c r="Y245" s="175">
        <f t="shared" si="162"/>
        <v>5923.5</v>
      </c>
      <c r="Z245" s="175">
        <f t="shared" si="163"/>
        <v>0</v>
      </c>
      <c r="AA245" s="175">
        <f t="shared" si="164"/>
        <v>107.08333333333333</v>
      </c>
      <c r="AB245" s="175">
        <f t="shared" si="165"/>
        <v>118.25</v>
      </c>
      <c r="AC245" s="175">
        <f t="shared" si="166"/>
        <v>115.08333333333333</v>
      </c>
      <c r="AD245" s="175">
        <f t="shared" si="167"/>
        <v>117.25</v>
      </c>
      <c r="AE245" s="175">
        <f t="shared" si="168"/>
        <v>-8.3333333333333329E-2</v>
      </c>
      <c r="AF245" s="175">
        <f t="shared" si="169"/>
        <v>0</v>
      </c>
      <c r="AG245" s="168"/>
      <c r="AH245" s="168"/>
      <c r="AI245" s="168"/>
      <c r="AJ245" s="165"/>
      <c r="AK245" s="165"/>
    </row>
    <row r="246" spans="2:37" s="163" customFormat="1">
      <c r="B246" s="163" t="s">
        <v>518</v>
      </c>
      <c r="C246" s="295">
        <v>2007</v>
      </c>
      <c r="D246" s="163">
        <v>107</v>
      </c>
      <c r="E246" s="163">
        <v>5</v>
      </c>
      <c r="F246" s="178">
        <v>0</v>
      </c>
      <c r="G246" s="177" t="s">
        <v>491</v>
      </c>
      <c r="H246" s="163">
        <v>8</v>
      </c>
      <c r="I246" s="163">
        <f t="shared" si="152"/>
        <v>115</v>
      </c>
      <c r="L246" s="175">
        <v>6785.1</v>
      </c>
      <c r="M246" s="175">
        <v>0</v>
      </c>
      <c r="N246" s="175">
        <f t="shared" si="153"/>
        <v>6785.1</v>
      </c>
      <c r="O246" s="175">
        <f t="shared" si="154"/>
        <v>70.678125000000009</v>
      </c>
      <c r="P246" s="175">
        <f t="shared" si="155"/>
        <v>0</v>
      </c>
      <c r="Q246" s="175">
        <f t="shared" si="156"/>
        <v>0</v>
      </c>
      <c r="R246" s="175">
        <f t="shared" si="157"/>
        <v>0</v>
      </c>
      <c r="S246" s="176">
        <v>1</v>
      </c>
      <c r="T246" s="175">
        <f t="shared" si="158"/>
        <v>0</v>
      </c>
      <c r="U246" s="175">
        <f t="shared" si="159"/>
        <v>6785.1</v>
      </c>
      <c r="V246" s="175">
        <f t="shared" si="160"/>
        <v>6785.1</v>
      </c>
      <c r="W246" s="176">
        <v>1</v>
      </c>
      <c r="X246" s="175">
        <f t="shared" si="161"/>
        <v>6785.1</v>
      </c>
      <c r="Y246" s="175">
        <f t="shared" si="162"/>
        <v>6785.1</v>
      </c>
      <c r="Z246" s="175">
        <f t="shared" si="163"/>
        <v>0</v>
      </c>
      <c r="AA246" s="175">
        <f t="shared" si="164"/>
        <v>107.33333333333333</v>
      </c>
      <c r="AB246" s="175">
        <f t="shared" si="165"/>
        <v>118.25</v>
      </c>
      <c r="AC246" s="175">
        <f t="shared" si="166"/>
        <v>115.33333333333333</v>
      </c>
      <c r="AD246" s="175">
        <f t="shared" si="167"/>
        <v>117.25</v>
      </c>
      <c r="AE246" s="175">
        <f t="shared" si="168"/>
        <v>-8.3333333333333329E-2</v>
      </c>
      <c r="AF246" s="175">
        <f t="shared" si="169"/>
        <v>0</v>
      </c>
      <c r="AG246" s="168"/>
      <c r="AH246" s="168"/>
      <c r="AI246" s="168"/>
      <c r="AJ246" s="165"/>
      <c r="AK246" s="165"/>
    </row>
    <row r="247" spans="2:37" s="163" customFormat="1">
      <c r="B247" s="163" t="s">
        <v>518</v>
      </c>
      <c r="C247" s="295">
        <v>2007</v>
      </c>
      <c r="D247" s="163">
        <v>107</v>
      </c>
      <c r="E247" s="163">
        <v>9</v>
      </c>
      <c r="F247" s="178">
        <v>0</v>
      </c>
      <c r="G247" s="177" t="s">
        <v>491</v>
      </c>
      <c r="H247" s="163">
        <v>8</v>
      </c>
      <c r="I247" s="163">
        <f t="shared" si="152"/>
        <v>115</v>
      </c>
      <c r="L247" s="175">
        <v>6946.65</v>
      </c>
      <c r="M247" s="175">
        <v>0</v>
      </c>
      <c r="N247" s="175">
        <f t="shared" si="153"/>
        <v>6946.65</v>
      </c>
      <c r="O247" s="175">
        <f t="shared" si="154"/>
        <v>72.360937499999991</v>
      </c>
      <c r="P247" s="175">
        <f t="shared" si="155"/>
        <v>0</v>
      </c>
      <c r="Q247" s="175">
        <f t="shared" si="156"/>
        <v>0</v>
      </c>
      <c r="R247" s="175">
        <f t="shared" si="157"/>
        <v>0</v>
      </c>
      <c r="S247" s="176">
        <v>1</v>
      </c>
      <c r="T247" s="175">
        <f t="shared" si="158"/>
        <v>0</v>
      </c>
      <c r="U247" s="175">
        <f t="shared" si="159"/>
        <v>6946.65</v>
      </c>
      <c r="V247" s="175">
        <f t="shared" si="160"/>
        <v>6946.65</v>
      </c>
      <c r="W247" s="176">
        <v>1</v>
      </c>
      <c r="X247" s="175">
        <f t="shared" si="161"/>
        <v>6946.65</v>
      </c>
      <c r="Y247" s="175">
        <f t="shared" si="162"/>
        <v>6946.65</v>
      </c>
      <c r="Z247" s="175">
        <f t="shared" si="163"/>
        <v>0</v>
      </c>
      <c r="AA247" s="175">
        <f t="shared" si="164"/>
        <v>107.66666666666667</v>
      </c>
      <c r="AB247" s="175">
        <f t="shared" si="165"/>
        <v>118.25</v>
      </c>
      <c r="AC247" s="175">
        <f t="shared" si="166"/>
        <v>115.66666666666667</v>
      </c>
      <c r="AD247" s="175">
        <f t="shared" si="167"/>
        <v>117.25</v>
      </c>
      <c r="AE247" s="175">
        <f t="shared" si="168"/>
        <v>-8.3333333333333329E-2</v>
      </c>
      <c r="AF247" s="175">
        <f t="shared" si="169"/>
        <v>0</v>
      </c>
      <c r="AG247" s="168"/>
      <c r="AH247" s="168"/>
      <c r="AI247" s="168"/>
      <c r="AJ247" s="165"/>
      <c r="AK247" s="165"/>
    </row>
    <row r="248" spans="2:37" s="163" customFormat="1">
      <c r="B248" s="163" t="s">
        <v>517</v>
      </c>
      <c r="C248" s="295">
        <v>2007</v>
      </c>
      <c r="D248" s="163">
        <v>107</v>
      </c>
      <c r="E248" s="163">
        <v>11</v>
      </c>
      <c r="F248" s="178">
        <v>0</v>
      </c>
      <c r="G248" s="177" t="s">
        <v>491</v>
      </c>
      <c r="H248" s="163">
        <v>8</v>
      </c>
      <c r="I248" s="163">
        <f t="shared" si="152"/>
        <v>115</v>
      </c>
      <c r="L248" s="175">
        <v>5869.65</v>
      </c>
      <c r="M248" s="175">
        <v>0</v>
      </c>
      <c r="N248" s="175">
        <f t="shared" si="153"/>
        <v>5869.65</v>
      </c>
      <c r="O248" s="175">
        <f t="shared" si="154"/>
        <v>61.142187499999999</v>
      </c>
      <c r="P248" s="175">
        <f t="shared" si="155"/>
        <v>0</v>
      </c>
      <c r="Q248" s="175">
        <f t="shared" si="156"/>
        <v>0</v>
      </c>
      <c r="R248" s="175">
        <f t="shared" si="157"/>
        <v>0</v>
      </c>
      <c r="S248" s="176">
        <v>1</v>
      </c>
      <c r="T248" s="175">
        <f t="shared" si="158"/>
        <v>0</v>
      </c>
      <c r="U248" s="175">
        <f t="shared" si="159"/>
        <v>5869.65</v>
      </c>
      <c r="V248" s="175">
        <f t="shared" si="160"/>
        <v>5869.65</v>
      </c>
      <c r="W248" s="176">
        <v>1</v>
      </c>
      <c r="X248" s="175">
        <f t="shared" si="161"/>
        <v>5869.65</v>
      </c>
      <c r="Y248" s="175">
        <f t="shared" si="162"/>
        <v>5869.65</v>
      </c>
      <c r="Z248" s="175">
        <f t="shared" si="163"/>
        <v>0</v>
      </c>
      <c r="AA248" s="175">
        <f t="shared" si="164"/>
        <v>107.83333333333333</v>
      </c>
      <c r="AB248" s="175">
        <f t="shared" si="165"/>
        <v>118.25</v>
      </c>
      <c r="AC248" s="175">
        <f t="shared" si="166"/>
        <v>115.83333333333333</v>
      </c>
      <c r="AD248" s="175">
        <f t="shared" si="167"/>
        <v>117.25</v>
      </c>
      <c r="AE248" s="175">
        <f t="shared" si="168"/>
        <v>-8.3333333333333329E-2</v>
      </c>
      <c r="AF248" s="175">
        <f t="shared" si="169"/>
        <v>0</v>
      </c>
      <c r="AG248" s="168"/>
      <c r="AH248" s="168"/>
      <c r="AI248" s="168"/>
      <c r="AJ248" s="165"/>
      <c r="AK248" s="165"/>
    </row>
    <row r="249" spans="2:37" s="163" customFormat="1">
      <c r="B249" s="163" t="s">
        <v>520</v>
      </c>
      <c r="C249" s="295">
        <v>2007</v>
      </c>
      <c r="D249" s="163">
        <v>107</v>
      </c>
      <c r="E249" s="163">
        <v>11</v>
      </c>
      <c r="F249" s="178">
        <v>0</v>
      </c>
      <c r="G249" s="177" t="s">
        <v>491</v>
      </c>
      <c r="H249" s="163">
        <v>8</v>
      </c>
      <c r="I249" s="163">
        <f t="shared" si="152"/>
        <v>115</v>
      </c>
      <c r="L249" s="175">
        <v>3473.33</v>
      </c>
      <c r="M249" s="175">
        <v>0</v>
      </c>
      <c r="N249" s="175">
        <f t="shared" si="153"/>
        <v>3473.33</v>
      </c>
      <c r="O249" s="175">
        <f t="shared" si="154"/>
        <v>36.180520833333333</v>
      </c>
      <c r="P249" s="175">
        <f t="shared" si="155"/>
        <v>0</v>
      </c>
      <c r="Q249" s="175">
        <f t="shared" si="156"/>
        <v>0</v>
      </c>
      <c r="R249" s="175">
        <f t="shared" si="157"/>
        <v>0</v>
      </c>
      <c r="S249" s="176">
        <v>1</v>
      </c>
      <c r="T249" s="175">
        <f t="shared" si="158"/>
        <v>0</v>
      </c>
      <c r="U249" s="175">
        <f t="shared" si="159"/>
        <v>3473.33</v>
      </c>
      <c r="V249" s="175">
        <f t="shared" si="160"/>
        <v>3473.33</v>
      </c>
      <c r="W249" s="176">
        <v>1</v>
      </c>
      <c r="X249" s="175">
        <f t="shared" si="161"/>
        <v>3473.33</v>
      </c>
      <c r="Y249" s="175">
        <f t="shared" si="162"/>
        <v>3473.33</v>
      </c>
      <c r="Z249" s="175">
        <f t="shared" si="163"/>
        <v>0</v>
      </c>
      <c r="AA249" s="175">
        <f t="shared" si="164"/>
        <v>107.83333333333333</v>
      </c>
      <c r="AB249" s="175">
        <f t="shared" si="165"/>
        <v>118.25</v>
      </c>
      <c r="AC249" s="175">
        <f t="shared" si="166"/>
        <v>115.83333333333333</v>
      </c>
      <c r="AD249" s="175">
        <f t="shared" si="167"/>
        <v>117.25</v>
      </c>
      <c r="AE249" s="175">
        <f t="shared" si="168"/>
        <v>-8.3333333333333329E-2</v>
      </c>
      <c r="AF249" s="175">
        <f t="shared" si="169"/>
        <v>0</v>
      </c>
      <c r="AG249" s="168"/>
      <c r="AH249" s="168"/>
      <c r="AI249" s="168"/>
      <c r="AJ249" s="165"/>
      <c r="AK249" s="165"/>
    </row>
    <row r="250" spans="2:37" s="163" customFormat="1">
      <c r="B250" s="163" t="s">
        <v>517</v>
      </c>
      <c r="C250" s="295">
        <v>2007</v>
      </c>
      <c r="D250" s="163">
        <v>107</v>
      </c>
      <c r="E250" s="163">
        <v>12</v>
      </c>
      <c r="F250" s="178">
        <v>0</v>
      </c>
      <c r="G250" s="177" t="s">
        <v>491</v>
      </c>
      <c r="H250" s="163">
        <v>8</v>
      </c>
      <c r="I250" s="163">
        <f t="shared" si="152"/>
        <v>115</v>
      </c>
      <c r="L250" s="175">
        <v>5869.65</v>
      </c>
      <c r="M250" s="175">
        <v>0</v>
      </c>
      <c r="N250" s="175">
        <f t="shared" si="153"/>
        <v>5869.65</v>
      </c>
      <c r="O250" s="175">
        <f t="shared" si="154"/>
        <v>61.142187499999999</v>
      </c>
      <c r="P250" s="175">
        <f t="shared" si="155"/>
        <v>0</v>
      </c>
      <c r="Q250" s="175">
        <f t="shared" si="156"/>
        <v>0</v>
      </c>
      <c r="R250" s="175">
        <f t="shared" si="157"/>
        <v>0</v>
      </c>
      <c r="S250" s="176">
        <v>1</v>
      </c>
      <c r="T250" s="175">
        <f t="shared" si="158"/>
        <v>0</v>
      </c>
      <c r="U250" s="175">
        <f t="shared" si="159"/>
        <v>5869.65</v>
      </c>
      <c r="V250" s="175">
        <f t="shared" si="160"/>
        <v>5869.65</v>
      </c>
      <c r="W250" s="176">
        <v>1</v>
      </c>
      <c r="X250" s="175">
        <f t="shared" si="161"/>
        <v>5869.65</v>
      </c>
      <c r="Y250" s="175">
        <f t="shared" si="162"/>
        <v>5869.65</v>
      </c>
      <c r="Z250" s="175">
        <f t="shared" si="163"/>
        <v>0</v>
      </c>
      <c r="AA250" s="175">
        <f t="shared" si="164"/>
        <v>107.91666666666667</v>
      </c>
      <c r="AB250" s="175">
        <f t="shared" si="165"/>
        <v>118.25</v>
      </c>
      <c r="AC250" s="175">
        <f t="shared" si="166"/>
        <v>115.91666666666667</v>
      </c>
      <c r="AD250" s="175">
        <f t="shared" si="167"/>
        <v>117.25</v>
      </c>
      <c r="AE250" s="175">
        <f t="shared" si="168"/>
        <v>-8.3333333333333329E-2</v>
      </c>
      <c r="AF250" s="175">
        <f t="shared" si="169"/>
        <v>0</v>
      </c>
      <c r="AG250" s="168"/>
      <c r="AH250" s="168"/>
      <c r="AI250" s="168"/>
      <c r="AJ250" s="165"/>
      <c r="AK250" s="165"/>
    </row>
    <row r="251" spans="2:37" s="163" customFormat="1">
      <c r="B251" s="163" t="s">
        <v>520</v>
      </c>
      <c r="C251" s="295">
        <v>2008</v>
      </c>
      <c r="D251" s="163">
        <v>108</v>
      </c>
      <c r="E251" s="163">
        <v>1</v>
      </c>
      <c r="F251" s="178">
        <v>0</v>
      </c>
      <c r="G251" s="177" t="s">
        <v>491</v>
      </c>
      <c r="H251" s="163">
        <v>8</v>
      </c>
      <c r="I251" s="163">
        <f t="shared" si="152"/>
        <v>116</v>
      </c>
      <c r="L251" s="175">
        <v>3069.45</v>
      </c>
      <c r="M251" s="175">
        <v>0</v>
      </c>
      <c r="N251" s="175">
        <f t="shared" si="153"/>
        <v>3069.45</v>
      </c>
      <c r="O251" s="175">
        <f t="shared" si="154"/>
        <v>31.973437499999999</v>
      </c>
      <c r="P251" s="175">
        <f t="shared" si="155"/>
        <v>0</v>
      </c>
      <c r="Q251" s="175">
        <f t="shared" si="156"/>
        <v>0</v>
      </c>
      <c r="R251" s="175">
        <f t="shared" si="157"/>
        <v>0</v>
      </c>
      <c r="S251" s="176">
        <v>1</v>
      </c>
      <c r="T251" s="175">
        <f t="shared" si="158"/>
        <v>0</v>
      </c>
      <c r="U251" s="175">
        <f t="shared" si="159"/>
        <v>3069.45</v>
      </c>
      <c r="V251" s="175">
        <f t="shared" si="160"/>
        <v>3069.45</v>
      </c>
      <c r="W251" s="176">
        <v>1</v>
      </c>
      <c r="X251" s="175">
        <f t="shared" si="161"/>
        <v>3069.45</v>
      </c>
      <c r="Y251" s="175">
        <f t="shared" si="162"/>
        <v>3069.45</v>
      </c>
      <c r="Z251" s="175">
        <f t="shared" si="163"/>
        <v>0</v>
      </c>
      <c r="AA251" s="175">
        <f t="shared" si="164"/>
        <v>108</v>
      </c>
      <c r="AB251" s="175">
        <f t="shared" si="165"/>
        <v>118.25</v>
      </c>
      <c r="AC251" s="175">
        <f t="shared" si="166"/>
        <v>116</v>
      </c>
      <c r="AD251" s="175">
        <f t="shared" si="167"/>
        <v>117.25</v>
      </c>
      <c r="AE251" s="175">
        <f t="shared" si="168"/>
        <v>-8.3333333333333329E-2</v>
      </c>
      <c r="AF251" s="175">
        <f t="shared" si="169"/>
        <v>0</v>
      </c>
      <c r="AG251" s="168"/>
      <c r="AH251" s="168"/>
      <c r="AI251" s="168"/>
      <c r="AJ251" s="165"/>
      <c r="AK251" s="165"/>
    </row>
    <row r="252" spans="2:37" s="163" customFormat="1">
      <c r="B252" s="163" t="s">
        <v>519</v>
      </c>
      <c r="C252" s="295">
        <v>2008</v>
      </c>
      <c r="D252" s="163">
        <v>108</v>
      </c>
      <c r="E252" s="163">
        <v>1</v>
      </c>
      <c r="F252" s="178">
        <v>0</v>
      </c>
      <c r="G252" s="177" t="s">
        <v>491</v>
      </c>
      <c r="H252" s="163">
        <v>8</v>
      </c>
      <c r="I252" s="163">
        <f t="shared" si="152"/>
        <v>116</v>
      </c>
      <c r="L252" s="175">
        <v>4200.3</v>
      </c>
      <c r="M252" s="175">
        <v>0</v>
      </c>
      <c r="N252" s="175">
        <f t="shared" si="153"/>
        <v>4200.3</v>
      </c>
      <c r="O252" s="175">
        <f t="shared" si="154"/>
        <v>43.753125000000004</v>
      </c>
      <c r="P252" s="175">
        <f t="shared" si="155"/>
        <v>0</v>
      </c>
      <c r="Q252" s="175">
        <f t="shared" si="156"/>
        <v>0</v>
      </c>
      <c r="R252" s="175">
        <f t="shared" si="157"/>
        <v>0</v>
      </c>
      <c r="S252" s="176">
        <v>1</v>
      </c>
      <c r="T252" s="175">
        <f t="shared" si="158"/>
        <v>0</v>
      </c>
      <c r="U252" s="175">
        <f t="shared" si="159"/>
        <v>4200.3</v>
      </c>
      <c r="V252" s="175">
        <f t="shared" si="160"/>
        <v>4200.3</v>
      </c>
      <c r="W252" s="176">
        <v>1</v>
      </c>
      <c r="X252" s="175">
        <f t="shared" si="161"/>
        <v>4200.3</v>
      </c>
      <c r="Y252" s="175">
        <f t="shared" si="162"/>
        <v>4200.3</v>
      </c>
      <c r="Z252" s="175">
        <f t="shared" si="163"/>
        <v>0</v>
      </c>
      <c r="AA252" s="175">
        <f t="shared" si="164"/>
        <v>108</v>
      </c>
      <c r="AB252" s="175">
        <f t="shared" si="165"/>
        <v>118.25</v>
      </c>
      <c r="AC252" s="175">
        <f t="shared" si="166"/>
        <v>116</v>
      </c>
      <c r="AD252" s="175">
        <f t="shared" si="167"/>
        <v>117.25</v>
      </c>
      <c r="AE252" s="175">
        <f t="shared" si="168"/>
        <v>-8.3333333333333329E-2</v>
      </c>
      <c r="AF252" s="175">
        <f t="shared" si="169"/>
        <v>0</v>
      </c>
      <c r="AG252" s="168"/>
      <c r="AH252" s="168"/>
      <c r="AI252" s="168"/>
      <c r="AJ252" s="165"/>
      <c r="AK252" s="165"/>
    </row>
    <row r="253" spans="2:37" s="163" customFormat="1">
      <c r="B253" s="163" t="s">
        <v>518</v>
      </c>
      <c r="C253" s="295">
        <v>2008</v>
      </c>
      <c r="D253" s="163">
        <v>108</v>
      </c>
      <c r="E253" s="163">
        <v>5</v>
      </c>
      <c r="F253" s="178">
        <v>0</v>
      </c>
      <c r="G253" s="177" t="s">
        <v>491</v>
      </c>
      <c r="H253" s="163">
        <v>8</v>
      </c>
      <c r="I253" s="163">
        <f t="shared" si="152"/>
        <v>116</v>
      </c>
      <c r="L253" s="175">
        <v>7162.05</v>
      </c>
      <c r="M253" s="175">
        <v>0</v>
      </c>
      <c r="N253" s="175">
        <f t="shared" si="153"/>
        <v>7162.05</v>
      </c>
      <c r="O253" s="175">
        <f t="shared" si="154"/>
        <v>74.604687499999997</v>
      </c>
      <c r="P253" s="175">
        <f t="shared" si="155"/>
        <v>0</v>
      </c>
      <c r="Q253" s="175">
        <f t="shared" si="156"/>
        <v>0</v>
      </c>
      <c r="R253" s="175">
        <f t="shared" si="157"/>
        <v>0</v>
      </c>
      <c r="S253" s="176">
        <v>1</v>
      </c>
      <c r="T253" s="175">
        <f t="shared" si="158"/>
        <v>0</v>
      </c>
      <c r="U253" s="175">
        <f t="shared" si="159"/>
        <v>7162.05</v>
      </c>
      <c r="V253" s="175">
        <f t="shared" si="160"/>
        <v>7162.05</v>
      </c>
      <c r="W253" s="176">
        <v>1</v>
      </c>
      <c r="X253" s="175">
        <f t="shared" si="161"/>
        <v>7162.05</v>
      </c>
      <c r="Y253" s="175">
        <f t="shared" si="162"/>
        <v>7162.05</v>
      </c>
      <c r="Z253" s="175">
        <f t="shared" si="163"/>
        <v>0</v>
      </c>
      <c r="AA253" s="175">
        <f t="shared" si="164"/>
        <v>108.33333333333333</v>
      </c>
      <c r="AB253" s="175">
        <f t="shared" si="165"/>
        <v>118.25</v>
      </c>
      <c r="AC253" s="175">
        <f t="shared" si="166"/>
        <v>116.33333333333333</v>
      </c>
      <c r="AD253" s="175">
        <f t="shared" si="167"/>
        <v>117.25</v>
      </c>
      <c r="AE253" s="175">
        <f t="shared" si="168"/>
        <v>-8.3333333333333329E-2</v>
      </c>
      <c r="AF253" s="175">
        <f t="shared" si="169"/>
        <v>0</v>
      </c>
      <c r="AG253" s="168"/>
      <c r="AH253" s="168"/>
      <c r="AI253" s="168"/>
      <c r="AJ253" s="165"/>
      <c r="AK253" s="165"/>
    </row>
    <row r="254" spans="2:37" s="163" customFormat="1">
      <c r="B254" s="163" t="s">
        <v>517</v>
      </c>
      <c r="C254" s="295">
        <v>2008</v>
      </c>
      <c r="D254" s="163">
        <v>108</v>
      </c>
      <c r="E254" s="163">
        <v>9</v>
      </c>
      <c r="F254" s="178">
        <v>0</v>
      </c>
      <c r="G254" s="177" t="s">
        <v>491</v>
      </c>
      <c r="H254" s="163">
        <v>8</v>
      </c>
      <c r="I254" s="163">
        <f t="shared" si="152"/>
        <v>116</v>
      </c>
      <c r="L254" s="175">
        <v>6273.53</v>
      </c>
      <c r="M254" s="175">
        <v>0</v>
      </c>
      <c r="N254" s="175">
        <f t="shared" si="153"/>
        <v>6273.53</v>
      </c>
      <c r="O254" s="175">
        <f t="shared" si="154"/>
        <v>65.349270833333335</v>
      </c>
      <c r="P254" s="175">
        <f t="shared" si="155"/>
        <v>0</v>
      </c>
      <c r="Q254" s="175">
        <f t="shared" si="156"/>
        <v>0</v>
      </c>
      <c r="R254" s="175">
        <f t="shared" si="157"/>
        <v>0</v>
      </c>
      <c r="S254" s="176">
        <v>1</v>
      </c>
      <c r="T254" s="175">
        <f t="shared" si="158"/>
        <v>0</v>
      </c>
      <c r="U254" s="175">
        <f t="shared" si="159"/>
        <v>6273.53</v>
      </c>
      <c r="V254" s="175">
        <f t="shared" si="160"/>
        <v>6273.53</v>
      </c>
      <c r="W254" s="176">
        <v>1</v>
      </c>
      <c r="X254" s="175">
        <f t="shared" si="161"/>
        <v>6273.53</v>
      </c>
      <c r="Y254" s="175">
        <f t="shared" si="162"/>
        <v>6273.53</v>
      </c>
      <c r="Z254" s="175">
        <f t="shared" si="163"/>
        <v>0</v>
      </c>
      <c r="AA254" s="175">
        <f t="shared" si="164"/>
        <v>108.66666666666667</v>
      </c>
      <c r="AB254" s="175">
        <f t="shared" si="165"/>
        <v>118.25</v>
      </c>
      <c r="AC254" s="175">
        <f t="shared" si="166"/>
        <v>116.66666666666667</v>
      </c>
      <c r="AD254" s="175">
        <f t="shared" si="167"/>
        <v>117.25</v>
      </c>
      <c r="AE254" s="175">
        <f t="shared" si="168"/>
        <v>-8.3333333333333329E-2</v>
      </c>
      <c r="AF254" s="175">
        <f t="shared" si="169"/>
        <v>0</v>
      </c>
      <c r="AG254" s="168"/>
      <c r="AH254" s="168"/>
      <c r="AI254" s="168"/>
      <c r="AJ254" s="165"/>
      <c r="AK254" s="165"/>
    </row>
    <row r="255" spans="2:37" s="163" customFormat="1">
      <c r="B255" s="163" t="s">
        <v>517</v>
      </c>
      <c r="C255" s="295">
        <v>2008</v>
      </c>
      <c r="D255" s="163">
        <v>108</v>
      </c>
      <c r="E255" s="163">
        <v>10</v>
      </c>
      <c r="F255" s="178">
        <v>0</v>
      </c>
      <c r="G255" s="177" t="s">
        <v>491</v>
      </c>
      <c r="H255" s="163">
        <v>8</v>
      </c>
      <c r="I255" s="163">
        <f t="shared" si="152"/>
        <v>116</v>
      </c>
      <c r="L255" s="175">
        <v>7081.28</v>
      </c>
      <c r="M255" s="175">
        <v>0</v>
      </c>
      <c r="N255" s="175">
        <f t="shared" si="153"/>
        <v>7081.28</v>
      </c>
      <c r="O255" s="175">
        <f t="shared" si="154"/>
        <v>73.763333333333335</v>
      </c>
      <c r="P255" s="175">
        <f t="shared" si="155"/>
        <v>0</v>
      </c>
      <c r="Q255" s="175">
        <f t="shared" si="156"/>
        <v>0</v>
      </c>
      <c r="R255" s="175">
        <f t="shared" si="157"/>
        <v>0</v>
      </c>
      <c r="S255" s="176">
        <v>1</v>
      </c>
      <c r="T255" s="175">
        <f t="shared" si="158"/>
        <v>0</v>
      </c>
      <c r="U255" s="175">
        <f t="shared" si="159"/>
        <v>7081.28</v>
      </c>
      <c r="V255" s="175">
        <f t="shared" si="160"/>
        <v>7081.28</v>
      </c>
      <c r="W255" s="176">
        <v>1</v>
      </c>
      <c r="X255" s="175">
        <f t="shared" si="161"/>
        <v>7081.28</v>
      </c>
      <c r="Y255" s="175">
        <f t="shared" si="162"/>
        <v>7081.28</v>
      </c>
      <c r="Z255" s="175">
        <f t="shared" si="163"/>
        <v>0</v>
      </c>
      <c r="AA255" s="175">
        <f t="shared" si="164"/>
        <v>108.75</v>
      </c>
      <c r="AB255" s="175">
        <f t="shared" si="165"/>
        <v>118.25</v>
      </c>
      <c r="AC255" s="175">
        <f t="shared" si="166"/>
        <v>116.75</v>
      </c>
      <c r="AD255" s="175">
        <f t="shared" si="167"/>
        <v>117.25</v>
      </c>
      <c r="AE255" s="175">
        <f t="shared" si="168"/>
        <v>-8.3333333333333329E-2</v>
      </c>
      <c r="AF255" s="175">
        <f t="shared" si="169"/>
        <v>0</v>
      </c>
      <c r="AG255" s="168"/>
      <c r="AH255" s="168"/>
      <c r="AI255" s="168"/>
      <c r="AJ255" s="165"/>
      <c r="AK255" s="165"/>
    </row>
    <row r="256" spans="2:37" s="163" customFormat="1">
      <c r="B256" s="163" t="s">
        <v>615</v>
      </c>
      <c r="C256" s="295">
        <v>2009</v>
      </c>
      <c r="D256" s="163">
        <v>109</v>
      </c>
      <c r="E256" s="163">
        <v>5</v>
      </c>
      <c r="F256" s="178">
        <v>0</v>
      </c>
      <c r="G256" s="177" t="s">
        <v>491</v>
      </c>
      <c r="H256" s="163">
        <v>10</v>
      </c>
      <c r="I256" s="163">
        <f t="shared" ref="I256:I275" si="170">D256+H256</f>
        <v>119</v>
      </c>
      <c r="L256" s="175">
        <v>1227.3699999999999</v>
      </c>
      <c r="M256" s="175">
        <v>0</v>
      </c>
      <c r="N256" s="175">
        <f t="shared" ref="N256:N275" si="171">L256-(+L256*F256)</f>
        <v>1227.3699999999999</v>
      </c>
      <c r="O256" s="175">
        <f t="shared" ref="O256:O275" si="172">(+N256/H256)/12</f>
        <v>10.228083333333332</v>
      </c>
      <c r="P256" s="175">
        <f t="shared" ref="P256:P275" si="173">IF(Q256&gt;0,0,IF(OR(AA256&gt;AB256,AC256&lt;AD256),0,IF(AND(AC256&gt;=AD256,AC256&lt;=AB256),O256*((AC256-AD256)*12),IF(AND(AD256&lt;=AA256,AB256&gt;=AA256),((AB256-AA256)*12)*O256,IF(AC256&gt;AB256,12*O256,0)))))</f>
        <v>122.73699999999999</v>
      </c>
      <c r="Q256" s="175">
        <f t="shared" ref="Q256:Q275" si="174">IF(M256=0,0,IF(AND(AE256&gt;=AD256,AE256&lt;=AC256),((AE256-AD256)*12)*O256,0))</f>
        <v>0</v>
      </c>
      <c r="R256" s="175">
        <f t="shared" ref="R256:R275" si="175">IF(Q256&gt;0,Q256,P256)</f>
        <v>122.73699999999999</v>
      </c>
      <c r="S256" s="176">
        <v>1</v>
      </c>
      <c r="T256" s="175">
        <f t="shared" ref="T256:T275" si="176">S256*SUM(P256:Q256)</f>
        <v>122.73699999999999</v>
      </c>
      <c r="U256" s="175">
        <f t="shared" ref="U256:U275" si="177">IF(AA256&gt;AB256,0,IF(AC256&lt;AD256,L256,IF(AND(AC256&gt;=AD256,AC256&lt;=AB256),(L256-R256),IF(AND(AD256&lt;=AA256,AB256&gt;=AA256),0,IF(AC256&gt;AB256,((AD256-AA256)*12)*O256,0)))))</f>
        <v>971.66791666666711</v>
      </c>
      <c r="V256" s="175">
        <f t="shared" ref="V256:V275" si="178">U256*S256</f>
        <v>971.66791666666711</v>
      </c>
      <c r="W256" s="176">
        <v>1</v>
      </c>
      <c r="X256" s="175">
        <f t="shared" ref="X256:X275" si="179">V256*W256</f>
        <v>971.66791666666711</v>
      </c>
      <c r="Y256" s="175">
        <f t="shared" ref="Y256:Y275" si="180">IF(M256&gt;0,0,X256+T256*W256)*W256</f>
        <v>1094.4049166666671</v>
      </c>
      <c r="Z256" s="175">
        <f t="shared" si="163"/>
        <v>194.3335833333328</v>
      </c>
      <c r="AA256" s="175">
        <f t="shared" si="164"/>
        <v>109.33333333333333</v>
      </c>
      <c r="AB256" s="175">
        <f t="shared" ref="AB256:AB319" si="181">($B$10+1)-($B$7/12)</f>
        <v>118.25</v>
      </c>
      <c r="AC256" s="175">
        <f t="shared" si="166"/>
        <v>119.33333333333333</v>
      </c>
      <c r="AD256" s="175">
        <f t="shared" ref="AD256:AD319" si="182">$B$9+($B$8/12)</f>
        <v>117.25</v>
      </c>
      <c r="AE256" s="175">
        <f t="shared" si="168"/>
        <v>-8.3333333333333329E-2</v>
      </c>
      <c r="AF256" s="175">
        <f t="shared" ref="AF256:AF275" si="183">L256-((X256+Y256)/2)-Z256</f>
        <v>0</v>
      </c>
      <c r="AG256" s="168"/>
      <c r="AH256" s="168"/>
      <c r="AI256" s="168"/>
      <c r="AJ256" s="165"/>
      <c r="AK256" s="165"/>
    </row>
    <row r="257" spans="1:37">
      <c r="A257" s="163"/>
      <c r="B257" s="163" t="s">
        <v>616</v>
      </c>
      <c r="C257" s="295">
        <v>2009</v>
      </c>
      <c r="D257" s="163">
        <v>109</v>
      </c>
      <c r="E257" s="163">
        <v>5</v>
      </c>
      <c r="F257" s="178">
        <v>0</v>
      </c>
      <c r="G257" s="177" t="s">
        <v>491</v>
      </c>
      <c r="H257" s="163">
        <v>10</v>
      </c>
      <c r="I257" s="163">
        <f t="shared" si="170"/>
        <v>119</v>
      </c>
      <c r="L257" s="175">
        <v>1712.92</v>
      </c>
      <c r="M257" s="175">
        <v>0</v>
      </c>
      <c r="N257" s="175">
        <f t="shared" si="171"/>
        <v>1712.92</v>
      </c>
      <c r="O257" s="175">
        <f t="shared" si="172"/>
        <v>14.274333333333333</v>
      </c>
      <c r="P257" s="175">
        <f t="shared" si="173"/>
        <v>171.292</v>
      </c>
      <c r="Q257" s="175">
        <f t="shared" si="174"/>
        <v>0</v>
      </c>
      <c r="R257" s="175">
        <f t="shared" si="175"/>
        <v>171.292</v>
      </c>
      <c r="S257" s="176">
        <v>1</v>
      </c>
      <c r="T257" s="175">
        <f t="shared" si="176"/>
        <v>171.292</v>
      </c>
      <c r="U257" s="175">
        <f t="shared" si="177"/>
        <v>1356.0616666666674</v>
      </c>
      <c r="V257" s="175">
        <f t="shared" si="178"/>
        <v>1356.0616666666674</v>
      </c>
      <c r="W257" s="176">
        <v>1</v>
      </c>
      <c r="X257" s="175">
        <f t="shared" si="179"/>
        <v>1356.0616666666674</v>
      </c>
      <c r="Y257" s="175">
        <f t="shared" si="180"/>
        <v>1527.3536666666673</v>
      </c>
      <c r="Z257" s="175">
        <f t="shared" si="163"/>
        <v>271.21233333333271</v>
      </c>
      <c r="AA257" s="175">
        <f t="shared" si="164"/>
        <v>109.33333333333333</v>
      </c>
      <c r="AB257" s="175">
        <f t="shared" si="181"/>
        <v>118.25</v>
      </c>
      <c r="AC257" s="175">
        <f t="shared" si="166"/>
        <v>119.33333333333333</v>
      </c>
      <c r="AD257" s="175">
        <f t="shared" si="182"/>
        <v>117.25</v>
      </c>
      <c r="AE257" s="175">
        <f t="shared" si="168"/>
        <v>-8.3333333333333329E-2</v>
      </c>
      <c r="AF257" s="175">
        <f t="shared" si="183"/>
        <v>0</v>
      </c>
      <c r="AG257" s="166"/>
      <c r="AH257" s="166"/>
      <c r="AI257" s="166"/>
      <c r="AJ257" s="167"/>
      <c r="AK257" s="167"/>
    </row>
    <row r="258" spans="1:37">
      <c r="A258" s="163"/>
      <c r="B258" s="163" t="s">
        <v>521</v>
      </c>
      <c r="C258" s="295">
        <v>2009</v>
      </c>
      <c r="D258" s="163">
        <v>109</v>
      </c>
      <c r="E258" s="163">
        <v>5</v>
      </c>
      <c r="F258" s="178">
        <v>0</v>
      </c>
      <c r="G258" s="177" t="s">
        <v>491</v>
      </c>
      <c r="H258" s="163">
        <v>10</v>
      </c>
      <c r="I258" s="163">
        <f t="shared" si="170"/>
        <v>119</v>
      </c>
      <c r="L258" s="175">
        <v>2872.82</v>
      </c>
      <c r="M258" s="175">
        <v>0</v>
      </c>
      <c r="N258" s="175">
        <f t="shared" si="171"/>
        <v>2872.82</v>
      </c>
      <c r="O258" s="175">
        <f t="shared" si="172"/>
        <v>23.94016666666667</v>
      </c>
      <c r="P258" s="175">
        <f t="shared" si="173"/>
        <v>287.28200000000004</v>
      </c>
      <c r="Q258" s="175">
        <f t="shared" si="174"/>
        <v>0</v>
      </c>
      <c r="R258" s="175">
        <f t="shared" si="175"/>
        <v>287.28200000000004</v>
      </c>
      <c r="S258" s="176">
        <v>1</v>
      </c>
      <c r="T258" s="175">
        <f t="shared" si="176"/>
        <v>287.28200000000004</v>
      </c>
      <c r="U258" s="175">
        <f t="shared" si="177"/>
        <v>2274.3158333333349</v>
      </c>
      <c r="V258" s="175">
        <f t="shared" si="178"/>
        <v>2274.3158333333349</v>
      </c>
      <c r="W258" s="176">
        <v>1</v>
      </c>
      <c r="X258" s="175">
        <f t="shared" si="179"/>
        <v>2274.3158333333349</v>
      </c>
      <c r="Y258" s="175">
        <f t="shared" si="180"/>
        <v>2561.5978333333351</v>
      </c>
      <c r="Z258" s="175">
        <f t="shared" si="163"/>
        <v>454.86316666666517</v>
      </c>
      <c r="AA258" s="175">
        <f t="shared" si="164"/>
        <v>109.33333333333333</v>
      </c>
      <c r="AB258" s="175">
        <f t="shared" si="181"/>
        <v>118.25</v>
      </c>
      <c r="AC258" s="175">
        <f t="shared" si="166"/>
        <v>119.33333333333333</v>
      </c>
      <c r="AD258" s="175">
        <f t="shared" si="182"/>
        <v>117.25</v>
      </c>
      <c r="AE258" s="175">
        <f t="shared" si="168"/>
        <v>-8.3333333333333329E-2</v>
      </c>
      <c r="AF258" s="175">
        <f t="shared" si="183"/>
        <v>0</v>
      </c>
      <c r="AG258" s="166"/>
      <c r="AH258" s="166"/>
      <c r="AI258" s="166"/>
      <c r="AJ258" s="167"/>
      <c r="AK258" s="167"/>
    </row>
    <row r="259" spans="1:37">
      <c r="A259" s="163"/>
      <c r="B259" s="163" t="s">
        <v>615</v>
      </c>
      <c r="C259" s="295">
        <v>2009</v>
      </c>
      <c r="D259" s="163">
        <v>109</v>
      </c>
      <c r="E259" s="163">
        <v>6</v>
      </c>
      <c r="F259" s="178">
        <v>0</v>
      </c>
      <c r="G259" s="177" t="s">
        <v>491</v>
      </c>
      <c r="H259" s="163">
        <v>10</v>
      </c>
      <c r="I259" s="163">
        <f t="shared" si="170"/>
        <v>119</v>
      </c>
      <c r="L259" s="175">
        <v>1227.3699999999999</v>
      </c>
      <c r="M259" s="175">
        <v>0</v>
      </c>
      <c r="N259" s="175">
        <f t="shared" si="171"/>
        <v>1227.3699999999999</v>
      </c>
      <c r="O259" s="175">
        <f t="shared" si="172"/>
        <v>10.228083333333332</v>
      </c>
      <c r="P259" s="175">
        <f t="shared" si="173"/>
        <v>122.73699999999999</v>
      </c>
      <c r="Q259" s="175">
        <f t="shared" si="174"/>
        <v>0</v>
      </c>
      <c r="R259" s="175">
        <f t="shared" si="175"/>
        <v>122.73699999999999</v>
      </c>
      <c r="S259" s="176">
        <v>1</v>
      </c>
      <c r="T259" s="175">
        <f t="shared" si="176"/>
        <v>122.73699999999999</v>
      </c>
      <c r="U259" s="175">
        <f t="shared" si="177"/>
        <v>961.43983333333267</v>
      </c>
      <c r="V259" s="175">
        <f t="shared" si="178"/>
        <v>961.43983333333267</v>
      </c>
      <c r="W259" s="176">
        <v>1</v>
      </c>
      <c r="X259" s="175">
        <f t="shared" si="179"/>
        <v>961.43983333333267</v>
      </c>
      <c r="Y259" s="175">
        <f t="shared" si="180"/>
        <v>1084.1768333333328</v>
      </c>
      <c r="Z259" s="175">
        <f t="shared" si="163"/>
        <v>204.56166666666718</v>
      </c>
      <c r="AA259" s="175">
        <f t="shared" si="164"/>
        <v>109.41666666666667</v>
      </c>
      <c r="AB259" s="175">
        <f t="shared" si="181"/>
        <v>118.25</v>
      </c>
      <c r="AC259" s="175">
        <f t="shared" si="166"/>
        <v>119.41666666666667</v>
      </c>
      <c r="AD259" s="175">
        <f t="shared" si="182"/>
        <v>117.25</v>
      </c>
      <c r="AE259" s="175">
        <f t="shared" si="168"/>
        <v>-8.3333333333333329E-2</v>
      </c>
      <c r="AF259" s="175">
        <f t="shared" si="183"/>
        <v>0</v>
      </c>
      <c r="AG259" s="166"/>
      <c r="AH259" s="166"/>
      <c r="AI259" s="166"/>
      <c r="AJ259" s="167"/>
      <c r="AK259" s="167"/>
    </row>
    <row r="260" spans="1:37">
      <c r="A260" s="163"/>
      <c r="B260" s="163" t="s">
        <v>616</v>
      </c>
      <c r="C260" s="295">
        <v>2009</v>
      </c>
      <c r="D260" s="163">
        <v>109</v>
      </c>
      <c r="E260" s="163">
        <v>6</v>
      </c>
      <c r="F260" s="178">
        <v>0</v>
      </c>
      <c r="G260" s="177" t="s">
        <v>491</v>
      </c>
      <c r="H260" s="163">
        <v>10</v>
      </c>
      <c r="I260" s="163">
        <f t="shared" si="170"/>
        <v>119</v>
      </c>
      <c r="L260" s="175">
        <v>1712.92</v>
      </c>
      <c r="M260" s="175">
        <v>0</v>
      </c>
      <c r="N260" s="175">
        <f t="shared" si="171"/>
        <v>1712.92</v>
      </c>
      <c r="O260" s="175">
        <f t="shared" si="172"/>
        <v>14.274333333333333</v>
      </c>
      <c r="P260" s="175">
        <f t="shared" si="173"/>
        <v>171.292</v>
      </c>
      <c r="Q260" s="175">
        <f t="shared" si="174"/>
        <v>0</v>
      </c>
      <c r="R260" s="175">
        <f t="shared" si="175"/>
        <v>171.292</v>
      </c>
      <c r="S260" s="176">
        <v>1</v>
      </c>
      <c r="T260" s="175">
        <f t="shared" si="176"/>
        <v>171.292</v>
      </c>
      <c r="U260" s="175">
        <f t="shared" si="177"/>
        <v>1341.7873333333325</v>
      </c>
      <c r="V260" s="175">
        <f t="shared" si="178"/>
        <v>1341.7873333333325</v>
      </c>
      <c r="W260" s="176">
        <v>1</v>
      </c>
      <c r="X260" s="175">
        <f t="shared" si="179"/>
        <v>1341.7873333333325</v>
      </c>
      <c r="Y260" s="175">
        <f t="shared" si="180"/>
        <v>1513.0793333333324</v>
      </c>
      <c r="Z260" s="175">
        <f t="shared" si="163"/>
        <v>285.48666666666759</v>
      </c>
      <c r="AA260" s="175">
        <f t="shared" si="164"/>
        <v>109.41666666666667</v>
      </c>
      <c r="AB260" s="175">
        <f t="shared" si="181"/>
        <v>118.25</v>
      </c>
      <c r="AC260" s="175">
        <f t="shared" si="166"/>
        <v>119.41666666666667</v>
      </c>
      <c r="AD260" s="175">
        <f t="shared" si="182"/>
        <v>117.25</v>
      </c>
      <c r="AE260" s="175">
        <f t="shared" si="168"/>
        <v>-8.3333333333333329E-2</v>
      </c>
      <c r="AF260" s="175">
        <f t="shared" si="183"/>
        <v>0</v>
      </c>
      <c r="AG260" s="166"/>
      <c r="AH260" s="166"/>
      <c r="AI260" s="166"/>
      <c r="AJ260" s="167"/>
      <c r="AK260" s="167"/>
    </row>
    <row r="261" spans="1:37">
      <c r="A261" s="163"/>
      <c r="B261" s="163" t="s">
        <v>521</v>
      </c>
      <c r="C261" s="295">
        <v>2009</v>
      </c>
      <c r="D261" s="163">
        <v>109</v>
      </c>
      <c r="E261" s="163">
        <v>6</v>
      </c>
      <c r="F261" s="178">
        <v>0</v>
      </c>
      <c r="G261" s="177" t="s">
        <v>491</v>
      </c>
      <c r="H261" s="163">
        <v>10</v>
      </c>
      <c r="I261" s="163">
        <f t="shared" si="170"/>
        <v>119</v>
      </c>
      <c r="L261" s="175">
        <v>2872.32</v>
      </c>
      <c r="M261" s="175">
        <v>0</v>
      </c>
      <c r="N261" s="175">
        <f t="shared" si="171"/>
        <v>2872.32</v>
      </c>
      <c r="O261" s="175">
        <f t="shared" si="172"/>
        <v>23.936000000000003</v>
      </c>
      <c r="P261" s="175">
        <f t="shared" si="173"/>
        <v>287.23200000000003</v>
      </c>
      <c r="Q261" s="175">
        <f t="shared" si="174"/>
        <v>0</v>
      </c>
      <c r="R261" s="175">
        <f t="shared" si="175"/>
        <v>287.23200000000003</v>
      </c>
      <c r="S261" s="176">
        <v>1</v>
      </c>
      <c r="T261" s="175">
        <f t="shared" si="176"/>
        <v>287.23200000000003</v>
      </c>
      <c r="U261" s="175">
        <f t="shared" si="177"/>
        <v>2249.983999999999</v>
      </c>
      <c r="V261" s="175">
        <f t="shared" si="178"/>
        <v>2249.983999999999</v>
      </c>
      <c r="W261" s="176">
        <v>1</v>
      </c>
      <c r="X261" s="175">
        <f t="shared" si="179"/>
        <v>2249.983999999999</v>
      </c>
      <c r="Y261" s="175">
        <f t="shared" si="180"/>
        <v>2537.215999999999</v>
      </c>
      <c r="Z261" s="175">
        <f t="shared" si="163"/>
        <v>478.72000000000116</v>
      </c>
      <c r="AA261" s="175">
        <f t="shared" ref="AA261:AA324" si="184">$D261+(($E261-1)/12)</f>
        <v>109.41666666666667</v>
      </c>
      <c r="AB261" s="175">
        <f t="shared" si="181"/>
        <v>118.25</v>
      </c>
      <c r="AC261" s="175">
        <f t="shared" ref="AC261:AC324" si="185">$I261+(($E261-1)/12)</f>
        <v>119.41666666666667</v>
      </c>
      <c r="AD261" s="175">
        <f t="shared" si="182"/>
        <v>117.25</v>
      </c>
      <c r="AE261" s="175">
        <f t="shared" ref="AE261:AE324" si="186">$J261+(($K261-1)/12)</f>
        <v>-8.3333333333333329E-2</v>
      </c>
      <c r="AF261" s="175">
        <f t="shared" si="183"/>
        <v>0</v>
      </c>
      <c r="AG261" s="166"/>
      <c r="AH261" s="166"/>
      <c r="AI261" s="166"/>
      <c r="AJ261" s="167"/>
      <c r="AK261" s="167"/>
    </row>
    <row r="262" spans="1:37">
      <c r="A262" s="163"/>
      <c r="B262" s="163" t="s">
        <v>518</v>
      </c>
      <c r="C262" s="295">
        <v>2009</v>
      </c>
      <c r="D262" s="163">
        <v>109</v>
      </c>
      <c r="E262" s="163">
        <v>7</v>
      </c>
      <c r="F262" s="178">
        <v>0</v>
      </c>
      <c r="G262" s="177" t="s">
        <v>491</v>
      </c>
      <c r="H262" s="163">
        <v>10</v>
      </c>
      <c r="I262" s="163">
        <f t="shared" si="170"/>
        <v>119</v>
      </c>
      <c r="L262" s="175">
        <v>6675</v>
      </c>
      <c r="M262" s="175">
        <v>0</v>
      </c>
      <c r="N262" s="175">
        <f t="shared" si="171"/>
        <v>6675</v>
      </c>
      <c r="O262" s="175">
        <f t="shared" si="172"/>
        <v>55.625</v>
      </c>
      <c r="P262" s="175">
        <f t="shared" si="173"/>
        <v>667.5</v>
      </c>
      <c r="Q262" s="175">
        <f t="shared" si="174"/>
        <v>0</v>
      </c>
      <c r="R262" s="175">
        <f t="shared" si="175"/>
        <v>667.5</v>
      </c>
      <c r="S262" s="176">
        <v>1</v>
      </c>
      <c r="T262" s="175">
        <f t="shared" si="176"/>
        <v>667.5</v>
      </c>
      <c r="U262" s="175">
        <f t="shared" si="177"/>
        <v>5173.125</v>
      </c>
      <c r="V262" s="175">
        <f t="shared" si="178"/>
        <v>5173.125</v>
      </c>
      <c r="W262" s="176">
        <v>1</v>
      </c>
      <c r="X262" s="175">
        <f t="shared" si="179"/>
        <v>5173.125</v>
      </c>
      <c r="Y262" s="175">
        <f t="shared" si="180"/>
        <v>5840.625</v>
      </c>
      <c r="Z262" s="175">
        <f t="shared" si="163"/>
        <v>1168.125</v>
      </c>
      <c r="AA262" s="175">
        <f t="shared" si="184"/>
        <v>109.5</v>
      </c>
      <c r="AB262" s="175">
        <f t="shared" si="181"/>
        <v>118.25</v>
      </c>
      <c r="AC262" s="175">
        <f t="shared" si="185"/>
        <v>119.5</v>
      </c>
      <c r="AD262" s="175">
        <f t="shared" si="182"/>
        <v>117.25</v>
      </c>
      <c r="AE262" s="175">
        <f t="shared" si="186"/>
        <v>-8.3333333333333329E-2</v>
      </c>
      <c r="AF262" s="175">
        <f t="shared" si="183"/>
        <v>0</v>
      </c>
      <c r="AG262" s="166"/>
      <c r="AH262" s="166"/>
      <c r="AI262" s="166"/>
      <c r="AJ262" s="167"/>
      <c r="AK262" s="167"/>
    </row>
    <row r="263" spans="1:37">
      <c r="A263" s="163"/>
      <c r="B263" s="163" t="s">
        <v>517</v>
      </c>
      <c r="C263" s="295">
        <v>2009</v>
      </c>
      <c r="D263" s="163">
        <v>109</v>
      </c>
      <c r="E263" s="163">
        <v>7</v>
      </c>
      <c r="F263" s="178">
        <v>0</v>
      </c>
      <c r="G263" s="177" t="s">
        <v>491</v>
      </c>
      <c r="H263" s="163">
        <v>10</v>
      </c>
      <c r="I263" s="163">
        <f t="shared" si="170"/>
        <v>119</v>
      </c>
      <c r="L263" s="175">
        <v>6447.03</v>
      </c>
      <c r="M263" s="175">
        <v>0</v>
      </c>
      <c r="N263" s="175">
        <f t="shared" si="171"/>
        <v>6447.03</v>
      </c>
      <c r="O263" s="175">
        <f t="shared" si="172"/>
        <v>53.725249999999996</v>
      </c>
      <c r="P263" s="175">
        <f t="shared" si="173"/>
        <v>644.70299999999997</v>
      </c>
      <c r="Q263" s="175">
        <f t="shared" si="174"/>
        <v>0</v>
      </c>
      <c r="R263" s="175">
        <f t="shared" si="175"/>
        <v>644.70299999999997</v>
      </c>
      <c r="S263" s="176">
        <v>1</v>
      </c>
      <c r="T263" s="175">
        <f t="shared" si="176"/>
        <v>644.70299999999997</v>
      </c>
      <c r="U263" s="175">
        <f t="shared" si="177"/>
        <v>4996.4482499999995</v>
      </c>
      <c r="V263" s="175">
        <f t="shared" si="178"/>
        <v>4996.4482499999995</v>
      </c>
      <c r="W263" s="176">
        <v>1</v>
      </c>
      <c r="X263" s="175">
        <f t="shared" si="179"/>
        <v>4996.4482499999995</v>
      </c>
      <c r="Y263" s="175">
        <f t="shared" si="180"/>
        <v>5641.151249999999</v>
      </c>
      <c r="Z263" s="175">
        <f t="shared" si="163"/>
        <v>1128.2302500000005</v>
      </c>
      <c r="AA263" s="175">
        <f t="shared" si="184"/>
        <v>109.5</v>
      </c>
      <c r="AB263" s="175">
        <f t="shared" si="181"/>
        <v>118.25</v>
      </c>
      <c r="AC263" s="175">
        <f t="shared" si="185"/>
        <v>119.5</v>
      </c>
      <c r="AD263" s="175">
        <f t="shared" si="182"/>
        <v>117.25</v>
      </c>
      <c r="AE263" s="175">
        <f t="shared" si="186"/>
        <v>-8.3333333333333329E-2</v>
      </c>
      <c r="AF263" s="175">
        <f t="shared" si="183"/>
        <v>0</v>
      </c>
      <c r="AG263" s="166"/>
      <c r="AH263" s="166"/>
      <c r="AI263" s="166"/>
      <c r="AJ263" s="167"/>
      <c r="AK263" s="167"/>
    </row>
    <row r="264" spans="1:37">
      <c r="A264" s="163"/>
      <c r="B264" s="163" t="s">
        <v>518</v>
      </c>
      <c r="C264" s="295">
        <v>2009</v>
      </c>
      <c r="D264" s="163">
        <v>109</v>
      </c>
      <c r="E264" s="163">
        <v>9</v>
      </c>
      <c r="F264" s="178">
        <v>0</v>
      </c>
      <c r="G264" s="177" t="s">
        <v>491</v>
      </c>
      <c r="H264" s="163">
        <v>10</v>
      </c>
      <c r="I264" s="163">
        <f t="shared" si="170"/>
        <v>119</v>
      </c>
      <c r="L264" s="175">
        <v>8524.1</v>
      </c>
      <c r="M264" s="175">
        <v>0</v>
      </c>
      <c r="N264" s="175">
        <f t="shared" si="171"/>
        <v>8524.1</v>
      </c>
      <c r="O264" s="175">
        <f t="shared" si="172"/>
        <v>71.034166666666678</v>
      </c>
      <c r="P264" s="175">
        <f t="shared" si="173"/>
        <v>852.41000000000008</v>
      </c>
      <c r="Q264" s="175">
        <f t="shared" si="174"/>
        <v>0</v>
      </c>
      <c r="R264" s="175">
        <f t="shared" si="175"/>
        <v>852.41000000000008</v>
      </c>
      <c r="S264" s="176">
        <v>1</v>
      </c>
      <c r="T264" s="175">
        <f t="shared" si="176"/>
        <v>852.41000000000008</v>
      </c>
      <c r="U264" s="175">
        <f t="shared" si="177"/>
        <v>6464.1091666666634</v>
      </c>
      <c r="V264" s="175">
        <f t="shared" si="178"/>
        <v>6464.1091666666634</v>
      </c>
      <c r="W264" s="176">
        <v>1</v>
      </c>
      <c r="X264" s="175">
        <f t="shared" si="179"/>
        <v>6464.1091666666634</v>
      </c>
      <c r="Y264" s="175">
        <f t="shared" si="180"/>
        <v>7316.5191666666633</v>
      </c>
      <c r="Z264" s="175">
        <f t="shared" si="163"/>
        <v>1633.785833333337</v>
      </c>
      <c r="AA264" s="175">
        <f t="shared" si="184"/>
        <v>109.66666666666667</v>
      </c>
      <c r="AB264" s="175">
        <f t="shared" si="181"/>
        <v>118.25</v>
      </c>
      <c r="AC264" s="175">
        <f t="shared" si="185"/>
        <v>119.66666666666667</v>
      </c>
      <c r="AD264" s="175">
        <f t="shared" si="182"/>
        <v>117.25</v>
      </c>
      <c r="AE264" s="175">
        <f t="shared" si="186"/>
        <v>-8.3333333333333329E-2</v>
      </c>
      <c r="AF264" s="175">
        <f t="shared" si="183"/>
        <v>0</v>
      </c>
      <c r="AG264" s="166"/>
      <c r="AH264" s="166"/>
      <c r="AI264" s="166"/>
      <c r="AJ264" s="167"/>
      <c r="AK264" s="167"/>
    </row>
    <row r="265" spans="1:37">
      <c r="A265" s="163"/>
      <c r="B265" s="163" t="s">
        <v>617</v>
      </c>
      <c r="C265" s="295">
        <v>2009</v>
      </c>
      <c r="D265" s="163">
        <v>109</v>
      </c>
      <c r="E265" s="163">
        <v>9</v>
      </c>
      <c r="F265" s="178">
        <v>0</v>
      </c>
      <c r="G265" s="177" t="s">
        <v>491</v>
      </c>
      <c r="H265" s="163">
        <v>10</v>
      </c>
      <c r="I265" s="163">
        <f>D265+H265</f>
        <v>119</v>
      </c>
      <c r="L265" s="175">
        <v>3560.7</v>
      </c>
      <c r="M265" s="175">
        <v>0</v>
      </c>
      <c r="N265" s="175">
        <f>L265-(+L265*F265)</f>
        <v>3560.7</v>
      </c>
      <c r="O265" s="175">
        <f>(+N265/H265)/12</f>
        <v>29.672499999999999</v>
      </c>
      <c r="P265" s="175">
        <f>IF(Q265&gt;0,0,IF(OR(AA265&gt;AB265,AC265&lt;AD265),0,IF(AND(AC265&gt;=AD265,AC265&lt;=AB265),O265*((AC265-AD265)*12),IF(AND(AD265&lt;=AA265,AB265&gt;=AA265),((AB265-AA265)*12)*O265,IF(AC265&gt;AB265,12*O265,0)))))</f>
        <v>356.07</v>
      </c>
      <c r="Q265" s="175">
        <f>IF(M265=0,0,IF(AND(AE265&gt;=AD265,AE265&lt;=AC265),((AE265-AD265)*12)*O265,0))</f>
        <v>0</v>
      </c>
      <c r="R265" s="175">
        <f>IF(Q265&gt;0,Q265,P265)</f>
        <v>356.07</v>
      </c>
      <c r="S265" s="176">
        <v>1</v>
      </c>
      <c r="T265" s="175">
        <f>S265*SUM(P265:Q265)</f>
        <v>356.07</v>
      </c>
      <c r="U265" s="175">
        <f>IF(AA265&gt;AB265,0,IF(AC265&lt;AD265,L265,IF(AND(AC265&gt;=AD265,AC265&lt;=AB265),(L265-R265),IF(AND(AD265&lt;=AA265,AB265&gt;=AA265),0,IF(AC265&gt;AB265,((AD265-AA265)*12)*O265,0)))))</f>
        <v>2700.1974999999984</v>
      </c>
      <c r="V265" s="175">
        <f>U265*S265</f>
        <v>2700.1974999999984</v>
      </c>
      <c r="W265" s="176">
        <v>1</v>
      </c>
      <c r="X265" s="175">
        <f>V265*W265</f>
        <v>2700.1974999999984</v>
      </c>
      <c r="Y265" s="175">
        <f>IF(M265&gt;0,0,X265+T265*W265)*W265</f>
        <v>3056.2674999999986</v>
      </c>
      <c r="Z265" s="175">
        <f t="shared" si="163"/>
        <v>682.46750000000134</v>
      </c>
      <c r="AA265" s="175">
        <f t="shared" si="184"/>
        <v>109.66666666666667</v>
      </c>
      <c r="AB265" s="175">
        <f t="shared" si="181"/>
        <v>118.25</v>
      </c>
      <c r="AC265" s="175">
        <f t="shared" si="185"/>
        <v>119.66666666666667</v>
      </c>
      <c r="AD265" s="175">
        <f t="shared" si="182"/>
        <v>117.25</v>
      </c>
      <c r="AE265" s="175">
        <f t="shared" si="186"/>
        <v>-8.3333333333333329E-2</v>
      </c>
      <c r="AF265" s="175">
        <f>L265-((X265+Y265)/2)-Z265</f>
        <v>0</v>
      </c>
      <c r="AG265" s="166"/>
      <c r="AH265" s="166"/>
      <c r="AI265" s="166"/>
      <c r="AJ265" s="167"/>
      <c r="AK265" s="167"/>
    </row>
    <row r="266" spans="1:37">
      <c r="A266" s="163"/>
      <c r="B266" s="163" t="s">
        <v>522</v>
      </c>
      <c r="C266" s="295">
        <v>2009</v>
      </c>
      <c r="D266" s="163">
        <v>109</v>
      </c>
      <c r="E266" s="163">
        <v>10</v>
      </c>
      <c r="F266" s="178">
        <v>0</v>
      </c>
      <c r="G266" s="177" t="s">
        <v>491</v>
      </c>
      <c r="H266" s="163">
        <v>10</v>
      </c>
      <c r="I266" s="163">
        <f t="shared" si="170"/>
        <v>119</v>
      </c>
      <c r="L266" s="175">
        <v>2724.48</v>
      </c>
      <c r="M266" s="175">
        <v>0</v>
      </c>
      <c r="N266" s="175">
        <f t="shared" si="171"/>
        <v>2724.48</v>
      </c>
      <c r="O266" s="175">
        <f t="shared" si="172"/>
        <v>22.703999999999997</v>
      </c>
      <c r="P266" s="175">
        <f t="shared" si="173"/>
        <v>272.44799999999998</v>
      </c>
      <c r="Q266" s="175">
        <f t="shared" si="174"/>
        <v>0</v>
      </c>
      <c r="R266" s="175">
        <f t="shared" si="175"/>
        <v>272.44799999999998</v>
      </c>
      <c r="S266" s="176">
        <v>1</v>
      </c>
      <c r="T266" s="175">
        <f t="shared" si="176"/>
        <v>272.44799999999998</v>
      </c>
      <c r="U266" s="175">
        <f t="shared" si="177"/>
        <v>2043.3599999999997</v>
      </c>
      <c r="V266" s="175">
        <f t="shared" si="178"/>
        <v>2043.3599999999997</v>
      </c>
      <c r="W266" s="176">
        <v>1</v>
      </c>
      <c r="X266" s="175">
        <f t="shared" si="179"/>
        <v>2043.3599999999997</v>
      </c>
      <c r="Y266" s="175">
        <f t="shared" si="180"/>
        <v>2315.8079999999995</v>
      </c>
      <c r="Z266" s="175">
        <f t="shared" si="163"/>
        <v>544.89600000000041</v>
      </c>
      <c r="AA266" s="175">
        <f t="shared" si="184"/>
        <v>109.75</v>
      </c>
      <c r="AB266" s="175">
        <f t="shared" si="181"/>
        <v>118.25</v>
      </c>
      <c r="AC266" s="175">
        <f t="shared" si="185"/>
        <v>119.75</v>
      </c>
      <c r="AD266" s="175">
        <f t="shared" si="182"/>
        <v>117.25</v>
      </c>
      <c r="AE266" s="175">
        <f t="shared" si="186"/>
        <v>-8.3333333333333329E-2</v>
      </c>
      <c r="AF266" s="175">
        <f t="shared" si="183"/>
        <v>0</v>
      </c>
      <c r="AG266" s="166"/>
      <c r="AH266" s="166"/>
      <c r="AI266" s="166"/>
      <c r="AJ266" s="167"/>
      <c r="AK266" s="167"/>
    </row>
    <row r="267" spans="1:37">
      <c r="A267" s="163"/>
      <c r="B267" s="163" t="s">
        <v>519</v>
      </c>
      <c r="C267" s="295">
        <v>2010</v>
      </c>
      <c r="D267" s="163">
        <v>110</v>
      </c>
      <c r="E267" s="163">
        <v>2</v>
      </c>
      <c r="F267" s="178">
        <v>0</v>
      </c>
      <c r="G267" s="177" t="s">
        <v>491</v>
      </c>
      <c r="H267" s="163">
        <v>10</v>
      </c>
      <c r="I267" s="163">
        <f t="shared" si="170"/>
        <v>120</v>
      </c>
      <c r="L267" s="175">
        <v>5287.1</v>
      </c>
      <c r="M267" s="175">
        <v>0</v>
      </c>
      <c r="N267" s="175">
        <f t="shared" si="171"/>
        <v>5287.1</v>
      </c>
      <c r="O267" s="175">
        <f t="shared" si="172"/>
        <v>44.05916666666667</v>
      </c>
      <c r="P267" s="175">
        <f t="shared" si="173"/>
        <v>528.71</v>
      </c>
      <c r="Q267" s="175">
        <f t="shared" si="174"/>
        <v>0</v>
      </c>
      <c r="R267" s="175">
        <f t="shared" si="175"/>
        <v>528.71</v>
      </c>
      <c r="S267" s="176">
        <v>1</v>
      </c>
      <c r="T267" s="175">
        <f t="shared" si="176"/>
        <v>528.71</v>
      </c>
      <c r="U267" s="175">
        <f t="shared" si="177"/>
        <v>3789.0883333333363</v>
      </c>
      <c r="V267" s="175">
        <f t="shared" si="178"/>
        <v>3789.0883333333363</v>
      </c>
      <c r="W267" s="176">
        <v>1</v>
      </c>
      <c r="X267" s="175">
        <f t="shared" si="179"/>
        <v>3789.0883333333363</v>
      </c>
      <c r="Y267" s="175">
        <f t="shared" si="180"/>
        <v>4317.7983333333359</v>
      </c>
      <c r="Z267" s="175">
        <f t="shared" si="163"/>
        <v>1233.6566666666643</v>
      </c>
      <c r="AA267" s="175">
        <f t="shared" si="184"/>
        <v>110.08333333333333</v>
      </c>
      <c r="AB267" s="175">
        <f t="shared" si="181"/>
        <v>118.25</v>
      </c>
      <c r="AC267" s="175">
        <f t="shared" si="185"/>
        <v>120.08333333333333</v>
      </c>
      <c r="AD267" s="175">
        <f t="shared" si="182"/>
        <v>117.25</v>
      </c>
      <c r="AE267" s="175">
        <f t="shared" si="186"/>
        <v>-8.3333333333333329E-2</v>
      </c>
      <c r="AF267" s="175">
        <f t="shared" si="183"/>
        <v>0</v>
      </c>
      <c r="AG267" s="166"/>
      <c r="AH267" s="166"/>
      <c r="AI267" s="166"/>
      <c r="AJ267" s="167"/>
      <c r="AK267" s="167"/>
    </row>
    <row r="268" spans="1:37">
      <c r="A268" s="163"/>
      <c r="B268" s="163" t="s">
        <v>520</v>
      </c>
      <c r="C268" s="295">
        <v>2010</v>
      </c>
      <c r="D268" s="163">
        <v>110</v>
      </c>
      <c r="E268" s="163">
        <v>3</v>
      </c>
      <c r="F268" s="178">
        <v>0</v>
      </c>
      <c r="G268" s="177" t="s">
        <v>491</v>
      </c>
      <c r="H268" s="163">
        <v>10</v>
      </c>
      <c r="I268" s="163">
        <f t="shared" si="170"/>
        <v>120</v>
      </c>
      <c r="L268" s="175">
        <v>3324.4</v>
      </c>
      <c r="M268" s="175">
        <v>0</v>
      </c>
      <c r="N268" s="175">
        <f t="shared" si="171"/>
        <v>3324.4</v>
      </c>
      <c r="O268" s="175">
        <f t="shared" si="172"/>
        <v>27.703333333333333</v>
      </c>
      <c r="P268" s="175">
        <f t="shared" si="173"/>
        <v>332.44</v>
      </c>
      <c r="Q268" s="175">
        <f t="shared" si="174"/>
        <v>0</v>
      </c>
      <c r="R268" s="175">
        <f t="shared" si="175"/>
        <v>332.44</v>
      </c>
      <c r="S268" s="176">
        <v>1</v>
      </c>
      <c r="T268" s="175">
        <f t="shared" si="176"/>
        <v>332.44</v>
      </c>
      <c r="U268" s="175">
        <f t="shared" si="177"/>
        <v>2354.7833333333319</v>
      </c>
      <c r="V268" s="175">
        <f t="shared" si="178"/>
        <v>2354.7833333333319</v>
      </c>
      <c r="W268" s="176">
        <v>1</v>
      </c>
      <c r="X268" s="175">
        <f t="shared" si="179"/>
        <v>2354.7833333333319</v>
      </c>
      <c r="Y268" s="175">
        <f t="shared" si="180"/>
        <v>2687.223333333332</v>
      </c>
      <c r="Z268" s="175">
        <f t="shared" si="163"/>
        <v>803.39666666666812</v>
      </c>
      <c r="AA268" s="175">
        <f t="shared" si="184"/>
        <v>110.16666666666667</v>
      </c>
      <c r="AB268" s="175">
        <f t="shared" si="181"/>
        <v>118.25</v>
      </c>
      <c r="AC268" s="175">
        <f t="shared" si="185"/>
        <v>120.16666666666667</v>
      </c>
      <c r="AD268" s="175">
        <f t="shared" si="182"/>
        <v>117.25</v>
      </c>
      <c r="AE268" s="175">
        <f t="shared" si="186"/>
        <v>-8.3333333333333329E-2</v>
      </c>
      <c r="AF268" s="175">
        <f t="shared" si="183"/>
        <v>0</v>
      </c>
      <c r="AG268" s="166"/>
      <c r="AH268" s="166"/>
      <c r="AI268" s="166"/>
      <c r="AJ268" s="167"/>
      <c r="AK268" s="167"/>
    </row>
    <row r="269" spans="1:37">
      <c r="A269" s="163"/>
      <c r="B269" s="163" t="s">
        <v>618</v>
      </c>
      <c r="C269" s="295">
        <v>2010</v>
      </c>
      <c r="D269" s="163">
        <v>110</v>
      </c>
      <c r="E269" s="163">
        <v>11</v>
      </c>
      <c r="F269" s="178">
        <v>0</v>
      </c>
      <c r="G269" s="177" t="s">
        <v>491</v>
      </c>
      <c r="H269" s="163">
        <v>10</v>
      </c>
      <c r="I269" s="163">
        <f t="shared" si="170"/>
        <v>120</v>
      </c>
      <c r="L269" s="175">
        <v>15628.46</v>
      </c>
      <c r="M269" s="175">
        <v>0</v>
      </c>
      <c r="N269" s="175">
        <f t="shared" si="171"/>
        <v>15628.46</v>
      </c>
      <c r="O269" s="175">
        <f t="shared" si="172"/>
        <v>130.23716666666667</v>
      </c>
      <c r="P269" s="175">
        <f t="shared" si="173"/>
        <v>1562.846</v>
      </c>
      <c r="Q269" s="175">
        <f t="shared" si="174"/>
        <v>0</v>
      </c>
      <c r="R269" s="175">
        <f t="shared" si="175"/>
        <v>1562.846</v>
      </c>
      <c r="S269" s="176">
        <v>1</v>
      </c>
      <c r="T269" s="175">
        <f t="shared" si="176"/>
        <v>1562.846</v>
      </c>
      <c r="U269" s="175">
        <f t="shared" si="177"/>
        <v>10028.261833333341</v>
      </c>
      <c r="V269" s="175">
        <f t="shared" si="178"/>
        <v>10028.261833333341</v>
      </c>
      <c r="W269" s="176">
        <v>1</v>
      </c>
      <c r="X269" s="175">
        <f t="shared" si="179"/>
        <v>10028.261833333341</v>
      </c>
      <c r="Y269" s="175">
        <f t="shared" si="180"/>
        <v>11591.107833333341</v>
      </c>
      <c r="Z269" s="175">
        <f t="shared" si="163"/>
        <v>4818.7751666666582</v>
      </c>
      <c r="AA269" s="175">
        <f t="shared" si="184"/>
        <v>110.83333333333333</v>
      </c>
      <c r="AB269" s="175">
        <f t="shared" si="181"/>
        <v>118.25</v>
      </c>
      <c r="AC269" s="175">
        <f t="shared" si="185"/>
        <v>120.83333333333333</v>
      </c>
      <c r="AD269" s="175">
        <f t="shared" si="182"/>
        <v>117.25</v>
      </c>
      <c r="AE269" s="175">
        <f t="shared" si="186"/>
        <v>-8.3333333333333329E-2</v>
      </c>
      <c r="AF269" s="175">
        <f t="shared" si="183"/>
        <v>0</v>
      </c>
      <c r="AG269" s="166"/>
      <c r="AH269" s="166"/>
      <c r="AI269" s="166"/>
      <c r="AJ269" s="167"/>
      <c r="AK269" s="167"/>
    </row>
    <row r="270" spans="1:37">
      <c r="A270" s="163"/>
      <c r="B270" s="163" t="s">
        <v>619</v>
      </c>
      <c r="C270" s="295">
        <v>2010</v>
      </c>
      <c r="D270" s="163">
        <v>110</v>
      </c>
      <c r="E270" s="163">
        <v>11</v>
      </c>
      <c r="F270" s="178">
        <v>0</v>
      </c>
      <c r="G270" s="177" t="s">
        <v>491</v>
      </c>
      <c r="H270" s="163">
        <v>10</v>
      </c>
      <c r="I270" s="163">
        <f>D270+H270</f>
        <v>120</v>
      </c>
      <c r="L270" s="175">
        <v>2018.23</v>
      </c>
      <c r="M270" s="175">
        <v>0</v>
      </c>
      <c r="N270" s="175">
        <f>L270-(+L270*F270)</f>
        <v>2018.23</v>
      </c>
      <c r="O270" s="175">
        <f>(+N270/H270)/12</f>
        <v>16.818583333333333</v>
      </c>
      <c r="P270" s="175">
        <f>IF(Q270&gt;0,0,IF(OR(AA270&gt;AB270,AC270&lt;AD270),0,IF(AND(AC270&gt;=AD270,AC270&lt;=AB270),O270*((AC270-AD270)*12),IF(AND(AD270&lt;=AA270,AB270&gt;=AA270),((AB270-AA270)*12)*O270,IF(AC270&gt;AB270,12*O270,0)))))</f>
        <v>201.82299999999998</v>
      </c>
      <c r="Q270" s="175">
        <f>IF(M270=0,0,IF(AND(AE270&gt;=AD270,AE270&lt;=AC270),((AE270-AD270)*12)*O270,0))</f>
        <v>0</v>
      </c>
      <c r="R270" s="175">
        <f>IF(Q270&gt;0,Q270,P270)</f>
        <v>201.82299999999998</v>
      </c>
      <c r="S270" s="176">
        <v>1</v>
      </c>
      <c r="T270" s="175">
        <f>S270*SUM(P270:Q270)</f>
        <v>201.82299999999998</v>
      </c>
      <c r="U270" s="175">
        <f>IF(AA270&gt;AB270,0,IF(AC270&lt;AD270,L270,IF(AND(AC270&gt;=AD270,AC270&lt;=AB270),(L270-R270),IF(AND(AD270&lt;=AA270,AB270&gt;=AA270),0,IF(AC270&gt;AB270,((AD270-AA270)*12)*O270,0)))))</f>
        <v>1295.0309166666675</v>
      </c>
      <c r="V270" s="175">
        <f>U270*S270</f>
        <v>1295.0309166666675</v>
      </c>
      <c r="W270" s="176">
        <v>1</v>
      </c>
      <c r="X270" s="175">
        <f>V270*W270</f>
        <v>1295.0309166666675</v>
      </c>
      <c r="Y270" s="175">
        <f>IF(M270&gt;0,0,X270+T270*W270)*W270</f>
        <v>1496.8539166666674</v>
      </c>
      <c r="Z270" s="175">
        <f t="shared" si="163"/>
        <v>622.28758333333258</v>
      </c>
      <c r="AA270" s="175">
        <f t="shared" si="184"/>
        <v>110.83333333333333</v>
      </c>
      <c r="AB270" s="175">
        <f t="shared" si="181"/>
        <v>118.25</v>
      </c>
      <c r="AC270" s="175">
        <f t="shared" si="185"/>
        <v>120.83333333333333</v>
      </c>
      <c r="AD270" s="175">
        <f t="shared" si="182"/>
        <v>117.25</v>
      </c>
      <c r="AE270" s="175">
        <f t="shared" si="186"/>
        <v>-8.3333333333333329E-2</v>
      </c>
      <c r="AF270" s="175">
        <f>L270-((X270+Y270)/2)-Z270</f>
        <v>0</v>
      </c>
      <c r="AG270" s="166"/>
      <c r="AH270" s="166"/>
      <c r="AI270" s="166"/>
      <c r="AJ270" s="167"/>
      <c r="AK270" s="167"/>
    </row>
    <row r="271" spans="1:37">
      <c r="A271" s="163"/>
      <c r="B271" s="163" t="s">
        <v>520</v>
      </c>
      <c r="C271" s="295">
        <v>2011</v>
      </c>
      <c r="D271" s="163">
        <v>111</v>
      </c>
      <c r="E271" s="163">
        <v>4</v>
      </c>
      <c r="F271" s="178">
        <v>0</v>
      </c>
      <c r="G271" s="177" t="s">
        <v>491</v>
      </c>
      <c r="H271" s="163">
        <v>10</v>
      </c>
      <c r="I271" s="163">
        <f t="shared" si="170"/>
        <v>121</v>
      </c>
      <c r="L271" s="175">
        <v>5128.59</v>
      </c>
      <c r="M271" s="175">
        <v>0</v>
      </c>
      <c r="N271" s="175">
        <f t="shared" si="171"/>
        <v>5128.59</v>
      </c>
      <c r="O271" s="175">
        <f t="shared" si="172"/>
        <v>42.738250000000001</v>
      </c>
      <c r="P271" s="175">
        <f t="shared" si="173"/>
        <v>512.85900000000004</v>
      </c>
      <c r="Q271" s="175">
        <f t="shared" si="174"/>
        <v>0</v>
      </c>
      <c r="R271" s="175">
        <f t="shared" si="175"/>
        <v>512.85900000000004</v>
      </c>
      <c r="S271" s="176">
        <v>1</v>
      </c>
      <c r="T271" s="175">
        <f t="shared" si="176"/>
        <v>512.85900000000004</v>
      </c>
      <c r="U271" s="175">
        <f t="shared" si="177"/>
        <v>3077.154</v>
      </c>
      <c r="V271" s="175">
        <f t="shared" si="178"/>
        <v>3077.154</v>
      </c>
      <c r="W271" s="176">
        <v>1</v>
      </c>
      <c r="X271" s="175">
        <f t="shared" si="179"/>
        <v>3077.154</v>
      </c>
      <c r="Y271" s="175">
        <f t="shared" si="180"/>
        <v>3590.0129999999999</v>
      </c>
      <c r="Z271" s="175">
        <f t="shared" si="163"/>
        <v>1795.0065000000002</v>
      </c>
      <c r="AA271" s="175">
        <f t="shared" si="184"/>
        <v>111.25</v>
      </c>
      <c r="AB271" s="175">
        <f t="shared" si="181"/>
        <v>118.25</v>
      </c>
      <c r="AC271" s="175">
        <f t="shared" si="185"/>
        <v>121.25</v>
      </c>
      <c r="AD271" s="175">
        <f t="shared" si="182"/>
        <v>117.25</v>
      </c>
      <c r="AE271" s="175">
        <f t="shared" si="186"/>
        <v>-8.3333333333333329E-2</v>
      </c>
      <c r="AF271" s="175">
        <f t="shared" si="183"/>
        <v>0</v>
      </c>
      <c r="AG271" s="166"/>
      <c r="AH271" s="166"/>
      <c r="AI271" s="166"/>
      <c r="AJ271" s="167"/>
      <c r="AK271" s="167"/>
    </row>
    <row r="272" spans="1:37">
      <c r="A272" s="163"/>
      <c r="B272" s="163" t="s">
        <v>522</v>
      </c>
      <c r="C272" s="295">
        <v>2011</v>
      </c>
      <c r="D272" s="163">
        <v>111</v>
      </c>
      <c r="E272" s="163">
        <v>4</v>
      </c>
      <c r="F272" s="178">
        <v>0</v>
      </c>
      <c r="G272" s="177" t="s">
        <v>491</v>
      </c>
      <c r="H272" s="163">
        <v>10</v>
      </c>
      <c r="I272" s="163">
        <f t="shared" si="170"/>
        <v>121</v>
      </c>
      <c r="L272" s="175">
        <v>3487.33</v>
      </c>
      <c r="M272" s="175">
        <v>0</v>
      </c>
      <c r="N272" s="175">
        <f t="shared" si="171"/>
        <v>3487.33</v>
      </c>
      <c r="O272" s="175">
        <f t="shared" si="172"/>
        <v>29.061083333333332</v>
      </c>
      <c r="P272" s="175">
        <f t="shared" si="173"/>
        <v>348.733</v>
      </c>
      <c r="Q272" s="175">
        <f t="shared" si="174"/>
        <v>0</v>
      </c>
      <c r="R272" s="175">
        <f t="shared" si="175"/>
        <v>348.733</v>
      </c>
      <c r="S272" s="176">
        <v>1</v>
      </c>
      <c r="T272" s="175">
        <f t="shared" si="176"/>
        <v>348.733</v>
      </c>
      <c r="U272" s="175">
        <f t="shared" si="177"/>
        <v>2092.3980000000001</v>
      </c>
      <c r="V272" s="175">
        <f t="shared" si="178"/>
        <v>2092.3980000000001</v>
      </c>
      <c r="W272" s="176">
        <v>1</v>
      </c>
      <c r="X272" s="175">
        <f t="shared" si="179"/>
        <v>2092.3980000000001</v>
      </c>
      <c r="Y272" s="175">
        <f t="shared" si="180"/>
        <v>2441.1310000000003</v>
      </c>
      <c r="Z272" s="175">
        <f t="shared" si="163"/>
        <v>1220.5654999999997</v>
      </c>
      <c r="AA272" s="175">
        <f t="shared" si="184"/>
        <v>111.25</v>
      </c>
      <c r="AB272" s="175">
        <f t="shared" si="181"/>
        <v>118.25</v>
      </c>
      <c r="AC272" s="175">
        <f t="shared" si="185"/>
        <v>121.25</v>
      </c>
      <c r="AD272" s="175">
        <f t="shared" si="182"/>
        <v>117.25</v>
      </c>
      <c r="AE272" s="175">
        <f t="shared" si="186"/>
        <v>-8.3333333333333329E-2</v>
      </c>
      <c r="AF272" s="175">
        <f t="shared" si="183"/>
        <v>0</v>
      </c>
      <c r="AG272" s="166"/>
      <c r="AH272" s="166"/>
      <c r="AI272" s="166"/>
      <c r="AJ272" s="167"/>
      <c r="AK272" s="167"/>
    </row>
    <row r="273" spans="1:37">
      <c r="A273" s="163"/>
      <c r="B273" s="163" t="s">
        <v>522</v>
      </c>
      <c r="C273" s="295">
        <v>2011</v>
      </c>
      <c r="D273" s="163">
        <v>111</v>
      </c>
      <c r="E273" s="163">
        <v>4</v>
      </c>
      <c r="F273" s="178">
        <v>0</v>
      </c>
      <c r="G273" s="177" t="s">
        <v>491</v>
      </c>
      <c r="H273" s="163">
        <v>10</v>
      </c>
      <c r="I273" s="163">
        <f t="shared" si="170"/>
        <v>121</v>
      </c>
      <c r="L273" s="175">
        <v>3781.01</v>
      </c>
      <c r="M273" s="175">
        <v>0</v>
      </c>
      <c r="N273" s="175">
        <f t="shared" si="171"/>
        <v>3781.01</v>
      </c>
      <c r="O273" s="175">
        <f t="shared" si="172"/>
        <v>31.508416666666665</v>
      </c>
      <c r="P273" s="175">
        <f t="shared" si="173"/>
        <v>378.101</v>
      </c>
      <c r="Q273" s="175">
        <f t="shared" si="174"/>
        <v>0</v>
      </c>
      <c r="R273" s="175">
        <f t="shared" si="175"/>
        <v>378.101</v>
      </c>
      <c r="S273" s="176">
        <v>1</v>
      </c>
      <c r="T273" s="175">
        <f t="shared" si="176"/>
        <v>378.101</v>
      </c>
      <c r="U273" s="175">
        <f t="shared" si="177"/>
        <v>2268.6059999999998</v>
      </c>
      <c r="V273" s="175">
        <f t="shared" si="178"/>
        <v>2268.6059999999998</v>
      </c>
      <c r="W273" s="176">
        <v>1</v>
      </c>
      <c r="X273" s="175">
        <f t="shared" si="179"/>
        <v>2268.6059999999998</v>
      </c>
      <c r="Y273" s="175">
        <f t="shared" si="180"/>
        <v>2646.7069999999999</v>
      </c>
      <c r="Z273" s="175">
        <f t="shared" si="163"/>
        <v>1323.3535000000004</v>
      </c>
      <c r="AA273" s="175">
        <f t="shared" si="184"/>
        <v>111.25</v>
      </c>
      <c r="AB273" s="175">
        <f t="shared" si="181"/>
        <v>118.25</v>
      </c>
      <c r="AC273" s="175">
        <f t="shared" si="185"/>
        <v>121.25</v>
      </c>
      <c r="AD273" s="175">
        <f t="shared" si="182"/>
        <v>117.25</v>
      </c>
      <c r="AE273" s="175">
        <f t="shared" si="186"/>
        <v>-8.3333333333333329E-2</v>
      </c>
      <c r="AF273" s="175">
        <f t="shared" si="183"/>
        <v>0</v>
      </c>
      <c r="AG273" s="166"/>
      <c r="AH273" s="166"/>
      <c r="AI273" s="166"/>
      <c r="AJ273" s="167"/>
      <c r="AK273" s="167"/>
    </row>
    <row r="274" spans="1:37">
      <c r="A274" s="163"/>
      <c r="B274" s="163" t="s">
        <v>522</v>
      </c>
      <c r="C274" s="295">
        <v>2011</v>
      </c>
      <c r="D274" s="163">
        <v>111</v>
      </c>
      <c r="E274" s="163">
        <v>6</v>
      </c>
      <c r="F274" s="178">
        <v>0</v>
      </c>
      <c r="G274" s="177" t="s">
        <v>491</v>
      </c>
      <c r="H274" s="163">
        <v>10</v>
      </c>
      <c r="I274" s="163">
        <f t="shared" si="170"/>
        <v>121</v>
      </c>
      <c r="L274" s="175">
        <v>3487.33</v>
      </c>
      <c r="M274" s="175">
        <v>0</v>
      </c>
      <c r="N274" s="175">
        <f t="shared" si="171"/>
        <v>3487.33</v>
      </c>
      <c r="O274" s="175">
        <f t="shared" si="172"/>
        <v>29.061083333333332</v>
      </c>
      <c r="P274" s="175">
        <f t="shared" si="173"/>
        <v>348.733</v>
      </c>
      <c r="Q274" s="175">
        <f t="shared" si="174"/>
        <v>0</v>
      </c>
      <c r="R274" s="175">
        <f t="shared" si="175"/>
        <v>348.733</v>
      </c>
      <c r="S274" s="176">
        <v>1</v>
      </c>
      <c r="T274" s="175">
        <f t="shared" si="176"/>
        <v>348.733</v>
      </c>
      <c r="U274" s="175">
        <f t="shared" si="177"/>
        <v>2034.2758333333315</v>
      </c>
      <c r="V274" s="175">
        <f t="shared" si="178"/>
        <v>2034.2758333333315</v>
      </c>
      <c r="W274" s="176">
        <v>1</v>
      </c>
      <c r="X274" s="175">
        <f t="shared" si="179"/>
        <v>2034.2758333333315</v>
      </c>
      <c r="Y274" s="175">
        <f t="shared" si="180"/>
        <v>2383.0088333333315</v>
      </c>
      <c r="Z274" s="175">
        <f t="shared" si="163"/>
        <v>1278.6876666666685</v>
      </c>
      <c r="AA274" s="175">
        <f t="shared" si="184"/>
        <v>111.41666666666667</v>
      </c>
      <c r="AB274" s="175">
        <f t="shared" si="181"/>
        <v>118.25</v>
      </c>
      <c r="AC274" s="175">
        <f t="shared" si="185"/>
        <v>121.41666666666667</v>
      </c>
      <c r="AD274" s="175">
        <f t="shared" si="182"/>
        <v>117.25</v>
      </c>
      <c r="AE274" s="175">
        <f t="shared" si="186"/>
        <v>-8.3333333333333329E-2</v>
      </c>
      <c r="AF274" s="175">
        <f t="shared" si="183"/>
        <v>0</v>
      </c>
      <c r="AG274" s="166"/>
      <c r="AH274" s="166"/>
      <c r="AI274" s="166"/>
      <c r="AJ274" s="167"/>
      <c r="AK274" s="167"/>
    </row>
    <row r="275" spans="1:37">
      <c r="A275" s="163"/>
      <c r="B275" s="163" t="s">
        <v>520</v>
      </c>
      <c r="C275" s="295">
        <v>2011</v>
      </c>
      <c r="D275" s="163">
        <v>111</v>
      </c>
      <c r="E275" s="163">
        <v>6</v>
      </c>
      <c r="F275" s="178">
        <v>0</v>
      </c>
      <c r="G275" s="177" t="s">
        <v>491</v>
      </c>
      <c r="H275" s="163">
        <v>10</v>
      </c>
      <c r="I275" s="163">
        <f t="shared" si="170"/>
        <v>121</v>
      </c>
      <c r="L275" s="175">
        <v>5128.59</v>
      </c>
      <c r="M275" s="175">
        <v>0</v>
      </c>
      <c r="N275" s="175">
        <f t="shared" si="171"/>
        <v>5128.59</v>
      </c>
      <c r="O275" s="175">
        <f t="shared" si="172"/>
        <v>42.738250000000001</v>
      </c>
      <c r="P275" s="175">
        <f t="shared" si="173"/>
        <v>512.85900000000004</v>
      </c>
      <c r="Q275" s="175">
        <f t="shared" si="174"/>
        <v>0</v>
      </c>
      <c r="R275" s="175">
        <f t="shared" si="175"/>
        <v>512.85900000000004</v>
      </c>
      <c r="S275" s="176">
        <v>1</v>
      </c>
      <c r="T275" s="175">
        <f t="shared" si="176"/>
        <v>512.85900000000004</v>
      </c>
      <c r="U275" s="175">
        <f t="shared" si="177"/>
        <v>2991.6774999999975</v>
      </c>
      <c r="V275" s="175">
        <f t="shared" si="178"/>
        <v>2991.6774999999975</v>
      </c>
      <c r="W275" s="176">
        <v>1</v>
      </c>
      <c r="X275" s="175">
        <f t="shared" si="179"/>
        <v>2991.6774999999975</v>
      </c>
      <c r="Y275" s="175">
        <f t="shared" si="180"/>
        <v>3504.5364999999974</v>
      </c>
      <c r="Z275" s="175">
        <f t="shared" si="163"/>
        <v>1880.4830000000027</v>
      </c>
      <c r="AA275" s="175">
        <f t="shared" si="184"/>
        <v>111.41666666666667</v>
      </c>
      <c r="AB275" s="175">
        <f t="shared" si="181"/>
        <v>118.25</v>
      </c>
      <c r="AC275" s="175">
        <f t="shared" si="185"/>
        <v>121.41666666666667</v>
      </c>
      <c r="AD275" s="175">
        <f t="shared" si="182"/>
        <v>117.25</v>
      </c>
      <c r="AE275" s="175">
        <f t="shared" si="186"/>
        <v>-8.3333333333333329E-2</v>
      </c>
      <c r="AF275" s="175">
        <f t="shared" si="183"/>
        <v>0</v>
      </c>
      <c r="AG275" s="166"/>
      <c r="AH275" s="166"/>
      <c r="AI275" s="166"/>
      <c r="AJ275" s="167"/>
      <c r="AK275" s="167"/>
    </row>
    <row r="276" spans="1:37">
      <c r="A276" s="163"/>
      <c r="B276" s="163" t="s">
        <v>517</v>
      </c>
      <c r="C276" s="295">
        <v>2011</v>
      </c>
      <c r="D276" s="163">
        <v>111</v>
      </c>
      <c r="E276" s="163">
        <v>6</v>
      </c>
      <c r="F276" s="178">
        <v>0</v>
      </c>
      <c r="G276" s="177" t="s">
        <v>491</v>
      </c>
      <c r="H276" s="163">
        <v>10</v>
      </c>
      <c r="I276" s="163">
        <f t="shared" ref="I276:I330" si="187">D276+H276</f>
        <v>121</v>
      </c>
      <c r="L276" s="175">
        <v>8011.71</v>
      </c>
      <c r="M276" s="175">
        <v>0</v>
      </c>
      <c r="N276" s="175">
        <f t="shared" ref="N276:N284" si="188">L276-(+L276*F276)</f>
        <v>8011.71</v>
      </c>
      <c r="O276" s="175">
        <f t="shared" ref="O276:O284" si="189">(+N276/H276)/12</f>
        <v>66.764250000000004</v>
      </c>
      <c r="P276" s="175">
        <f t="shared" ref="P276:P284" si="190">IF(Q276&gt;0,0,IF(OR(AA276&gt;AB276,AC276&lt;AD276),0,IF(AND(AC276&gt;=AD276,AC276&lt;=AB276),O276*((AC276-AD276)*12),IF(AND(AD276&lt;=AA276,AB276&gt;=AA276),((AB276-AA276)*12)*O276,IF(AC276&gt;AB276,12*O276,0)))))</f>
        <v>801.17100000000005</v>
      </c>
      <c r="Q276" s="175">
        <f t="shared" ref="Q276:Q330" si="191">IF(M276=0,0,IF(AND(AE276&gt;=AD276,AE276&lt;=AC276),((AE276-AD276)*12)*O276,0))</f>
        <v>0</v>
      </c>
      <c r="R276" s="175">
        <f t="shared" ref="R276:R330" si="192">IF(Q276&gt;0,Q276,P276)</f>
        <v>801.17100000000005</v>
      </c>
      <c r="S276" s="176">
        <v>1</v>
      </c>
      <c r="T276" s="175">
        <f t="shared" ref="T276:T284" si="193">S276*SUM(P276:Q276)</f>
        <v>801.17100000000005</v>
      </c>
      <c r="U276" s="175">
        <f t="shared" ref="U276:U284" si="194">IF(AA276&gt;AB276,0,IF(AC276&lt;AD276,L276,IF(AND(AC276&gt;=AD276,AC276&lt;=AB276),(L276-R276),IF(AND(AD276&lt;=AA276,AB276&gt;=AA276),0,IF(AC276&gt;AB276,((AD276-AA276)*12)*O276,0)))))</f>
        <v>4673.4974999999968</v>
      </c>
      <c r="V276" s="175">
        <f t="shared" ref="V276:V284" si="195">U276*S276</f>
        <v>4673.4974999999968</v>
      </c>
      <c r="W276" s="176">
        <v>1</v>
      </c>
      <c r="X276" s="175">
        <f t="shared" ref="X276:X284" si="196">V276*W276</f>
        <v>4673.4974999999968</v>
      </c>
      <c r="Y276" s="175">
        <f t="shared" ref="Y276:Y284" si="197">IF(M276&gt;0,0,X276+T276*W276)*W276</f>
        <v>5474.668499999997</v>
      </c>
      <c r="Z276" s="175">
        <f t="shared" si="163"/>
        <v>2937.6270000000031</v>
      </c>
      <c r="AA276" s="175">
        <f t="shared" si="184"/>
        <v>111.41666666666667</v>
      </c>
      <c r="AB276" s="175">
        <f t="shared" si="181"/>
        <v>118.25</v>
      </c>
      <c r="AC276" s="175">
        <f t="shared" si="185"/>
        <v>121.41666666666667</v>
      </c>
      <c r="AD276" s="175">
        <f t="shared" si="182"/>
        <v>117.25</v>
      </c>
      <c r="AE276" s="175">
        <f t="shared" si="186"/>
        <v>-8.3333333333333329E-2</v>
      </c>
      <c r="AF276" s="175">
        <f t="shared" ref="AF276:AF284" si="198">L276-((X276+Y276)/2)-Z276</f>
        <v>0</v>
      </c>
      <c r="AG276" s="166"/>
      <c r="AH276" s="166"/>
      <c r="AI276" s="166"/>
      <c r="AJ276" s="167"/>
      <c r="AK276" s="167"/>
    </row>
    <row r="277" spans="1:37">
      <c r="A277" s="163"/>
      <c r="B277" s="163" t="s">
        <v>520</v>
      </c>
      <c r="C277" s="295">
        <v>2011</v>
      </c>
      <c r="D277" s="163">
        <v>111</v>
      </c>
      <c r="E277" s="163">
        <v>10</v>
      </c>
      <c r="F277" s="178">
        <v>0</v>
      </c>
      <c r="G277" s="177" t="s">
        <v>491</v>
      </c>
      <c r="H277" s="163">
        <v>10</v>
      </c>
      <c r="I277" s="163">
        <f t="shared" si="187"/>
        <v>121</v>
      </c>
      <c r="L277" s="175">
        <v>5273.74</v>
      </c>
      <c r="M277" s="175">
        <v>0</v>
      </c>
      <c r="N277" s="175">
        <f t="shared" si="188"/>
        <v>5273.74</v>
      </c>
      <c r="O277" s="175">
        <f t="shared" si="189"/>
        <v>43.947833333333335</v>
      </c>
      <c r="P277" s="175">
        <f t="shared" si="190"/>
        <v>527.37400000000002</v>
      </c>
      <c r="Q277" s="175">
        <f t="shared" si="191"/>
        <v>0</v>
      </c>
      <c r="R277" s="175">
        <f t="shared" si="192"/>
        <v>527.37400000000002</v>
      </c>
      <c r="S277" s="176">
        <v>1</v>
      </c>
      <c r="T277" s="175">
        <f t="shared" si="193"/>
        <v>527.37400000000002</v>
      </c>
      <c r="U277" s="175">
        <f t="shared" si="194"/>
        <v>2900.5570000000002</v>
      </c>
      <c r="V277" s="175">
        <f t="shared" si="195"/>
        <v>2900.5570000000002</v>
      </c>
      <c r="W277" s="176">
        <v>1</v>
      </c>
      <c r="X277" s="175">
        <f t="shared" si="196"/>
        <v>2900.5570000000002</v>
      </c>
      <c r="Y277" s="175">
        <f t="shared" si="197"/>
        <v>3427.9310000000005</v>
      </c>
      <c r="Z277" s="175">
        <f t="shared" si="163"/>
        <v>2109.4959999999992</v>
      </c>
      <c r="AA277" s="175">
        <f t="shared" si="184"/>
        <v>111.75</v>
      </c>
      <c r="AB277" s="175">
        <f t="shared" si="181"/>
        <v>118.25</v>
      </c>
      <c r="AC277" s="175">
        <f t="shared" si="185"/>
        <v>121.75</v>
      </c>
      <c r="AD277" s="175">
        <f t="shared" si="182"/>
        <v>117.25</v>
      </c>
      <c r="AE277" s="175">
        <f t="shared" si="186"/>
        <v>-8.3333333333333329E-2</v>
      </c>
      <c r="AF277" s="175">
        <f t="shared" si="198"/>
        <v>0</v>
      </c>
      <c r="AG277" s="166"/>
      <c r="AH277" s="166"/>
      <c r="AI277" s="166"/>
      <c r="AJ277" s="167"/>
      <c r="AK277" s="167"/>
    </row>
    <row r="278" spans="1:37">
      <c r="A278" s="163"/>
      <c r="B278" s="163" t="s">
        <v>522</v>
      </c>
      <c r="C278" s="295">
        <v>2011</v>
      </c>
      <c r="D278" s="163">
        <v>111</v>
      </c>
      <c r="E278" s="163">
        <v>10</v>
      </c>
      <c r="F278" s="178">
        <v>0</v>
      </c>
      <c r="G278" s="177" t="s">
        <v>491</v>
      </c>
      <c r="H278" s="163">
        <v>10</v>
      </c>
      <c r="I278" s="163">
        <f t="shared" si="187"/>
        <v>121</v>
      </c>
      <c r="L278" s="175">
        <v>3736.17</v>
      </c>
      <c r="M278" s="175">
        <v>0</v>
      </c>
      <c r="N278" s="175">
        <f t="shared" si="188"/>
        <v>3736.17</v>
      </c>
      <c r="O278" s="175">
        <f t="shared" si="189"/>
        <v>31.13475</v>
      </c>
      <c r="P278" s="175">
        <f t="shared" si="190"/>
        <v>373.61700000000002</v>
      </c>
      <c r="Q278" s="175">
        <f t="shared" si="191"/>
        <v>0</v>
      </c>
      <c r="R278" s="175">
        <f t="shared" si="192"/>
        <v>373.61700000000002</v>
      </c>
      <c r="S278" s="176">
        <v>1</v>
      </c>
      <c r="T278" s="175">
        <f t="shared" si="193"/>
        <v>373.61700000000002</v>
      </c>
      <c r="U278" s="175">
        <f t="shared" si="194"/>
        <v>2054.8935000000001</v>
      </c>
      <c r="V278" s="175">
        <f t="shared" si="195"/>
        <v>2054.8935000000001</v>
      </c>
      <c r="W278" s="176">
        <v>1</v>
      </c>
      <c r="X278" s="175">
        <f t="shared" si="196"/>
        <v>2054.8935000000001</v>
      </c>
      <c r="Y278" s="175">
        <f t="shared" si="197"/>
        <v>2428.5105000000003</v>
      </c>
      <c r="Z278" s="175">
        <f t="shared" si="163"/>
        <v>1494.4679999999998</v>
      </c>
      <c r="AA278" s="175">
        <f t="shared" si="184"/>
        <v>111.75</v>
      </c>
      <c r="AB278" s="175">
        <f t="shared" si="181"/>
        <v>118.25</v>
      </c>
      <c r="AC278" s="175">
        <f t="shared" si="185"/>
        <v>121.75</v>
      </c>
      <c r="AD278" s="175">
        <f t="shared" si="182"/>
        <v>117.25</v>
      </c>
      <c r="AE278" s="175">
        <f t="shared" si="186"/>
        <v>-8.3333333333333329E-2</v>
      </c>
      <c r="AF278" s="175">
        <f t="shared" si="198"/>
        <v>0</v>
      </c>
      <c r="AG278" s="166"/>
      <c r="AH278" s="166"/>
      <c r="AI278" s="166"/>
      <c r="AJ278" s="167"/>
      <c r="AK278" s="167"/>
    </row>
    <row r="279" spans="1:37">
      <c r="A279" s="163"/>
      <c r="B279" s="163" t="s">
        <v>521</v>
      </c>
      <c r="C279" s="295">
        <v>2011</v>
      </c>
      <c r="D279" s="163">
        <v>111</v>
      </c>
      <c r="E279" s="163">
        <v>10</v>
      </c>
      <c r="F279" s="178">
        <v>0</v>
      </c>
      <c r="G279" s="177" t="s">
        <v>491</v>
      </c>
      <c r="H279" s="163">
        <v>10</v>
      </c>
      <c r="I279" s="163">
        <f t="shared" si="187"/>
        <v>121</v>
      </c>
      <c r="L279" s="175">
        <v>3978.95</v>
      </c>
      <c r="M279" s="175">
        <v>0</v>
      </c>
      <c r="N279" s="175">
        <f t="shared" si="188"/>
        <v>3978.95</v>
      </c>
      <c r="O279" s="175">
        <f t="shared" si="189"/>
        <v>33.157916666666665</v>
      </c>
      <c r="P279" s="175">
        <f t="shared" si="190"/>
        <v>397.89499999999998</v>
      </c>
      <c r="Q279" s="175">
        <f t="shared" si="191"/>
        <v>0</v>
      </c>
      <c r="R279" s="175">
        <f t="shared" si="192"/>
        <v>397.89499999999998</v>
      </c>
      <c r="S279" s="176">
        <v>1</v>
      </c>
      <c r="T279" s="175">
        <f t="shared" si="193"/>
        <v>397.89499999999998</v>
      </c>
      <c r="U279" s="175">
        <f t="shared" si="194"/>
        <v>2188.4224999999997</v>
      </c>
      <c r="V279" s="175">
        <f t="shared" si="195"/>
        <v>2188.4224999999997</v>
      </c>
      <c r="W279" s="176">
        <v>1</v>
      </c>
      <c r="X279" s="175">
        <f t="shared" si="196"/>
        <v>2188.4224999999997</v>
      </c>
      <c r="Y279" s="175">
        <f t="shared" si="197"/>
        <v>2586.3174999999997</v>
      </c>
      <c r="Z279" s="175">
        <f t="shared" si="163"/>
        <v>1591.5800000000002</v>
      </c>
      <c r="AA279" s="175">
        <f t="shared" si="184"/>
        <v>111.75</v>
      </c>
      <c r="AB279" s="175">
        <f t="shared" si="181"/>
        <v>118.25</v>
      </c>
      <c r="AC279" s="175">
        <f t="shared" si="185"/>
        <v>121.75</v>
      </c>
      <c r="AD279" s="175">
        <f t="shared" si="182"/>
        <v>117.25</v>
      </c>
      <c r="AE279" s="175">
        <f t="shared" si="186"/>
        <v>-8.3333333333333329E-2</v>
      </c>
      <c r="AF279" s="175">
        <f t="shared" si="198"/>
        <v>0</v>
      </c>
      <c r="AG279" s="166"/>
      <c r="AH279" s="166"/>
      <c r="AI279" s="166"/>
      <c r="AJ279" s="167"/>
      <c r="AK279" s="167"/>
    </row>
    <row r="280" spans="1:37">
      <c r="A280" s="163"/>
      <c r="B280" s="163" t="s">
        <v>620</v>
      </c>
      <c r="C280" s="295">
        <v>2011</v>
      </c>
      <c r="D280" s="163">
        <v>111</v>
      </c>
      <c r="E280" s="163">
        <v>11</v>
      </c>
      <c r="F280" s="178">
        <v>0</v>
      </c>
      <c r="G280" s="177" t="s">
        <v>491</v>
      </c>
      <c r="H280" s="163">
        <v>10</v>
      </c>
      <c r="I280" s="163">
        <f t="shared" si="187"/>
        <v>121</v>
      </c>
      <c r="L280" s="175">
        <v>13158.5</v>
      </c>
      <c r="M280" s="175">
        <v>0</v>
      </c>
      <c r="N280" s="175">
        <f t="shared" si="188"/>
        <v>13158.5</v>
      </c>
      <c r="O280" s="175">
        <f t="shared" si="189"/>
        <v>109.65416666666665</v>
      </c>
      <c r="P280" s="175">
        <f t="shared" si="190"/>
        <v>1315.85</v>
      </c>
      <c r="Q280" s="175">
        <f t="shared" si="191"/>
        <v>0</v>
      </c>
      <c r="R280" s="175">
        <f t="shared" si="192"/>
        <v>1315.85</v>
      </c>
      <c r="S280" s="176">
        <v>1</v>
      </c>
      <c r="T280" s="175">
        <f t="shared" si="193"/>
        <v>1315.85</v>
      </c>
      <c r="U280" s="175">
        <f t="shared" si="194"/>
        <v>7127.5208333333385</v>
      </c>
      <c r="V280" s="175">
        <f t="shared" si="195"/>
        <v>7127.5208333333385</v>
      </c>
      <c r="W280" s="176">
        <v>1</v>
      </c>
      <c r="X280" s="175">
        <f t="shared" si="196"/>
        <v>7127.5208333333385</v>
      </c>
      <c r="Y280" s="175">
        <f t="shared" si="197"/>
        <v>8443.3708333333379</v>
      </c>
      <c r="Z280" s="175">
        <f t="shared" si="163"/>
        <v>5373.0541666666613</v>
      </c>
      <c r="AA280" s="175">
        <f t="shared" si="184"/>
        <v>111.83333333333333</v>
      </c>
      <c r="AB280" s="175">
        <f t="shared" si="181"/>
        <v>118.25</v>
      </c>
      <c r="AC280" s="175">
        <f t="shared" si="185"/>
        <v>121.83333333333333</v>
      </c>
      <c r="AD280" s="175">
        <f t="shared" si="182"/>
        <v>117.25</v>
      </c>
      <c r="AE280" s="175">
        <f t="shared" si="186"/>
        <v>-8.3333333333333329E-2</v>
      </c>
      <c r="AF280" s="175">
        <f t="shared" si="198"/>
        <v>0</v>
      </c>
      <c r="AG280" s="166"/>
      <c r="AH280" s="166"/>
      <c r="AI280" s="166"/>
      <c r="AJ280" s="167"/>
      <c r="AK280" s="167"/>
    </row>
    <row r="281" spans="1:37">
      <c r="A281" s="163"/>
      <c r="B281" s="163" t="s">
        <v>521</v>
      </c>
      <c r="C281" s="295">
        <v>2011</v>
      </c>
      <c r="D281" s="163">
        <v>111</v>
      </c>
      <c r="E281" s="163">
        <v>11</v>
      </c>
      <c r="F281" s="178">
        <v>0</v>
      </c>
      <c r="G281" s="177" t="s">
        <v>491</v>
      </c>
      <c r="H281" s="163">
        <v>10</v>
      </c>
      <c r="I281" s="163">
        <f t="shared" si="187"/>
        <v>121</v>
      </c>
      <c r="L281" s="175">
        <v>3851.64</v>
      </c>
      <c r="M281" s="175">
        <v>0</v>
      </c>
      <c r="N281" s="175">
        <f t="shared" si="188"/>
        <v>3851.64</v>
      </c>
      <c r="O281" s="175">
        <f t="shared" si="189"/>
        <v>32.097000000000001</v>
      </c>
      <c r="P281" s="175">
        <f t="shared" si="190"/>
        <v>385.16399999999999</v>
      </c>
      <c r="Q281" s="175">
        <f t="shared" si="191"/>
        <v>0</v>
      </c>
      <c r="R281" s="175">
        <f t="shared" si="192"/>
        <v>385.16399999999999</v>
      </c>
      <c r="S281" s="176">
        <v>1</v>
      </c>
      <c r="T281" s="175">
        <f t="shared" si="193"/>
        <v>385.16399999999999</v>
      </c>
      <c r="U281" s="175">
        <f t="shared" si="194"/>
        <v>2086.3050000000021</v>
      </c>
      <c r="V281" s="175">
        <f t="shared" si="195"/>
        <v>2086.3050000000021</v>
      </c>
      <c r="W281" s="176">
        <v>1</v>
      </c>
      <c r="X281" s="175">
        <f t="shared" si="196"/>
        <v>2086.3050000000021</v>
      </c>
      <c r="Y281" s="175">
        <f t="shared" si="197"/>
        <v>2471.4690000000019</v>
      </c>
      <c r="Z281" s="175">
        <f t="shared" si="163"/>
        <v>1572.7529999999979</v>
      </c>
      <c r="AA281" s="175">
        <f t="shared" si="184"/>
        <v>111.83333333333333</v>
      </c>
      <c r="AB281" s="175">
        <f t="shared" si="181"/>
        <v>118.25</v>
      </c>
      <c r="AC281" s="175">
        <f t="shared" si="185"/>
        <v>121.83333333333333</v>
      </c>
      <c r="AD281" s="175">
        <f t="shared" si="182"/>
        <v>117.25</v>
      </c>
      <c r="AE281" s="175">
        <f t="shared" si="186"/>
        <v>-8.3333333333333329E-2</v>
      </c>
      <c r="AF281" s="175">
        <f t="shared" si="198"/>
        <v>0</v>
      </c>
      <c r="AG281" s="166"/>
      <c r="AH281" s="166"/>
      <c r="AI281" s="166"/>
      <c r="AJ281" s="167"/>
      <c r="AK281" s="167"/>
    </row>
    <row r="282" spans="1:37">
      <c r="A282" s="163"/>
      <c r="B282" s="163" t="s">
        <v>520</v>
      </c>
      <c r="C282" s="295">
        <v>2012</v>
      </c>
      <c r="D282" s="163">
        <v>112</v>
      </c>
      <c r="E282" s="163">
        <v>11</v>
      </c>
      <c r="F282" s="178">
        <v>0</v>
      </c>
      <c r="G282" s="177" t="s">
        <v>491</v>
      </c>
      <c r="H282" s="163">
        <v>10</v>
      </c>
      <c r="I282" s="163">
        <f t="shared" si="187"/>
        <v>122</v>
      </c>
      <c r="L282" s="175">
        <v>5067.8599999999997</v>
      </c>
      <c r="M282" s="175">
        <v>0</v>
      </c>
      <c r="N282" s="175">
        <f t="shared" si="188"/>
        <v>5067.8599999999997</v>
      </c>
      <c r="O282" s="175">
        <f t="shared" si="189"/>
        <v>42.232166666666664</v>
      </c>
      <c r="P282" s="175">
        <f t="shared" si="190"/>
        <v>506.78599999999994</v>
      </c>
      <c r="Q282" s="175">
        <f t="shared" si="191"/>
        <v>0</v>
      </c>
      <c r="R282" s="175">
        <f t="shared" si="192"/>
        <v>506.78599999999994</v>
      </c>
      <c r="S282" s="176">
        <v>1</v>
      </c>
      <c r="T282" s="175">
        <f t="shared" si="193"/>
        <v>506.78599999999994</v>
      </c>
      <c r="U282" s="175">
        <f t="shared" si="194"/>
        <v>2238.3048333333354</v>
      </c>
      <c r="V282" s="175">
        <f t="shared" si="195"/>
        <v>2238.3048333333354</v>
      </c>
      <c r="W282" s="176">
        <v>1</v>
      </c>
      <c r="X282" s="175">
        <f t="shared" si="196"/>
        <v>2238.3048333333354</v>
      </c>
      <c r="Y282" s="175">
        <f t="shared" si="197"/>
        <v>2745.0908333333355</v>
      </c>
      <c r="Z282" s="175">
        <f>L282-((+X282+Y282)/2)</f>
        <v>2576.1621666666642</v>
      </c>
      <c r="AA282" s="175">
        <f t="shared" si="184"/>
        <v>112.83333333333333</v>
      </c>
      <c r="AB282" s="175">
        <f t="shared" si="181"/>
        <v>118.25</v>
      </c>
      <c r="AC282" s="175">
        <f t="shared" si="185"/>
        <v>122.83333333333333</v>
      </c>
      <c r="AD282" s="175">
        <f t="shared" si="182"/>
        <v>117.25</v>
      </c>
      <c r="AE282" s="175">
        <f t="shared" si="186"/>
        <v>-8.3333333333333329E-2</v>
      </c>
      <c r="AF282" s="175">
        <f t="shared" si="198"/>
        <v>0</v>
      </c>
      <c r="AG282" s="166"/>
      <c r="AH282" s="166"/>
      <c r="AI282" s="166"/>
      <c r="AJ282" s="167"/>
      <c r="AK282" s="167"/>
    </row>
    <row r="283" spans="1:37">
      <c r="A283" s="163"/>
      <c r="B283" s="163" t="s">
        <v>520</v>
      </c>
      <c r="C283" s="295">
        <v>2012</v>
      </c>
      <c r="D283" s="163">
        <v>112</v>
      </c>
      <c r="E283" s="163">
        <v>11</v>
      </c>
      <c r="F283" s="178">
        <v>0</v>
      </c>
      <c r="G283" s="177" t="s">
        <v>491</v>
      </c>
      <c r="H283" s="163">
        <v>10</v>
      </c>
      <c r="I283" s="163">
        <f t="shared" si="187"/>
        <v>122</v>
      </c>
      <c r="L283" s="175">
        <v>4206.67</v>
      </c>
      <c r="M283" s="175">
        <v>0</v>
      </c>
      <c r="N283" s="175">
        <f t="shared" si="188"/>
        <v>4206.67</v>
      </c>
      <c r="O283" s="175">
        <f t="shared" si="189"/>
        <v>35.055583333333338</v>
      </c>
      <c r="P283" s="175">
        <f t="shared" si="190"/>
        <v>420.66700000000003</v>
      </c>
      <c r="Q283" s="175">
        <f t="shared" si="191"/>
        <v>0</v>
      </c>
      <c r="R283" s="175">
        <f t="shared" si="192"/>
        <v>420.66700000000003</v>
      </c>
      <c r="S283" s="176">
        <v>1</v>
      </c>
      <c r="T283" s="175">
        <f t="shared" si="193"/>
        <v>420.66700000000003</v>
      </c>
      <c r="U283" s="175">
        <f t="shared" si="194"/>
        <v>1857.9459166666688</v>
      </c>
      <c r="V283" s="175">
        <f t="shared" si="195"/>
        <v>1857.9459166666688</v>
      </c>
      <c r="W283" s="176">
        <v>1</v>
      </c>
      <c r="X283" s="175">
        <f t="shared" si="196"/>
        <v>1857.9459166666688</v>
      </c>
      <c r="Y283" s="175">
        <f t="shared" si="197"/>
        <v>2278.6129166666688</v>
      </c>
      <c r="Z283" s="175">
        <f>L283-((+X283+Y283)/2)</f>
        <v>2138.3905833333311</v>
      </c>
      <c r="AA283" s="175">
        <f t="shared" si="184"/>
        <v>112.83333333333333</v>
      </c>
      <c r="AB283" s="175">
        <f t="shared" si="181"/>
        <v>118.25</v>
      </c>
      <c r="AC283" s="175">
        <f t="shared" si="185"/>
        <v>122.83333333333333</v>
      </c>
      <c r="AD283" s="175">
        <f t="shared" si="182"/>
        <v>117.25</v>
      </c>
      <c r="AE283" s="175">
        <f t="shared" si="186"/>
        <v>-8.3333333333333329E-2</v>
      </c>
      <c r="AF283" s="175">
        <f t="shared" si="198"/>
        <v>0</v>
      </c>
      <c r="AG283" s="166"/>
      <c r="AH283" s="166"/>
      <c r="AI283" s="166"/>
      <c r="AJ283" s="167"/>
      <c r="AK283" s="167"/>
    </row>
    <row r="284" spans="1:37">
      <c r="A284" s="163"/>
      <c r="B284" s="163" t="s">
        <v>856</v>
      </c>
      <c r="C284" s="295">
        <v>2013</v>
      </c>
      <c r="D284" s="163">
        <v>113</v>
      </c>
      <c r="E284" s="163">
        <v>3</v>
      </c>
      <c r="F284" s="178">
        <v>0</v>
      </c>
      <c r="G284" s="177" t="s">
        <v>491</v>
      </c>
      <c r="H284" s="163">
        <v>10</v>
      </c>
      <c r="I284" s="163">
        <f t="shared" si="187"/>
        <v>123</v>
      </c>
      <c r="L284" s="175">
        <v>3763.01</v>
      </c>
      <c r="M284" s="175">
        <v>0</v>
      </c>
      <c r="N284" s="175">
        <f t="shared" si="188"/>
        <v>3763.01</v>
      </c>
      <c r="O284" s="175">
        <f t="shared" si="189"/>
        <v>31.35841666666667</v>
      </c>
      <c r="P284" s="175">
        <f t="shared" si="190"/>
        <v>376.30100000000004</v>
      </c>
      <c r="Q284" s="175">
        <f t="shared" si="191"/>
        <v>0</v>
      </c>
      <c r="R284" s="175">
        <f t="shared" si="192"/>
        <v>376.30100000000004</v>
      </c>
      <c r="S284" s="176">
        <v>1</v>
      </c>
      <c r="T284" s="175">
        <f t="shared" si="193"/>
        <v>376.30100000000004</v>
      </c>
      <c r="U284" s="175">
        <f t="shared" si="194"/>
        <v>1536.5624166666651</v>
      </c>
      <c r="V284" s="175">
        <f t="shared" si="195"/>
        <v>1536.5624166666651</v>
      </c>
      <c r="W284" s="176">
        <v>1</v>
      </c>
      <c r="X284" s="175">
        <f t="shared" si="196"/>
        <v>1536.5624166666651</v>
      </c>
      <c r="Y284" s="175">
        <f t="shared" si="197"/>
        <v>1912.8634166666652</v>
      </c>
      <c r="Z284" s="175">
        <f>L284-((+X284+Y284)/2)</f>
        <v>2038.2970833333352</v>
      </c>
      <c r="AA284" s="175">
        <f t="shared" si="184"/>
        <v>113.16666666666667</v>
      </c>
      <c r="AB284" s="175">
        <f t="shared" si="181"/>
        <v>118.25</v>
      </c>
      <c r="AC284" s="175">
        <f t="shared" si="185"/>
        <v>123.16666666666667</v>
      </c>
      <c r="AD284" s="175">
        <f t="shared" si="182"/>
        <v>117.25</v>
      </c>
      <c r="AE284" s="175">
        <f t="shared" si="186"/>
        <v>-8.3333333333333329E-2</v>
      </c>
      <c r="AF284" s="175">
        <f t="shared" si="198"/>
        <v>0</v>
      </c>
      <c r="AG284" s="166"/>
      <c r="AH284" s="166"/>
      <c r="AI284" s="166"/>
      <c r="AJ284" s="167"/>
      <c r="AK284" s="167"/>
    </row>
    <row r="285" spans="1:37">
      <c r="A285" s="163"/>
      <c r="B285" s="163" t="s">
        <v>898</v>
      </c>
      <c r="C285" s="295">
        <v>2013</v>
      </c>
      <c r="D285" s="163">
        <v>113</v>
      </c>
      <c r="E285" s="163">
        <v>9</v>
      </c>
      <c r="F285" s="178">
        <v>0</v>
      </c>
      <c r="G285" s="177" t="s">
        <v>491</v>
      </c>
      <c r="H285" s="163">
        <v>10</v>
      </c>
      <c r="I285" s="163">
        <f t="shared" si="187"/>
        <v>123</v>
      </c>
      <c r="L285" s="175">
        <v>10627.2</v>
      </c>
      <c r="M285" s="175">
        <v>0</v>
      </c>
      <c r="N285" s="175">
        <f t="shared" ref="N285:N330" si="199">L285-(+L285*F285)</f>
        <v>10627.2</v>
      </c>
      <c r="O285" s="175">
        <f t="shared" ref="O285:O330" si="200">(+N285/H285)/12</f>
        <v>88.56</v>
      </c>
      <c r="P285" s="175">
        <f t="shared" ref="P285:P330" si="201">IF(Q285&gt;0,0,IF(OR(AA285&gt;AB285,AC285&lt;AD285),0,IF(AND(AC285&gt;=AD285,AC285&lt;=AB285),O285*((AC285-AD285)*12),IF(AND(AD285&lt;=AA285,AB285&gt;=AA285),((AB285-AA285)*12)*O285,IF(AC285&gt;AB285,12*O285,0)))))</f>
        <v>1062.72</v>
      </c>
      <c r="Q285" s="175">
        <f t="shared" si="191"/>
        <v>0</v>
      </c>
      <c r="R285" s="175">
        <f t="shared" si="192"/>
        <v>1062.72</v>
      </c>
      <c r="S285" s="176">
        <v>1</v>
      </c>
      <c r="T285" s="175">
        <f t="shared" ref="T285:T330" si="202">S285*SUM(P285:Q285)</f>
        <v>1062.72</v>
      </c>
      <c r="U285" s="175">
        <f t="shared" ref="U285:U330" si="203">IF(AA285&gt;AB285,0,IF(AC285&lt;AD285,L285,IF(AND(AC285&gt;=AD285,AC285&lt;=AB285),(L285-R285),IF(AND(AD285&lt;=AA285,AB285&gt;=AA285),0,IF(AC285&gt;AB285,((AD285-AA285)*12)*O285,0)))))</f>
        <v>3808.0799999999949</v>
      </c>
      <c r="V285" s="175">
        <f t="shared" ref="V285:V330" si="204">U285*S285</f>
        <v>3808.0799999999949</v>
      </c>
      <c r="W285" s="176">
        <v>1</v>
      </c>
      <c r="X285" s="175">
        <f t="shared" ref="X285:X330" si="205">V285*W285</f>
        <v>3808.0799999999949</v>
      </c>
      <c r="Y285" s="175">
        <f t="shared" ref="Y285:Y330" si="206">IF(M285&gt;0,0,X285+T285*W285)*W285</f>
        <v>4870.7999999999947</v>
      </c>
      <c r="Z285" s="175">
        <f t="shared" ref="Z285:Z330" si="207">L285-((+X285+Y285)/2)</f>
        <v>6287.7600000000057</v>
      </c>
      <c r="AA285" s="175">
        <f t="shared" si="184"/>
        <v>113.66666666666667</v>
      </c>
      <c r="AB285" s="175">
        <f t="shared" si="181"/>
        <v>118.25</v>
      </c>
      <c r="AC285" s="175">
        <f t="shared" si="185"/>
        <v>123.66666666666667</v>
      </c>
      <c r="AD285" s="175">
        <f t="shared" si="182"/>
        <v>117.25</v>
      </c>
      <c r="AE285" s="175">
        <f t="shared" si="186"/>
        <v>-8.3333333333333329E-2</v>
      </c>
      <c r="AF285" s="175">
        <f t="shared" ref="AF285:AF329" si="208">L285-((X285+Y285)/2)-Z285</f>
        <v>0</v>
      </c>
      <c r="AG285" s="166"/>
      <c r="AH285" s="166"/>
      <c r="AI285" s="166"/>
      <c r="AJ285" s="167"/>
      <c r="AK285" s="167"/>
    </row>
    <row r="286" spans="1:37">
      <c r="A286" s="163"/>
      <c r="B286" s="163" t="s">
        <v>901</v>
      </c>
      <c r="C286" s="295">
        <v>2013</v>
      </c>
      <c r="D286" s="163">
        <v>113</v>
      </c>
      <c r="E286" s="163">
        <v>9</v>
      </c>
      <c r="F286" s="178">
        <v>0</v>
      </c>
      <c r="G286" s="177" t="s">
        <v>491</v>
      </c>
      <c r="H286" s="163">
        <v>10</v>
      </c>
      <c r="I286" s="163">
        <f t="shared" si="187"/>
        <v>123</v>
      </c>
      <c r="L286" s="175">
        <v>9892.7999999999993</v>
      </c>
      <c r="M286" s="175">
        <v>0</v>
      </c>
      <c r="N286" s="175">
        <f t="shared" si="199"/>
        <v>9892.7999999999993</v>
      </c>
      <c r="O286" s="175">
        <f t="shared" si="200"/>
        <v>82.44</v>
      </c>
      <c r="P286" s="175">
        <f t="shared" si="201"/>
        <v>989.28</v>
      </c>
      <c r="Q286" s="175">
        <f t="shared" si="191"/>
        <v>0</v>
      </c>
      <c r="R286" s="175">
        <f t="shared" si="192"/>
        <v>989.28</v>
      </c>
      <c r="S286" s="176">
        <v>1</v>
      </c>
      <c r="T286" s="175">
        <f t="shared" si="202"/>
        <v>989.28</v>
      </c>
      <c r="U286" s="175">
        <f t="shared" si="203"/>
        <v>3544.9199999999951</v>
      </c>
      <c r="V286" s="175">
        <f t="shared" si="204"/>
        <v>3544.9199999999951</v>
      </c>
      <c r="W286" s="176">
        <v>1</v>
      </c>
      <c r="X286" s="175">
        <f t="shared" si="205"/>
        <v>3544.9199999999951</v>
      </c>
      <c r="Y286" s="175">
        <f t="shared" si="206"/>
        <v>4534.1999999999953</v>
      </c>
      <c r="Z286" s="175">
        <f t="shared" si="207"/>
        <v>5853.2400000000043</v>
      </c>
      <c r="AA286" s="175">
        <f t="shared" si="184"/>
        <v>113.66666666666667</v>
      </c>
      <c r="AB286" s="175">
        <f t="shared" si="181"/>
        <v>118.25</v>
      </c>
      <c r="AC286" s="175">
        <f t="shared" si="185"/>
        <v>123.66666666666667</v>
      </c>
      <c r="AD286" s="175">
        <f t="shared" si="182"/>
        <v>117.25</v>
      </c>
      <c r="AE286" s="175">
        <f t="shared" si="186"/>
        <v>-8.3333333333333329E-2</v>
      </c>
      <c r="AF286" s="175">
        <f t="shared" si="208"/>
        <v>0</v>
      </c>
      <c r="AG286" s="166"/>
      <c r="AH286" s="166"/>
      <c r="AI286" s="166"/>
      <c r="AJ286" s="167"/>
      <c r="AK286" s="167"/>
    </row>
    <row r="287" spans="1:37">
      <c r="A287" s="163"/>
      <c r="B287" s="163" t="s">
        <v>900</v>
      </c>
      <c r="C287" s="295">
        <v>2013</v>
      </c>
      <c r="D287" s="163">
        <v>113</v>
      </c>
      <c r="E287" s="163">
        <v>9</v>
      </c>
      <c r="F287" s="178">
        <v>0</v>
      </c>
      <c r="G287" s="177" t="s">
        <v>491</v>
      </c>
      <c r="H287" s="163">
        <v>10</v>
      </c>
      <c r="I287" s="163">
        <f t="shared" si="187"/>
        <v>123</v>
      </c>
      <c r="L287" s="175">
        <v>5958.78</v>
      </c>
      <c r="M287" s="175">
        <v>0</v>
      </c>
      <c r="N287" s="175">
        <f t="shared" si="199"/>
        <v>5958.78</v>
      </c>
      <c r="O287" s="175">
        <f t="shared" si="200"/>
        <v>49.656499999999994</v>
      </c>
      <c r="P287" s="175">
        <f t="shared" si="201"/>
        <v>595.87799999999993</v>
      </c>
      <c r="Q287" s="175">
        <f t="shared" si="191"/>
        <v>0</v>
      </c>
      <c r="R287" s="175">
        <f t="shared" si="192"/>
        <v>595.87799999999993</v>
      </c>
      <c r="S287" s="176">
        <v>1</v>
      </c>
      <c r="T287" s="175">
        <f t="shared" si="202"/>
        <v>595.87799999999993</v>
      </c>
      <c r="U287" s="175">
        <f t="shared" si="203"/>
        <v>2135.2294999999967</v>
      </c>
      <c r="V287" s="175">
        <f t="shared" si="204"/>
        <v>2135.2294999999967</v>
      </c>
      <c r="W287" s="176">
        <v>1</v>
      </c>
      <c r="X287" s="175">
        <f t="shared" si="205"/>
        <v>2135.2294999999967</v>
      </c>
      <c r="Y287" s="175">
        <f t="shared" si="206"/>
        <v>2731.1074999999964</v>
      </c>
      <c r="Z287" s="175">
        <f t="shared" si="207"/>
        <v>3525.6115000000032</v>
      </c>
      <c r="AA287" s="175">
        <f t="shared" si="184"/>
        <v>113.66666666666667</v>
      </c>
      <c r="AB287" s="175">
        <f t="shared" si="181"/>
        <v>118.25</v>
      </c>
      <c r="AC287" s="175">
        <f t="shared" si="185"/>
        <v>123.66666666666667</v>
      </c>
      <c r="AD287" s="175">
        <f t="shared" si="182"/>
        <v>117.25</v>
      </c>
      <c r="AE287" s="175">
        <f t="shared" si="186"/>
        <v>-8.3333333333333329E-2</v>
      </c>
      <c r="AF287" s="175">
        <f t="shared" si="208"/>
        <v>0</v>
      </c>
      <c r="AG287" s="166"/>
      <c r="AH287" s="166"/>
      <c r="AI287" s="166"/>
      <c r="AJ287" s="167"/>
      <c r="AK287" s="167"/>
    </row>
    <row r="288" spans="1:37">
      <c r="A288" s="163"/>
      <c r="B288" s="163" t="s">
        <v>896</v>
      </c>
      <c r="C288" s="295">
        <v>2014</v>
      </c>
      <c r="D288" s="163">
        <v>114</v>
      </c>
      <c r="E288" s="163">
        <v>4</v>
      </c>
      <c r="F288" s="178">
        <v>0</v>
      </c>
      <c r="G288" s="177" t="s">
        <v>491</v>
      </c>
      <c r="H288" s="163">
        <v>10</v>
      </c>
      <c r="I288" s="163">
        <f t="shared" si="187"/>
        <v>124</v>
      </c>
      <c r="L288" s="175">
        <v>3947.53</v>
      </c>
      <c r="M288" s="175">
        <v>0</v>
      </c>
      <c r="N288" s="175">
        <f t="shared" si="199"/>
        <v>3947.53</v>
      </c>
      <c r="O288" s="175">
        <f t="shared" si="200"/>
        <v>32.896083333333337</v>
      </c>
      <c r="P288" s="175">
        <f t="shared" si="201"/>
        <v>394.75300000000004</v>
      </c>
      <c r="Q288" s="175">
        <f t="shared" si="191"/>
        <v>0</v>
      </c>
      <c r="R288" s="175">
        <f t="shared" si="192"/>
        <v>394.75300000000004</v>
      </c>
      <c r="S288" s="176">
        <v>1</v>
      </c>
      <c r="T288" s="175">
        <f t="shared" si="202"/>
        <v>394.75300000000004</v>
      </c>
      <c r="U288" s="175">
        <f t="shared" si="203"/>
        <v>1184.259</v>
      </c>
      <c r="V288" s="175">
        <f t="shared" si="204"/>
        <v>1184.259</v>
      </c>
      <c r="W288" s="176">
        <v>1</v>
      </c>
      <c r="X288" s="175">
        <f t="shared" si="205"/>
        <v>1184.259</v>
      </c>
      <c r="Y288" s="175">
        <f t="shared" si="206"/>
        <v>1579.0120000000002</v>
      </c>
      <c r="Z288" s="175">
        <f t="shared" si="207"/>
        <v>2565.8945000000003</v>
      </c>
      <c r="AA288" s="175">
        <f t="shared" si="184"/>
        <v>114.25</v>
      </c>
      <c r="AB288" s="175">
        <f t="shared" si="181"/>
        <v>118.25</v>
      </c>
      <c r="AC288" s="175">
        <f t="shared" si="185"/>
        <v>124.25</v>
      </c>
      <c r="AD288" s="175">
        <f t="shared" si="182"/>
        <v>117.25</v>
      </c>
      <c r="AE288" s="175">
        <f t="shared" si="186"/>
        <v>-8.3333333333333329E-2</v>
      </c>
      <c r="AF288" s="175">
        <f t="shared" si="208"/>
        <v>0</v>
      </c>
      <c r="AG288" s="166"/>
      <c r="AH288" s="166"/>
      <c r="AI288" s="166"/>
      <c r="AJ288" s="167"/>
      <c r="AK288" s="167"/>
    </row>
    <row r="289" spans="1:37">
      <c r="A289" s="163"/>
      <c r="B289" s="163" t="s">
        <v>899</v>
      </c>
      <c r="C289" s="295">
        <v>2014</v>
      </c>
      <c r="D289" s="163">
        <v>114</v>
      </c>
      <c r="E289" s="163">
        <v>4</v>
      </c>
      <c r="F289" s="178">
        <v>0</v>
      </c>
      <c r="G289" s="177" t="s">
        <v>491</v>
      </c>
      <c r="H289" s="163">
        <v>10</v>
      </c>
      <c r="I289" s="163">
        <f t="shared" si="187"/>
        <v>124</v>
      </c>
      <c r="L289" s="175">
        <v>10376.31</v>
      </c>
      <c r="M289" s="175">
        <v>0</v>
      </c>
      <c r="N289" s="175">
        <f t="shared" si="199"/>
        <v>10376.31</v>
      </c>
      <c r="O289" s="175">
        <f t="shared" si="200"/>
        <v>86.469249999999988</v>
      </c>
      <c r="P289" s="175">
        <f t="shared" si="201"/>
        <v>1037.6309999999999</v>
      </c>
      <c r="Q289" s="175">
        <f t="shared" si="191"/>
        <v>0</v>
      </c>
      <c r="R289" s="175">
        <f t="shared" si="192"/>
        <v>1037.6309999999999</v>
      </c>
      <c r="S289" s="176">
        <v>1</v>
      </c>
      <c r="T289" s="175">
        <f t="shared" si="202"/>
        <v>1037.6309999999999</v>
      </c>
      <c r="U289" s="175">
        <f t="shared" si="203"/>
        <v>3112.8929999999996</v>
      </c>
      <c r="V289" s="175">
        <f t="shared" si="204"/>
        <v>3112.8929999999996</v>
      </c>
      <c r="W289" s="176">
        <v>1</v>
      </c>
      <c r="X289" s="175">
        <f t="shared" si="205"/>
        <v>3112.8929999999996</v>
      </c>
      <c r="Y289" s="175">
        <f t="shared" si="206"/>
        <v>4150.5239999999994</v>
      </c>
      <c r="Z289" s="175">
        <f t="shared" si="207"/>
        <v>6744.6014999999998</v>
      </c>
      <c r="AA289" s="175">
        <f t="shared" si="184"/>
        <v>114.25</v>
      </c>
      <c r="AB289" s="175">
        <f t="shared" si="181"/>
        <v>118.25</v>
      </c>
      <c r="AC289" s="175">
        <f t="shared" si="185"/>
        <v>124.25</v>
      </c>
      <c r="AD289" s="175">
        <f t="shared" si="182"/>
        <v>117.25</v>
      </c>
      <c r="AE289" s="175">
        <f t="shared" si="186"/>
        <v>-8.3333333333333329E-2</v>
      </c>
      <c r="AF289" s="175">
        <f t="shared" si="208"/>
        <v>0</v>
      </c>
      <c r="AG289" s="166"/>
      <c r="AH289" s="166"/>
      <c r="AI289" s="166"/>
      <c r="AJ289" s="167"/>
      <c r="AK289" s="167"/>
    </row>
    <row r="290" spans="1:37">
      <c r="A290" s="163"/>
      <c r="B290" s="163" t="s">
        <v>898</v>
      </c>
      <c r="C290" s="295">
        <v>2014</v>
      </c>
      <c r="D290" s="163">
        <v>114</v>
      </c>
      <c r="E290" s="163">
        <v>4</v>
      </c>
      <c r="F290" s="178">
        <v>0</v>
      </c>
      <c r="G290" s="177" t="s">
        <v>491</v>
      </c>
      <c r="H290" s="163">
        <v>10</v>
      </c>
      <c r="I290" s="163">
        <f t="shared" si="187"/>
        <v>124</v>
      </c>
      <c r="L290" s="175">
        <v>8836.61</v>
      </c>
      <c r="M290" s="175">
        <v>0</v>
      </c>
      <c r="N290" s="175">
        <f t="shared" si="199"/>
        <v>8836.61</v>
      </c>
      <c r="O290" s="175">
        <f t="shared" si="200"/>
        <v>73.638416666666672</v>
      </c>
      <c r="P290" s="175">
        <f t="shared" si="201"/>
        <v>883.66100000000006</v>
      </c>
      <c r="Q290" s="175">
        <f t="shared" si="191"/>
        <v>0</v>
      </c>
      <c r="R290" s="175">
        <f t="shared" si="192"/>
        <v>883.66100000000006</v>
      </c>
      <c r="S290" s="176">
        <v>1</v>
      </c>
      <c r="T290" s="175">
        <f t="shared" si="202"/>
        <v>883.66100000000006</v>
      </c>
      <c r="U290" s="175">
        <f t="shared" si="203"/>
        <v>2650.9830000000002</v>
      </c>
      <c r="V290" s="175">
        <f t="shared" si="204"/>
        <v>2650.9830000000002</v>
      </c>
      <c r="W290" s="176">
        <v>1</v>
      </c>
      <c r="X290" s="175">
        <f t="shared" si="205"/>
        <v>2650.9830000000002</v>
      </c>
      <c r="Y290" s="175">
        <f t="shared" si="206"/>
        <v>3534.6440000000002</v>
      </c>
      <c r="Z290" s="175">
        <f t="shared" si="207"/>
        <v>5743.7965000000004</v>
      </c>
      <c r="AA290" s="175">
        <f t="shared" si="184"/>
        <v>114.25</v>
      </c>
      <c r="AB290" s="175">
        <f t="shared" si="181"/>
        <v>118.25</v>
      </c>
      <c r="AC290" s="175">
        <f t="shared" si="185"/>
        <v>124.25</v>
      </c>
      <c r="AD290" s="175">
        <f t="shared" si="182"/>
        <v>117.25</v>
      </c>
      <c r="AE290" s="175">
        <f t="shared" si="186"/>
        <v>-8.3333333333333329E-2</v>
      </c>
      <c r="AF290" s="175">
        <f t="shared" si="208"/>
        <v>0</v>
      </c>
      <c r="AG290" s="166"/>
      <c r="AH290" s="166"/>
      <c r="AI290" s="166"/>
      <c r="AJ290" s="167"/>
      <c r="AK290" s="167"/>
    </row>
    <row r="291" spans="1:37">
      <c r="A291" s="163"/>
      <c r="B291" s="163" t="s">
        <v>897</v>
      </c>
      <c r="C291" s="295">
        <v>2014</v>
      </c>
      <c r="D291" s="163">
        <v>114</v>
      </c>
      <c r="E291" s="163">
        <v>10</v>
      </c>
      <c r="F291" s="178">
        <v>0</v>
      </c>
      <c r="G291" s="177" t="s">
        <v>491</v>
      </c>
      <c r="H291" s="163">
        <v>10</v>
      </c>
      <c r="I291" s="163">
        <f t="shared" si="187"/>
        <v>124</v>
      </c>
      <c r="L291" s="175">
        <v>4050</v>
      </c>
      <c r="M291" s="175">
        <v>0</v>
      </c>
      <c r="N291" s="175">
        <f t="shared" si="199"/>
        <v>4050</v>
      </c>
      <c r="O291" s="175">
        <f t="shared" si="200"/>
        <v>33.75</v>
      </c>
      <c r="P291" s="175">
        <f t="shared" si="201"/>
        <v>405</v>
      </c>
      <c r="Q291" s="175">
        <f t="shared" si="191"/>
        <v>0</v>
      </c>
      <c r="R291" s="175">
        <f t="shared" si="192"/>
        <v>405</v>
      </c>
      <c r="S291" s="176">
        <v>1</v>
      </c>
      <c r="T291" s="175">
        <f t="shared" si="202"/>
        <v>405</v>
      </c>
      <c r="U291" s="175">
        <f t="shared" si="203"/>
        <v>1012.5</v>
      </c>
      <c r="V291" s="175">
        <f t="shared" si="204"/>
        <v>1012.5</v>
      </c>
      <c r="W291" s="176">
        <v>1</v>
      </c>
      <c r="X291" s="175">
        <f t="shared" si="205"/>
        <v>1012.5</v>
      </c>
      <c r="Y291" s="175">
        <f t="shared" si="206"/>
        <v>1417.5</v>
      </c>
      <c r="Z291" s="175">
        <f t="shared" si="207"/>
        <v>2835</v>
      </c>
      <c r="AA291" s="175">
        <f t="shared" si="184"/>
        <v>114.75</v>
      </c>
      <c r="AB291" s="175">
        <f t="shared" si="181"/>
        <v>118.25</v>
      </c>
      <c r="AC291" s="175">
        <f t="shared" si="185"/>
        <v>124.75</v>
      </c>
      <c r="AD291" s="175">
        <f t="shared" si="182"/>
        <v>117.25</v>
      </c>
      <c r="AE291" s="175">
        <f t="shared" si="186"/>
        <v>-8.3333333333333329E-2</v>
      </c>
      <c r="AF291" s="175">
        <f t="shared" si="208"/>
        <v>0</v>
      </c>
      <c r="AG291" s="166"/>
      <c r="AH291" s="166"/>
      <c r="AI291" s="166"/>
      <c r="AJ291" s="167"/>
      <c r="AK291" s="167"/>
    </row>
    <row r="292" spans="1:37">
      <c r="A292" s="163"/>
      <c r="B292" s="163" t="s">
        <v>896</v>
      </c>
      <c r="C292" s="295">
        <v>2014</v>
      </c>
      <c r="D292" s="163">
        <v>114</v>
      </c>
      <c r="E292" s="163">
        <v>10</v>
      </c>
      <c r="F292" s="178">
        <v>0</v>
      </c>
      <c r="G292" s="177" t="s">
        <v>491</v>
      </c>
      <c r="H292" s="163">
        <v>10</v>
      </c>
      <c r="I292" s="163">
        <f t="shared" si="187"/>
        <v>124</v>
      </c>
      <c r="L292" s="175">
        <v>3618</v>
      </c>
      <c r="M292" s="175">
        <v>0</v>
      </c>
      <c r="N292" s="175">
        <f t="shared" si="199"/>
        <v>3618</v>
      </c>
      <c r="O292" s="175">
        <f t="shared" si="200"/>
        <v>30.150000000000002</v>
      </c>
      <c r="P292" s="175">
        <f t="shared" si="201"/>
        <v>361.8</v>
      </c>
      <c r="Q292" s="175">
        <f t="shared" si="191"/>
        <v>0</v>
      </c>
      <c r="R292" s="175">
        <f t="shared" si="192"/>
        <v>361.8</v>
      </c>
      <c r="S292" s="176">
        <v>1</v>
      </c>
      <c r="T292" s="175">
        <f t="shared" si="202"/>
        <v>361.8</v>
      </c>
      <c r="U292" s="175">
        <f t="shared" si="203"/>
        <v>904.50000000000011</v>
      </c>
      <c r="V292" s="175">
        <f t="shared" si="204"/>
        <v>904.50000000000011</v>
      </c>
      <c r="W292" s="176">
        <v>1</v>
      </c>
      <c r="X292" s="175">
        <f t="shared" si="205"/>
        <v>904.50000000000011</v>
      </c>
      <c r="Y292" s="175">
        <f t="shared" si="206"/>
        <v>1266.3000000000002</v>
      </c>
      <c r="Z292" s="175">
        <f t="shared" si="207"/>
        <v>2532.6</v>
      </c>
      <c r="AA292" s="175">
        <f t="shared" si="184"/>
        <v>114.75</v>
      </c>
      <c r="AB292" s="175">
        <f t="shared" si="181"/>
        <v>118.25</v>
      </c>
      <c r="AC292" s="175">
        <f t="shared" si="185"/>
        <v>124.75</v>
      </c>
      <c r="AD292" s="175">
        <f t="shared" si="182"/>
        <v>117.25</v>
      </c>
      <c r="AE292" s="175">
        <f t="shared" si="186"/>
        <v>-8.3333333333333329E-2</v>
      </c>
      <c r="AF292" s="175">
        <f t="shared" si="208"/>
        <v>0</v>
      </c>
      <c r="AG292" s="166"/>
      <c r="AH292" s="166"/>
      <c r="AI292" s="166"/>
      <c r="AJ292" s="167"/>
      <c r="AK292" s="167"/>
    </row>
    <row r="293" spans="1:37">
      <c r="A293" s="163"/>
      <c r="B293" s="163" t="s">
        <v>895</v>
      </c>
      <c r="C293" s="295">
        <v>2014</v>
      </c>
      <c r="D293" s="163">
        <v>114</v>
      </c>
      <c r="E293" s="163">
        <v>10</v>
      </c>
      <c r="F293" s="178">
        <v>0</v>
      </c>
      <c r="G293" s="177" t="s">
        <v>491</v>
      </c>
      <c r="H293" s="163">
        <v>10</v>
      </c>
      <c r="I293" s="163">
        <f t="shared" si="187"/>
        <v>124</v>
      </c>
      <c r="L293" s="175">
        <v>4752</v>
      </c>
      <c r="M293" s="175">
        <v>0</v>
      </c>
      <c r="N293" s="175">
        <f t="shared" si="199"/>
        <v>4752</v>
      </c>
      <c r="O293" s="175">
        <f t="shared" si="200"/>
        <v>39.6</v>
      </c>
      <c r="P293" s="175">
        <f t="shared" si="201"/>
        <v>475.20000000000005</v>
      </c>
      <c r="Q293" s="175">
        <f t="shared" si="191"/>
        <v>0</v>
      </c>
      <c r="R293" s="175">
        <f t="shared" si="192"/>
        <v>475.20000000000005</v>
      </c>
      <c r="S293" s="176">
        <v>1</v>
      </c>
      <c r="T293" s="175">
        <f t="shared" si="202"/>
        <v>475.20000000000005</v>
      </c>
      <c r="U293" s="175">
        <f t="shared" si="203"/>
        <v>1188</v>
      </c>
      <c r="V293" s="175">
        <f t="shared" si="204"/>
        <v>1188</v>
      </c>
      <c r="W293" s="176">
        <v>1</v>
      </c>
      <c r="X293" s="175">
        <f t="shared" si="205"/>
        <v>1188</v>
      </c>
      <c r="Y293" s="175">
        <f t="shared" si="206"/>
        <v>1663.2</v>
      </c>
      <c r="Z293" s="175">
        <f t="shared" si="207"/>
        <v>3326.4</v>
      </c>
      <c r="AA293" s="175">
        <f t="shared" si="184"/>
        <v>114.75</v>
      </c>
      <c r="AB293" s="175">
        <f t="shared" si="181"/>
        <v>118.25</v>
      </c>
      <c r="AC293" s="175">
        <f t="shared" si="185"/>
        <v>124.75</v>
      </c>
      <c r="AD293" s="175">
        <f t="shared" si="182"/>
        <v>117.25</v>
      </c>
      <c r="AE293" s="175">
        <f t="shared" si="186"/>
        <v>-8.3333333333333329E-2</v>
      </c>
      <c r="AF293" s="175">
        <f t="shared" si="208"/>
        <v>0</v>
      </c>
      <c r="AG293" s="166"/>
      <c r="AH293" s="166"/>
      <c r="AI293" s="166"/>
      <c r="AJ293" s="167"/>
      <c r="AK293" s="167"/>
    </row>
    <row r="294" spans="1:37">
      <c r="A294" s="163"/>
      <c r="B294" s="163" t="s">
        <v>895</v>
      </c>
      <c r="C294" s="295">
        <v>2014</v>
      </c>
      <c r="D294" s="163">
        <v>114</v>
      </c>
      <c r="E294" s="163">
        <v>12</v>
      </c>
      <c r="F294" s="178">
        <v>0</v>
      </c>
      <c r="G294" s="177" t="s">
        <v>491</v>
      </c>
      <c r="H294" s="163">
        <v>10</v>
      </c>
      <c r="I294" s="163">
        <f t="shared" si="187"/>
        <v>124</v>
      </c>
      <c r="L294" s="175">
        <v>4400</v>
      </c>
      <c r="M294" s="175">
        <v>0</v>
      </c>
      <c r="N294" s="175">
        <f t="shared" si="199"/>
        <v>4400</v>
      </c>
      <c r="O294" s="175">
        <f t="shared" si="200"/>
        <v>36.666666666666664</v>
      </c>
      <c r="P294" s="175">
        <f t="shared" si="201"/>
        <v>440</v>
      </c>
      <c r="Q294" s="175">
        <f t="shared" si="191"/>
        <v>0</v>
      </c>
      <c r="R294" s="175">
        <f t="shared" si="192"/>
        <v>440</v>
      </c>
      <c r="S294" s="176">
        <v>1</v>
      </c>
      <c r="T294" s="175">
        <f t="shared" si="202"/>
        <v>440</v>
      </c>
      <c r="U294" s="175">
        <f t="shared" si="203"/>
        <v>1026.6666666666645</v>
      </c>
      <c r="V294" s="175">
        <f t="shared" si="204"/>
        <v>1026.6666666666645</v>
      </c>
      <c r="W294" s="176">
        <v>1</v>
      </c>
      <c r="X294" s="175">
        <f t="shared" si="205"/>
        <v>1026.6666666666645</v>
      </c>
      <c r="Y294" s="175">
        <f t="shared" si="206"/>
        <v>1466.6666666666645</v>
      </c>
      <c r="Z294" s="175">
        <f t="shared" si="207"/>
        <v>3153.3333333333358</v>
      </c>
      <c r="AA294" s="175">
        <f t="shared" si="184"/>
        <v>114.91666666666667</v>
      </c>
      <c r="AB294" s="175">
        <f t="shared" si="181"/>
        <v>118.25</v>
      </c>
      <c r="AC294" s="175">
        <f t="shared" si="185"/>
        <v>124.91666666666667</v>
      </c>
      <c r="AD294" s="175">
        <f t="shared" si="182"/>
        <v>117.25</v>
      </c>
      <c r="AE294" s="175">
        <f t="shared" si="186"/>
        <v>-8.3333333333333329E-2</v>
      </c>
      <c r="AF294" s="175">
        <f t="shared" si="208"/>
        <v>0</v>
      </c>
      <c r="AG294" s="166"/>
      <c r="AH294" s="166"/>
      <c r="AI294" s="166"/>
      <c r="AJ294" s="167"/>
      <c r="AK294" s="167"/>
    </row>
    <row r="295" spans="1:37">
      <c r="A295" s="163"/>
      <c r="B295" s="163" t="s">
        <v>898</v>
      </c>
      <c r="C295" s="295">
        <v>2015</v>
      </c>
      <c r="D295" s="163">
        <v>115</v>
      </c>
      <c r="E295" s="163">
        <v>2</v>
      </c>
      <c r="F295" s="178">
        <v>0</v>
      </c>
      <c r="G295" s="177" t="s">
        <v>491</v>
      </c>
      <c r="H295" s="163">
        <v>10</v>
      </c>
      <c r="I295" s="163">
        <f t="shared" si="187"/>
        <v>125</v>
      </c>
      <c r="L295" s="175">
        <v>8100</v>
      </c>
      <c r="M295" s="175">
        <v>0</v>
      </c>
      <c r="N295" s="175">
        <f t="shared" si="199"/>
        <v>8100</v>
      </c>
      <c r="O295" s="175">
        <f t="shared" si="200"/>
        <v>67.5</v>
      </c>
      <c r="P295" s="175">
        <f t="shared" si="201"/>
        <v>810</v>
      </c>
      <c r="Q295" s="175">
        <f t="shared" si="191"/>
        <v>0</v>
      </c>
      <c r="R295" s="175">
        <f t="shared" si="192"/>
        <v>810</v>
      </c>
      <c r="S295" s="176">
        <v>1</v>
      </c>
      <c r="T295" s="175">
        <f t="shared" si="202"/>
        <v>810</v>
      </c>
      <c r="U295" s="175">
        <f t="shared" si="203"/>
        <v>1755.0000000000039</v>
      </c>
      <c r="V295" s="175">
        <f t="shared" si="204"/>
        <v>1755.0000000000039</v>
      </c>
      <c r="W295" s="176">
        <v>1</v>
      </c>
      <c r="X295" s="175">
        <f t="shared" si="205"/>
        <v>1755.0000000000039</v>
      </c>
      <c r="Y295" s="175">
        <f t="shared" si="206"/>
        <v>2565.0000000000036</v>
      </c>
      <c r="Z295" s="175">
        <f t="shared" si="207"/>
        <v>5939.9999999999964</v>
      </c>
      <c r="AA295" s="175">
        <f t="shared" si="184"/>
        <v>115.08333333333333</v>
      </c>
      <c r="AB295" s="175">
        <f t="shared" si="181"/>
        <v>118.25</v>
      </c>
      <c r="AC295" s="175">
        <f t="shared" si="185"/>
        <v>125.08333333333333</v>
      </c>
      <c r="AD295" s="175">
        <f t="shared" si="182"/>
        <v>117.25</v>
      </c>
      <c r="AE295" s="175">
        <f t="shared" si="186"/>
        <v>-8.3333333333333329E-2</v>
      </c>
      <c r="AF295" s="175">
        <f t="shared" si="208"/>
        <v>0</v>
      </c>
      <c r="AG295" s="166"/>
      <c r="AH295" s="166"/>
      <c r="AI295" s="166"/>
      <c r="AJ295" s="167"/>
      <c r="AK295" s="167"/>
    </row>
    <row r="296" spans="1:37">
      <c r="A296" s="163"/>
      <c r="B296" s="163" t="s">
        <v>895</v>
      </c>
      <c r="C296" s="295">
        <v>2015</v>
      </c>
      <c r="D296" s="163">
        <v>115</v>
      </c>
      <c r="E296" s="163">
        <v>2</v>
      </c>
      <c r="F296" s="178">
        <v>0</v>
      </c>
      <c r="G296" s="177" t="s">
        <v>491</v>
      </c>
      <c r="H296" s="163">
        <v>10</v>
      </c>
      <c r="I296" s="163">
        <f t="shared" si="187"/>
        <v>125</v>
      </c>
      <c r="L296" s="175">
        <v>4752</v>
      </c>
      <c r="M296" s="175">
        <v>0</v>
      </c>
      <c r="N296" s="175">
        <f t="shared" si="199"/>
        <v>4752</v>
      </c>
      <c r="O296" s="175">
        <f t="shared" si="200"/>
        <v>39.6</v>
      </c>
      <c r="P296" s="175">
        <f t="shared" si="201"/>
        <v>475.20000000000005</v>
      </c>
      <c r="Q296" s="175">
        <f t="shared" si="191"/>
        <v>0</v>
      </c>
      <c r="R296" s="175">
        <f t="shared" si="192"/>
        <v>475.20000000000005</v>
      </c>
      <c r="S296" s="176">
        <v>1</v>
      </c>
      <c r="T296" s="175">
        <f t="shared" si="202"/>
        <v>475.20000000000005</v>
      </c>
      <c r="U296" s="175">
        <f t="shared" si="203"/>
        <v>1029.6000000000022</v>
      </c>
      <c r="V296" s="175">
        <f t="shared" si="204"/>
        <v>1029.6000000000022</v>
      </c>
      <c r="W296" s="176">
        <v>1</v>
      </c>
      <c r="X296" s="175">
        <f t="shared" si="205"/>
        <v>1029.6000000000022</v>
      </c>
      <c r="Y296" s="175">
        <f t="shared" si="206"/>
        <v>1504.8000000000022</v>
      </c>
      <c r="Z296" s="175">
        <f t="shared" si="207"/>
        <v>3484.7999999999979</v>
      </c>
      <c r="AA296" s="175">
        <f t="shared" si="184"/>
        <v>115.08333333333333</v>
      </c>
      <c r="AB296" s="175">
        <f t="shared" si="181"/>
        <v>118.25</v>
      </c>
      <c r="AC296" s="175">
        <f t="shared" si="185"/>
        <v>125.08333333333333</v>
      </c>
      <c r="AD296" s="175">
        <f t="shared" si="182"/>
        <v>117.25</v>
      </c>
      <c r="AE296" s="175">
        <f t="shared" si="186"/>
        <v>-8.3333333333333329E-2</v>
      </c>
      <c r="AF296" s="175">
        <f t="shared" si="208"/>
        <v>0</v>
      </c>
      <c r="AG296" s="166"/>
      <c r="AH296" s="166"/>
      <c r="AI296" s="166"/>
      <c r="AJ296" s="167"/>
      <c r="AK296" s="167"/>
    </row>
    <row r="297" spans="1:37">
      <c r="A297" s="163"/>
      <c r="B297" s="163" t="s">
        <v>894</v>
      </c>
      <c r="C297" s="295">
        <v>2015</v>
      </c>
      <c r="D297" s="163">
        <v>115</v>
      </c>
      <c r="E297" s="163">
        <v>2</v>
      </c>
      <c r="F297" s="178">
        <v>0</v>
      </c>
      <c r="G297" s="177" t="s">
        <v>491</v>
      </c>
      <c r="H297" s="163">
        <v>10</v>
      </c>
      <c r="I297" s="163">
        <f t="shared" si="187"/>
        <v>125</v>
      </c>
      <c r="L297" s="175">
        <v>16740</v>
      </c>
      <c r="M297" s="175">
        <v>0</v>
      </c>
      <c r="N297" s="175">
        <f t="shared" si="199"/>
        <v>16740</v>
      </c>
      <c r="O297" s="175">
        <f t="shared" si="200"/>
        <v>139.5</v>
      </c>
      <c r="P297" s="175">
        <f t="shared" si="201"/>
        <v>1674</v>
      </c>
      <c r="Q297" s="175">
        <f t="shared" si="191"/>
        <v>0</v>
      </c>
      <c r="R297" s="175">
        <f t="shared" si="192"/>
        <v>1674</v>
      </c>
      <c r="S297" s="176">
        <v>1</v>
      </c>
      <c r="T297" s="175">
        <f t="shared" si="202"/>
        <v>1674</v>
      </c>
      <c r="U297" s="175">
        <f t="shared" si="203"/>
        <v>3627.0000000000077</v>
      </c>
      <c r="V297" s="175">
        <f t="shared" si="204"/>
        <v>3627.0000000000077</v>
      </c>
      <c r="W297" s="176">
        <v>1</v>
      </c>
      <c r="X297" s="175">
        <f t="shared" si="205"/>
        <v>3627.0000000000077</v>
      </c>
      <c r="Y297" s="175">
        <f t="shared" si="206"/>
        <v>5301.0000000000073</v>
      </c>
      <c r="Z297" s="175">
        <f t="shared" si="207"/>
        <v>12275.999999999993</v>
      </c>
      <c r="AA297" s="175">
        <f t="shared" si="184"/>
        <v>115.08333333333333</v>
      </c>
      <c r="AB297" s="175">
        <f t="shared" si="181"/>
        <v>118.25</v>
      </c>
      <c r="AC297" s="175">
        <f t="shared" si="185"/>
        <v>125.08333333333333</v>
      </c>
      <c r="AD297" s="175">
        <f t="shared" si="182"/>
        <v>117.25</v>
      </c>
      <c r="AE297" s="175">
        <f t="shared" si="186"/>
        <v>-8.3333333333333329E-2</v>
      </c>
      <c r="AF297" s="175">
        <f t="shared" si="208"/>
        <v>0</v>
      </c>
      <c r="AG297" s="166"/>
      <c r="AH297" s="166"/>
      <c r="AI297" s="166"/>
      <c r="AJ297" s="167"/>
      <c r="AK297" s="167"/>
    </row>
    <row r="298" spans="1:37">
      <c r="A298" s="163"/>
      <c r="B298" s="163" t="s">
        <v>893</v>
      </c>
      <c r="C298" s="295">
        <v>2015</v>
      </c>
      <c r="D298" s="163">
        <v>115</v>
      </c>
      <c r="E298" s="163">
        <v>6</v>
      </c>
      <c r="F298" s="178">
        <v>0</v>
      </c>
      <c r="G298" s="177" t="s">
        <v>491</v>
      </c>
      <c r="H298" s="163">
        <v>10</v>
      </c>
      <c r="I298" s="163">
        <f t="shared" si="187"/>
        <v>125</v>
      </c>
      <c r="L298" s="175">
        <v>2384.8000000000002</v>
      </c>
      <c r="M298" s="175">
        <v>0</v>
      </c>
      <c r="N298" s="175">
        <f t="shared" si="199"/>
        <v>2384.8000000000002</v>
      </c>
      <c r="O298" s="175">
        <f t="shared" si="200"/>
        <v>19.873333333333335</v>
      </c>
      <c r="P298" s="175">
        <f t="shared" si="201"/>
        <v>238.48000000000002</v>
      </c>
      <c r="Q298" s="175">
        <f t="shared" si="191"/>
        <v>0</v>
      </c>
      <c r="R298" s="175">
        <f t="shared" si="192"/>
        <v>238.48000000000002</v>
      </c>
      <c r="S298" s="176">
        <v>1</v>
      </c>
      <c r="T298" s="175">
        <f t="shared" si="202"/>
        <v>238.48000000000002</v>
      </c>
      <c r="U298" s="175">
        <f t="shared" si="203"/>
        <v>437.21333333333223</v>
      </c>
      <c r="V298" s="175">
        <f t="shared" si="204"/>
        <v>437.21333333333223</v>
      </c>
      <c r="W298" s="176">
        <v>1</v>
      </c>
      <c r="X298" s="175">
        <f t="shared" si="205"/>
        <v>437.21333333333223</v>
      </c>
      <c r="Y298" s="175">
        <f t="shared" si="206"/>
        <v>675.69333333333225</v>
      </c>
      <c r="Z298" s="175">
        <f t="shared" si="207"/>
        <v>1828.3466666666679</v>
      </c>
      <c r="AA298" s="175">
        <f t="shared" si="184"/>
        <v>115.41666666666667</v>
      </c>
      <c r="AB298" s="175">
        <f t="shared" si="181"/>
        <v>118.25</v>
      </c>
      <c r="AC298" s="175">
        <f t="shared" si="185"/>
        <v>125.41666666666667</v>
      </c>
      <c r="AD298" s="175">
        <f t="shared" si="182"/>
        <v>117.25</v>
      </c>
      <c r="AE298" s="175">
        <f t="shared" si="186"/>
        <v>-8.3333333333333329E-2</v>
      </c>
      <c r="AF298" s="175">
        <f t="shared" si="208"/>
        <v>0</v>
      </c>
      <c r="AG298" s="166"/>
      <c r="AH298" s="166"/>
      <c r="AI298" s="166"/>
      <c r="AJ298" s="167"/>
      <c r="AK298" s="167"/>
    </row>
    <row r="299" spans="1:37">
      <c r="A299" s="163"/>
      <c r="B299" s="163" t="s">
        <v>892</v>
      </c>
      <c r="C299" s="295">
        <v>2015</v>
      </c>
      <c r="D299" s="163">
        <v>115</v>
      </c>
      <c r="E299" s="163">
        <v>10</v>
      </c>
      <c r="F299" s="178">
        <v>0</v>
      </c>
      <c r="G299" s="177" t="s">
        <v>491</v>
      </c>
      <c r="H299" s="163">
        <v>10</v>
      </c>
      <c r="I299" s="163">
        <f t="shared" si="187"/>
        <v>125</v>
      </c>
      <c r="L299" s="175">
        <v>3631.4</v>
      </c>
      <c r="M299" s="175">
        <v>0</v>
      </c>
      <c r="N299" s="175">
        <f t="shared" si="199"/>
        <v>3631.4</v>
      </c>
      <c r="O299" s="175">
        <f t="shared" si="200"/>
        <v>30.261666666666667</v>
      </c>
      <c r="P299" s="175">
        <f t="shared" si="201"/>
        <v>363.14</v>
      </c>
      <c r="Q299" s="175">
        <f t="shared" si="191"/>
        <v>0</v>
      </c>
      <c r="R299" s="175">
        <f t="shared" si="192"/>
        <v>363.14</v>
      </c>
      <c r="S299" s="176">
        <v>1</v>
      </c>
      <c r="T299" s="175">
        <f t="shared" si="202"/>
        <v>363.14</v>
      </c>
      <c r="U299" s="175">
        <f t="shared" si="203"/>
        <v>544.71</v>
      </c>
      <c r="V299" s="175">
        <f t="shared" si="204"/>
        <v>544.71</v>
      </c>
      <c r="W299" s="176">
        <v>1</v>
      </c>
      <c r="X299" s="175">
        <f t="shared" si="205"/>
        <v>544.71</v>
      </c>
      <c r="Y299" s="175">
        <f t="shared" si="206"/>
        <v>907.85</v>
      </c>
      <c r="Z299" s="175">
        <f t="shared" si="207"/>
        <v>2905.12</v>
      </c>
      <c r="AA299" s="175">
        <f t="shared" si="184"/>
        <v>115.75</v>
      </c>
      <c r="AB299" s="175">
        <f t="shared" si="181"/>
        <v>118.25</v>
      </c>
      <c r="AC299" s="175">
        <f t="shared" si="185"/>
        <v>125.75</v>
      </c>
      <c r="AD299" s="175">
        <f t="shared" si="182"/>
        <v>117.25</v>
      </c>
      <c r="AE299" s="175">
        <f t="shared" si="186"/>
        <v>-8.3333333333333329E-2</v>
      </c>
      <c r="AF299" s="175">
        <f t="shared" si="208"/>
        <v>0</v>
      </c>
      <c r="AG299" s="166"/>
      <c r="AH299" s="166"/>
      <c r="AI299" s="166"/>
      <c r="AJ299" s="167"/>
      <c r="AK299" s="167"/>
    </row>
    <row r="300" spans="1:37">
      <c r="A300" s="163"/>
      <c r="B300" s="163" t="s">
        <v>891</v>
      </c>
      <c r="C300" s="295">
        <v>2015</v>
      </c>
      <c r="D300" s="163">
        <v>115</v>
      </c>
      <c r="E300" s="163">
        <v>10</v>
      </c>
      <c r="F300" s="178">
        <v>0</v>
      </c>
      <c r="G300" s="177" t="s">
        <v>491</v>
      </c>
      <c r="H300" s="163">
        <v>10</v>
      </c>
      <c r="I300" s="163">
        <f t="shared" si="187"/>
        <v>125</v>
      </c>
      <c r="L300" s="175">
        <v>4769.1499999999996</v>
      </c>
      <c r="M300" s="175">
        <v>0</v>
      </c>
      <c r="N300" s="175">
        <f t="shared" si="199"/>
        <v>4769.1499999999996</v>
      </c>
      <c r="O300" s="175">
        <f t="shared" si="200"/>
        <v>39.742916666666666</v>
      </c>
      <c r="P300" s="175">
        <f t="shared" si="201"/>
        <v>476.91499999999996</v>
      </c>
      <c r="Q300" s="175">
        <f t="shared" si="191"/>
        <v>0</v>
      </c>
      <c r="R300" s="175">
        <f t="shared" si="192"/>
        <v>476.91499999999996</v>
      </c>
      <c r="S300" s="176">
        <v>1</v>
      </c>
      <c r="T300" s="175">
        <f t="shared" si="202"/>
        <v>476.91499999999996</v>
      </c>
      <c r="U300" s="175">
        <f t="shared" si="203"/>
        <v>715.37249999999995</v>
      </c>
      <c r="V300" s="175">
        <f t="shared" si="204"/>
        <v>715.37249999999995</v>
      </c>
      <c r="W300" s="176">
        <v>1</v>
      </c>
      <c r="X300" s="175">
        <f t="shared" si="205"/>
        <v>715.37249999999995</v>
      </c>
      <c r="Y300" s="175">
        <f t="shared" si="206"/>
        <v>1192.2874999999999</v>
      </c>
      <c r="Z300" s="175">
        <f t="shared" si="207"/>
        <v>3815.3199999999997</v>
      </c>
      <c r="AA300" s="175">
        <f t="shared" si="184"/>
        <v>115.75</v>
      </c>
      <c r="AB300" s="175">
        <f t="shared" si="181"/>
        <v>118.25</v>
      </c>
      <c r="AC300" s="175">
        <f t="shared" si="185"/>
        <v>125.75</v>
      </c>
      <c r="AD300" s="175">
        <f t="shared" si="182"/>
        <v>117.25</v>
      </c>
      <c r="AE300" s="175">
        <f t="shared" si="186"/>
        <v>-8.3333333333333329E-2</v>
      </c>
      <c r="AF300" s="175">
        <f t="shared" si="208"/>
        <v>0</v>
      </c>
      <c r="AG300" s="166"/>
      <c r="AH300" s="166"/>
      <c r="AI300" s="166"/>
      <c r="AJ300" s="167"/>
      <c r="AK300" s="167"/>
    </row>
    <row r="301" spans="1:37">
      <c r="A301" s="163"/>
      <c r="B301" s="163" t="s">
        <v>889</v>
      </c>
      <c r="C301" s="295">
        <v>2015</v>
      </c>
      <c r="D301" s="163">
        <v>115</v>
      </c>
      <c r="E301" s="163">
        <v>11</v>
      </c>
      <c r="F301" s="178">
        <v>0</v>
      </c>
      <c r="G301" s="177" t="s">
        <v>491</v>
      </c>
      <c r="H301" s="163">
        <v>10</v>
      </c>
      <c r="I301" s="163">
        <f t="shared" si="187"/>
        <v>125</v>
      </c>
      <c r="L301" s="175">
        <v>2384.8000000000002</v>
      </c>
      <c r="M301" s="175">
        <v>0</v>
      </c>
      <c r="N301" s="175">
        <f t="shared" si="199"/>
        <v>2384.8000000000002</v>
      </c>
      <c r="O301" s="175">
        <f t="shared" si="200"/>
        <v>19.873333333333335</v>
      </c>
      <c r="P301" s="175">
        <f t="shared" si="201"/>
        <v>238.48000000000002</v>
      </c>
      <c r="Q301" s="175">
        <f t="shared" si="191"/>
        <v>0</v>
      </c>
      <c r="R301" s="175">
        <f t="shared" si="192"/>
        <v>238.48000000000002</v>
      </c>
      <c r="S301" s="176">
        <v>1</v>
      </c>
      <c r="T301" s="175">
        <f t="shared" si="202"/>
        <v>238.48000000000002</v>
      </c>
      <c r="U301" s="175">
        <f t="shared" si="203"/>
        <v>337.84666666666783</v>
      </c>
      <c r="V301" s="175">
        <f t="shared" si="204"/>
        <v>337.84666666666783</v>
      </c>
      <c r="W301" s="176">
        <v>1</v>
      </c>
      <c r="X301" s="175">
        <f t="shared" si="205"/>
        <v>337.84666666666783</v>
      </c>
      <c r="Y301" s="175">
        <f t="shared" si="206"/>
        <v>576.32666666666785</v>
      </c>
      <c r="Z301" s="175">
        <f t="shared" si="207"/>
        <v>1927.7133333333322</v>
      </c>
      <c r="AA301" s="175">
        <f t="shared" si="184"/>
        <v>115.83333333333333</v>
      </c>
      <c r="AB301" s="175">
        <f t="shared" si="181"/>
        <v>118.25</v>
      </c>
      <c r="AC301" s="175">
        <f t="shared" si="185"/>
        <v>125.83333333333333</v>
      </c>
      <c r="AD301" s="175">
        <f t="shared" si="182"/>
        <v>117.25</v>
      </c>
      <c r="AE301" s="175">
        <f t="shared" si="186"/>
        <v>-8.3333333333333329E-2</v>
      </c>
      <c r="AF301" s="175">
        <f t="shared" si="208"/>
        <v>0</v>
      </c>
      <c r="AG301" s="166"/>
      <c r="AH301" s="166"/>
      <c r="AI301" s="166"/>
      <c r="AJ301" s="167"/>
      <c r="AK301" s="167"/>
    </row>
    <row r="302" spans="1:37">
      <c r="A302" s="163"/>
      <c r="B302" s="163" t="s">
        <v>890</v>
      </c>
      <c r="C302" s="295">
        <v>2015</v>
      </c>
      <c r="D302" s="163">
        <v>115</v>
      </c>
      <c r="E302" s="163">
        <v>11</v>
      </c>
      <c r="F302" s="178">
        <v>0</v>
      </c>
      <c r="G302" s="177" t="s">
        <v>491</v>
      </c>
      <c r="H302" s="163">
        <v>10</v>
      </c>
      <c r="I302" s="163">
        <f t="shared" si="187"/>
        <v>125</v>
      </c>
      <c r="L302" s="175">
        <v>4065</v>
      </c>
      <c r="M302" s="175">
        <v>0</v>
      </c>
      <c r="N302" s="175">
        <f t="shared" si="199"/>
        <v>4065</v>
      </c>
      <c r="O302" s="175">
        <f t="shared" si="200"/>
        <v>33.875</v>
      </c>
      <c r="P302" s="175">
        <f t="shared" si="201"/>
        <v>406.5</v>
      </c>
      <c r="Q302" s="175">
        <f t="shared" si="191"/>
        <v>0</v>
      </c>
      <c r="R302" s="175">
        <f t="shared" si="192"/>
        <v>406.5</v>
      </c>
      <c r="S302" s="176">
        <v>1</v>
      </c>
      <c r="T302" s="175">
        <f t="shared" si="202"/>
        <v>406.5</v>
      </c>
      <c r="U302" s="175">
        <f t="shared" si="203"/>
        <v>575.87500000000193</v>
      </c>
      <c r="V302" s="175">
        <f t="shared" si="204"/>
        <v>575.87500000000193</v>
      </c>
      <c r="W302" s="176">
        <v>1</v>
      </c>
      <c r="X302" s="175">
        <f t="shared" si="205"/>
        <v>575.87500000000193</v>
      </c>
      <c r="Y302" s="175">
        <f t="shared" si="206"/>
        <v>982.37500000000193</v>
      </c>
      <c r="Z302" s="175">
        <f t="shared" si="207"/>
        <v>3285.8749999999982</v>
      </c>
      <c r="AA302" s="175">
        <f t="shared" si="184"/>
        <v>115.83333333333333</v>
      </c>
      <c r="AB302" s="175">
        <f t="shared" si="181"/>
        <v>118.25</v>
      </c>
      <c r="AC302" s="175">
        <f t="shared" si="185"/>
        <v>125.83333333333333</v>
      </c>
      <c r="AD302" s="175">
        <f t="shared" si="182"/>
        <v>117.25</v>
      </c>
      <c r="AE302" s="175">
        <f t="shared" si="186"/>
        <v>-8.3333333333333329E-2</v>
      </c>
      <c r="AF302" s="175">
        <f t="shared" si="208"/>
        <v>0</v>
      </c>
      <c r="AG302" s="166"/>
      <c r="AH302" s="166"/>
      <c r="AI302" s="166"/>
      <c r="AJ302" s="167"/>
      <c r="AK302" s="167"/>
    </row>
    <row r="303" spans="1:37">
      <c r="A303" s="163"/>
      <c r="B303" s="163" t="s">
        <v>889</v>
      </c>
      <c r="C303" s="295">
        <v>2015</v>
      </c>
      <c r="D303" s="163">
        <v>115</v>
      </c>
      <c r="E303" s="163">
        <v>12</v>
      </c>
      <c r="F303" s="178">
        <v>0</v>
      </c>
      <c r="G303" s="177" t="s">
        <v>491</v>
      </c>
      <c r="H303" s="163">
        <v>10</v>
      </c>
      <c r="I303" s="163">
        <f t="shared" si="187"/>
        <v>125</v>
      </c>
      <c r="L303" s="175">
        <v>2384.8000000000002</v>
      </c>
      <c r="M303" s="175">
        <v>0</v>
      </c>
      <c r="N303" s="175">
        <f t="shared" si="199"/>
        <v>2384.8000000000002</v>
      </c>
      <c r="O303" s="175">
        <f t="shared" si="200"/>
        <v>19.873333333333335</v>
      </c>
      <c r="P303" s="175">
        <f t="shared" si="201"/>
        <v>238.48000000000002</v>
      </c>
      <c r="Q303" s="175">
        <f t="shared" si="191"/>
        <v>0</v>
      </c>
      <c r="R303" s="175">
        <f t="shared" si="192"/>
        <v>238.48000000000002</v>
      </c>
      <c r="S303" s="176">
        <v>1</v>
      </c>
      <c r="T303" s="175">
        <f t="shared" si="202"/>
        <v>238.48000000000002</v>
      </c>
      <c r="U303" s="175">
        <f t="shared" si="203"/>
        <v>317.97333333333222</v>
      </c>
      <c r="V303" s="175">
        <f t="shared" si="204"/>
        <v>317.97333333333222</v>
      </c>
      <c r="W303" s="176">
        <v>1</v>
      </c>
      <c r="X303" s="175">
        <f t="shared" si="205"/>
        <v>317.97333333333222</v>
      </c>
      <c r="Y303" s="175">
        <f t="shared" si="206"/>
        <v>556.45333333333224</v>
      </c>
      <c r="Z303" s="175">
        <f t="shared" si="207"/>
        <v>1947.586666666668</v>
      </c>
      <c r="AA303" s="175">
        <f t="shared" si="184"/>
        <v>115.91666666666667</v>
      </c>
      <c r="AB303" s="175">
        <f t="shared" si="181"/>
        <v>118.25</v>
      </c>
      <c r="AC303" s="175">
        <f t="shared" si="185"/>
        <v>125.91666666666667</v>
      </c>
      <c r="AD303" s="175">
        <f t="shared" si="182"/>
        <v>117.25</v>
      </c>
      <c r="AE303" s="175">
        <f t="shared" si="186"/>
        <v>-8.3333333333333329E-2</v>
      </c>
      <c r="AF303" s="175">
        <f t="shared" si="208"/>
        <v>0</v>
      </c>
      <c r="AG303" s="166"/>
      <c r="AH303" s="166"/>
      <c r="AI303" s="166"/>
      <c r="AJ303" s="167"/>
      <c r="AK303" s="167"/>
    </row>
    <row r="304" spans="1:37">
      <c r="A304" s="163"/>
      <c r="B304" s="163" t="s">
        <v>889</v>
      </c>
      <c r="C304" s="295">
        <v>2015</v>
      </c>
      <c r="D304" s="163">
        <v>115</v>
      </c>
      <c r="E304" s="163">
        <v>12</v>
      </c>
      <c r="F304" s="178">
        <v>0</v>
      </c>
      <c r="G304" s="177" t="s">
        <v>491</v>
      </c>
      <c r="H304" s="163">
        <v>10</v>
      </c>
      <c r="I304" s="163">
        <f t="shared" si="187"/>
        <v>125</v>
      </c>
      <c r="L304" s="175">
        <v>2384.8000000000002</v>
      </c>
      <c r="M304" s="175">
        <v>0</v>
      </c>
      <c r="N304" s="175">
        <f t="shared" si="199"/>
        <v>2384.8000000000002</v>
      </c>
      <c r="O304" s="175">
        <f t="shared" si="200"/>
        <v>19.873333333333335</v>
      </c>
      <c r="P304" s="175">
        <f t="shared" si="201"/>
        <v>238.48000000000002</v>
      </c>
      <c r="Q304" s="175">
        <f t="shared" si="191"/>
        <v>0</v>
      </c>
      <c r="R304" s="175">
        <f t="shared" si="192"/>
        <v>238.48000000000002</v>
      </c>
      <c r="S304" s="176">
        <v>1</v>
      </c>
      <c r="T304" s="175">
        <f t="shared" si="202"/>
        <v>238.48000000000002</v>
      </c>
      <c r="U304" s="175">
        <f t="shared" si="203"/>
        <v>317.97333333333222</v>
      </c>
      <c r="V304" s="175">
        <f t="shared" si="204"/>
        <v>317.97333333333222</v>
      </c>
      <c r="W304" s="176">
        <v>1</v>
      </c>
      <c r="X304" s="175">
        <f t="shared" si="205"/>
        <v>317.97333333333222</v>
      </c>
      <c r="Y304" s="175">
        <f t="shared" si="206"/>
        <v>556.45333333333224</v>
      </c>
      <c r="Z304" s="175">
        <f t="shared" si="207"/>
        <v>1947.586666666668</v>
      </c>
      <c r="AA304" s="175">
        <f t="shared" si="184"/>
        <v>115.91666666666667</v>
      </c>
      <c r="AB304" s="175">
        <f t="shared" si="181"/>
        <v>118.25</v>
      </c>
      <c r="AC304" s="175">
        <f t="shared" si="185"/>
        <v>125.91666666666667</v>
      </c>
      <c r="AD304" s="175">
        <f t="shared" si="182"/>
        <v>117.25</v>
      </c>
      <c r="AE304" s="175">
        <f t="shared" si="186"/>
        <v>-8.3333333333333329E-2</v>
      </c>
      <c r="AF304" s="175">
        <f t="shared" si="208"/>
        <v>0</v>
      </c>
      <c r="AG304" s="166"/>
      <c r="AH304" s="166"/>
      <c r="AI304" s="166"/>
      <c r="AJ304" s="167"/>
      <c r="AK304" s="167"/>
    </row>
    <row r="305" spans="1:37">
      <c r="A305" s="163"/>
      <c r="B305" s="163" t="s">
        <v>886</v>
      </c>
      <c r="C305" s="295">
        <v>2016</v>
      </c>
      <c r="D305" s="163">
        <v>116</v>
      </c>
      <c r="E305" s="163">
        <v>1</v>
      </c>
      <c r="F305" s="178">
        <v>0</v>
      </c>
      <c r="G305" s="177" t="s">
        <v>491</v>
      </c>
      <c r="H305" s="163">
        <v>10</v>
      </c>
      <c r="I305" s="163">
        <f t="shared" si="187"/>
        <v>126</v>
      </c>
      <c r="L305" s="175">
        <v>3631.4</v>
      </c>
      <c r="M305" s="175">
        <v>0</v>
      </c>
      <c r="N305" s="175">
        <f t="shared" si="199"/>
        <v>3631.4</v>
      </c>
      <c r="O305" s="175">
        <f t="shared" si="200"/>
        <v>30.261666666666667</v>
      </c>
      <c r="P305" s="175">
        <f t="shared" si="201"/>
        <v>363.14</v>
      </c>
      <c r="Q305" s="175">
        <f t="shared" si="191"/>
        <v>0</v>
      </c>
      <c r="R305" s="175">
        <f t="shared" si="192"/>
        <v>363.14</v>
      </c>
      <c r="S305" s="176">
        <v>1</v>
      </c>
      <c r="T305" s="175">
        <f t="shared" si="202"/>
        <v>363.14</v>
      </c>
      <c r="U305" s="175">
        <f t="shared" si="203"/>
        <v>453.92500000000001</v>
      </c>
      <c r="V305" s="175">
        <f t="shared" si="204"/>
        <v>453.92500000000001</v>
      </c>
      <c r="W305" s="176">
        <v>1</v>
      </c>
      <c r="X305" s="175">
        <f t="shared" si="205"/>
        <v>453.92500000000001</v>
      </c>
      <c r="Y305" s="175">
        <f t="shared" si="206"/>
        <v>817.06500000000005</v>
      </c>
      <c r="Z305" s="175">
        <f t="shared" si="207"/>
        <v>2995.9050000000002</v>
      </c>
      <c r="AA305" s="175">
        <f t="shared" si="184"/>
        <v>116</v>
      </c>
      <c r="AB305" s="175">
        <f t="shared" si="181"/>
        <v>118.25</v>
      </c>
      <c r="AC305" s="175">
        <f t="shared" si="185"/>
        <v>126</v>
      </c>
      <c r="AD305" s="175">
        <f t="shared" si="182"/>
        <v>117.25</v>
      </c>
      <c r="AE305" s="175">
        <f t="shared" si="186"/>
        <v>-8.3333333333333329E-2</v>
      </c>
      <c r="AF305" s="175">
        <f t="shared" si="208"/>
        <v>0</v>
      </c>
      <c r="AG305" s="166"/>
      <c r="AH305" s="166"/>
      <c r="AI305" s="166"/>
      <c r="AJ305" s="167"/>
      <c r="AK305" s="167"/>
    </row>
    <row r="306" spans="1:37">
      <c r="A306" s="163"/>
      <c r="B306" s="163" t="s">
        <v>881</v>
      </c>
      <c r="C306" s="295">
        <v>2016</v>
      </c>
      <c r="D306" s="163">
        <v>116</v>
      </c>
      <c r="E306" s="163">
        <v>1</v>
      </c>
      <c r="F306" s="178">
        <v>0</v>
      </c>
      <c r="G306" s="177" t="s">
        <v>491</v>
      </c>
      <c r="H306" s="163">
        <v>10</v>
      </c>
      <c r="I306" s="163">
        <f t="shared" si="187"/>
        <v>126</v>
      </c>
      <c r="L306" s="175">
        <v>4065</v>
      </c>
      <c r="M306" s="175">
        <v>0</v>
      </c>
      <c r="N306" s="175">
        <f t="shared" si="199"/>
        <v>4065</v>
      </c>
      <c r="O306" s="175">
        <f t="shared" si="200"/>
        <v>33.875</v>
      </c>
      <c r="P306" s="175">
        <f t="shared" si="201"/>
        <v>406.5</v>
      </c>
      <c r="Q306" s="175">
        <f t="shared" si="191"/>
        <v>0</v>
      </c>
      <c r="R306" s="175">
        <f t="shared" si="192"/>
        <v>406.5</v>
      </c>
      <c r="S306" s="176">
        <v>1</v>
      </c>
      <c r="T306" s="175">
        <f t="shared" si="202"/>
        <v>406.5</v>
      </c>
      <c r="U306" s="175">
        <f t="shared" si="203"/>
        <v>508.125</v>
      </c>
      <c r="V306" s="175">
        <f t="shared" si="204"/>
        <v>508.125</v>
      </c>
      <c r="W306" s="176">
        <v>1</v>
      </c>
      <c r="X306" s="175">
        <f t="shared" si="205"/>
        <v>508.125</v>
      </c>
      <c r="Y306" s="175">
        <f t="shared" si="206"/>
        <v>914.625</v>
      </c>
      <c r="Z306" s="175">
        <f t="shared" si="207"/>
        <v>3353.625</v>
      </c>
      <c r="AA306" s="175">
        <f t="shared" si="184"/>
        <v>116</v>
      </c>
      <c r="AB306" s="175">
        <f t="shared" si="181"/>
        <v>118.25</v>
      </c>
      <c r="AC306" s="175">
        <f t="shared" si="185"/>
        <v>126</v>
      </c>
      <c r="AD306" s="175">
        <f t="shared" si="182"/>
        <v>117.25</v>
      </c>
      <c r="AE306" s="175">
        <f t="shared" si="186"/>
        <v>-8.3333333333333329E-2</v>
      </c>
      <c r="AF306" s="175">
        <f t="shared" si="208"/>
        <v>0</v>
      </c>
      <c r="AG306" s="166"/>
      <c r="AH306" s="166"/>
      <c r="AI306" s="166"/>
      <c r="AJ306" s="167"/>
      <c r="AK306" s="167"/>
    </row>
    <row r="307" spans="1:37">
      <c r="A307" s="163"/>
      <c r="B307" s="163" t="s">
        <v>885</v>
      </c>
      <c r="C307" s="295">
        <v>2016</v>
      </c>
      <c r="D307" s="163">
        <v>116</v>
      </c>
      <c r="E307" s="163">
        <v>2</v>
      </c>
      <c r="F307" s="178">
        <v>0</v>
      </c>
      <c r="G307" s="177" t="s">
        <v>491</v>
      </c>
      <c r="H307" s="163">
        <v>10</v>
      </c>
      <c r="I307" s="163">
        <f t="shared" si="187"/>
        <v>126</v>
      </c>
      <c r="L307" s="175">
        <v>4769.6000000000004</v>
      </c>
      <c r="M307" s="175">
        <v>0</v>
      </c>
      <c r="N307" s="175">
        <f t="shared" si="199"/>
        <v>4769.6000000000004</v>
      </c>
      <c r="O307" s="175">
        <f t="shared" si="200"/>
        <v>39.74666666666667</v>
      </c>
      <c r="P307" s="175">
        <f t="shared" si="201"/>
        <v>476.96000000000004</v>
      </c>
      <c r="Q307" s="175">
        <f t="shared" si="191"/>
        <v>0</v>
      </c>
      <c r="R307" s="175">
        <f t="shared" si="192"/>
        <v>476.96000000000004</v>
      </c>
      <c r="S307" s="176">
        <v>1</v>
      </c>
      <c r="T307" s="175">
        <f t="shared" si="202"/>
        <v>476.96000000000004</v>
      </c>
      <c r="U307" s="175">
        <f t="shared" si="203"/>
        <v>556.45333333333565</v>
      </c>
      <c r="V307" s="175">
        <f t="shared" si="204"/>
        <v>556.45333333333565</v>
      </c>
      <c r="W307" s="176">
        <v>1</v>
      </c>
      <c r="X307" s="175">
        <f t="shared" si="205"/>
        <v>556.45333333333565</v>
      </c>
      <c r="Y307" s="175">
        <f t="shared" si="206"/>
        <v>1033.4133333333357</v>
      </c>
      <c r="Z307" s="175">
        <f t="shared" si="207"/>
        <v>3974.6666666666647</v>
      </c>
      <c r="AA307" s="175">
        <f t="shared" si="184"/>
        <v>116.08333333333333</v>
      </c>
      <c r="AB307" s="175">
        <f t="shared" si="181"/>
        <v>118.25</v>
      </c>
      <c r="AC307" s="175">
        <f t="shared" si="185"/>
        <v>126.08333333333333</v>
      </c>
      <c r="AD307" s="175">
        <f t="shared" si="182"/>
        <v>117.25</v>
      </c>
      <c r="AE307" s="175">
        <f t="shared" si="186"/>
        <v>-8.3333333333333329E-2</v>
      </c>
      <c r="AF307" s="175">
        <f t="shared" si="208"/>
        <v>0</v>
      </c>
      <c r="AG307" s="166"/>
      <c r="AH307" s="166"/>
      <c r="AI307" s="166"/>
      <c r="AJ307" s="167"/>
      <c r="AK307" s="167"/>
    </row>
    <row r="308" spans="1:37">
      <c r="A308" s="163"/>
      <c r="B308" s="163" t="s">
        <v>881</v>
      </c>
      <c r="C308" s="295">
        <v>2016</v>
      </c>
      <c r="D308" s="163">
        <v>116</v>
      </c>
      <c r="E308" s="163">
        <v>4</v>
      </c>
      <c r="F308" s="178">
        <v>0</v>
      </c>
      <c r="G308" s="177" t="s">
        <v>491</v>
      </c>
      <c r="H308" s="163">
        <v>10</v>
      </c>
      <c r="I308" s="163">
        <f t="shared" si="187"/>
        <v>126</v>
      </c>
      <c r="L308" s="175">
        <v>4065</v>
      </c>
      <c r="M308" s="175">
        <v>0</v>
      </c>
      <c r="N308" s="175">
        <f t="shared" si="199"/>
        <v>4065</v>
      </c>
      <c r="O308" s="175">
        <f t="shared" si="200"/>
        <v>33.875</v>
      </c>
      <c r="P308" s="175">
        <f t="shared" si="201"/>
        <v>406.5</v>
      </c>
      <c r="Q308" s="175">
        <f t="shared" si="191"/>
        <v>0</v>
      </c>
      <c r="R308" s="175">
        <f t="shared" si="192"/>
        <v>406.5</v>
      </c>
      <c r="S308" s="176">
        <v>1</v>
      </c>
      <c r="T308" s="175">
        <f t="shared" si="202"/>
        <v>406.5</v>
      </c>
      <c r="U308" s="175">
        <f t="shared" si="203"/>
        <v>406.5</v>
      </c>
      <c r="V308" s="175">
        <f t="shared" si="204"/>
        <v>406.5</v>
      </c>
      <c r="W308" s="176">
        <v>1</v>
      </c>
      <c r="X308" s="175">
        <f t="shared" si="205"/>
        <v>406.5</v>
      </c>
      <c r="Y308" s="175">
        <f t="shared" si="206"/>
        <v>813</v>
      </c>
      <c r="Z308" s="175">
        <f t="shared" si="207"/>
        <v>3455.25</v>
      </c>
      <c r="AA308" s="175">
        <f t="shared" si="184"/>
        <v>116.25</v>
      </c>
      <c r="AB308" s="175">
        <f t="shared" si="181"/>
        <v>118.25</v>
      </c>
      <c r="AC308" s="175">
        <f t="shared" si="185"/>
        <v>126.25</v>
      </c>
      <c r="AD308" s="175">
        <f t="shared" si="182"/>
        <v>117.25</v>
      </c>
      <c r="AE308" s="175">
        <f t="shared" si="186"/>
        <v>-8.3333333333333329E-2</v>
      </c>
      <c r="AF308" s="175">
        <f t="shared" si="208"/>
        <v>0</v>
      </c>
      <c r="AG308" s="166"/>
      <c r="AH308" s="166"/>
      <c r="AI308" s="166"/>
      <c r="AJ308" s="167"/>
      <c r="AK308" s="167"/>
    </row>
    <row r="309" spans="1:37">
      <c r="A309" s="163"/>
      <c r="B309" s="163" t="s">
        <v>881</v>
      </c>
      <c r="C309" s="295">
        <v>2016</v>
      </c>
      <c r="D309" s="163">
        <v>116</v>
      </c>
      <c r="E309" s="163">
        <v>5</v>
      </c>
      <c r="F309" s="178">
        <v>0</v>
      </c>
      <c r="G309" s="177" t="s">
        <v>491</v>
      </c>
      <c r="H309" s="163">
        <v>10</v>
      </c>
      <c r="I309" s="163">
        <f t="shared" si="187"/>
        <v>126</v>
      </c>
      <c r="L309" s="175">
        <v>4254.7</v>
      </c>
      <c r="M309" s="175">
        <v>0</v>
      </c>
      <c r="N309" s="175">
        <f t="shared" si="199"/>
        <v>4254.7</v>
      </c>
      <c r="O309" s="175">
        <f t="shared" si="200"/>
        <v>35.455833333333331</v>
      </c>
      <c r="P309" s="175">
        <f t="shared" si="201"/>
        <v>425.46999999999997</v>
      </c>
      <c r="Q309" s="175">
        <f t="shared" si="191"/>
        <v>0</v>
      </c>
      <c r="R309" s="175">
        <f t="shared" si="192"/>
        <v>425.46999999999997</v>
      </c>
      <c r="S309" s="176">
        <v>1</v>
      </c>
      <c r="T309" s="175">
        <f t="shared" si="202"/>
        <v>425.46999999999997</v>
      </c>
      <c r="U309" s="175">
        <f t="shared" si="203"/>
        <v>390.01416666666864</v>
      </c>
      <c r="V309" s="175">
        <f t="shared" si="204"/>
        <v>390.01416666666864</v>
      </c>
      <c r="W309" s="176">
        <v>1</v>
      </c>
      <c r="X309" s="175">
        <f t="shared" si="205"/>
        <v>390.01416666666864</v>
      </c>
      <c r="Y309" s="175">
        <f t="shared" si="206"/>
        <v>815.48416666666867</v>
      </c>
      <c r="Z309" s="175">
        <f t="shared" si="207"/>
        <v>3651.950833333331</v>
      </c>
      <c r="AA309" s="175">
        <f t="shared" si="184"/>
        <v>116.33333333333333</v>
      </c>
      <c r="AB309" s="175">
        <f t="shared" si="181"/>
        <v>118.25</v>
      </c>
      <c r="AC309" s="175">
        <f t="shared" si="185"/>
        <v>126.33333333333333</v>
      </c>
      <c r="AD309" s="175">
        <f t="shared" si="182"/>
        <v>117.25</v>
      </c>
      <c r="AE309" s="175">
        <f t="shared" si="186"/>
        <v>-8.3333333333333329E-2</v>
      </c>
      <c r="AF309" s="175">
        <f t="shared" si="208"/>
        <v>0</v>
      </c>
      <c r="AG309" s="166"/>
      <c r="AH309" s="166"/>
      <c r="AI309" s="166"/>
      <c r="AJ309" s="167"/>
      <c r="AK309" s="167"/>
    </row>
    <row r="310" spans="1:37">
      <c r="A310" s="163"/>
      <c r="B310" s="163" t="s">
        <v>888</v>
      </c>
      <c r="C310" s="295">
        <v>2016</v>
      </c>
      <c r="D310" s="163">
        <v>116</v>
      </c>
      <c r="E310" s="163">
        <v>6</v>
      </c>
      <c r="F310" s="178">
        <v>0</v>
      </c>
      <c r="G310" s="177" t="s">
        <v>491</v>
      </c>
      <c r="H310" s="163">
        <v>10</v>
      </c>
      <c r="I310" s="163">
        <f t="shared" si="187"/>
        <v>126</v>
      </c>
      <c r="L310" s="175">
        <v>5040.6000000000004</v>
      </c>
      <c r="M310" s="175">
        <v>0</v>
      </c>
      <c r="N310" s="175">
        <f t="shared" si="199"/>
        <v>5040.6000000000004</v>
      </c>
      <c r="O310" s="175">
        <f t="shared" si="200"/>
        <v>42.005000000000003</v>
      </c>
      <c r="P310" s="175">
        <f t="shared" si="201"/>
        <v>504.06000000000006</v>
      </c>
      <c r="Q310" s="175">
        <f t="shared" si="191"/>
        <v>0</v>
      </c>
      <c r="R310" s="175">
        <f t="shared" si="192"/>
        <v>504.06000000000006</v>
      </c>
      <c r="S310" s="176">
        <v>1</v>
      </c>
      <c r="T310" s="175">
        <f t="shared" si="202"/>
        <v>504.06000000000006</v>
      </c>
      <c r="U310" s="175">
        <f t="shared" si="203"/>
        <v>420.04999999999762</v>
      </c>
      <c r="V310" s="175">
        <f t="shared" si="204"/>
        <v>420.04999999999762</v>
      </c>
      <c r="W310" s="176">
        <v>1</v>
      </c>
      <c r="X310" s="175">
        <f t="shared" si="205"/>
        <v>420.04999999999762</v>
      </c>
      <c r="Y310" s="175">
        <f t="shared" si="206"/>
        <v>924.10999999999763</v>
      </c>
      <c r="Z310" s="175">
        <f t="shared" si="207"/>
        <v>4368.5200000000023</v>
      </c>
      <c r="AA310" s="175">
        <f t="shared" si="184"/>
        <v>116.41666666666667</v>
      </c>
      <c r="AB310" s="175">
        <f t="shared" si="181"/>
        <v>118.25</v>
      </c>
      <c r="AC310" s="175">
        <f t="shared" si="185"/>
        <v>126.41666666666667</v>
      </c>
      <c r="AD310" s="175">
        <f t="shared" si="182"/>
        <v>117.25</v>
      </c>
      <c r="AE310" s="175">
        <f t="shared" si="186"/>
        <v>-8.3333333333333329E-2</v>
      </c>
      <c r="AF310" s="175">
        <f t="shared" si="208"/>
        <v>0</v>
      </c>
      <c r="AG310" s="166"/>
      <c r="AH310" s="166"/>
      <c r="AI310" s="166"/>
      <c r="AJ310" s="167"/>
      <c r="AK310" s="167"/>
    </row>
    <row r="311" spans="1:37">
      <c r="A311" s="163"/>
      <c r="B311" s="163" t="s">
        <v>887</v>
      </c>
      <c r="C311" s="295">
        <v>2016</v>
      </c>
      <c r="D311" s="163">
        <v>116</v>
      </c>
      <c r="E311" s="163">
        <v>7</v>
      </c>
      <c r="F311" s="178">
        <v>0</v>
      </c>
      <c r="G311" s="177" t="s">
        <v>491</v>
      </c>
      <c r="H311" s="163">
        <v>10</v>
      </c>
      <c r="I311" s="163">
        <f t="shared" si="187"/>
        <v>126</v>
      </c>
      <c r="L311" s="175">
        <v>3631.39</v>
      </c>
      <c r="M311" s="175">
        <v>0</v>
      </c>
      <c r="N311" s="175">
        <f t="shared" si="199"/>
        <v>3631.39</v>
      </c>
      <c r="O311" s="175">
        <f t="shared" si="200"/>
        <v>30.261583333333334</v>
      </c>
      <c r="P311" s="175">
        <f t="shared" si="201"/>
        <v>363.13900000000001</v>
      </c>
      <c r="Q311" s="175">
        <f t="shared" si="191"/>
        <v>0</v>
      </c>
      <c r="R311" s="175">
        <f t="shared" si="192"/>
        <v>363.13900000000001</v>
      </c>
      <c r="S311" s="176">
        <v>1</v>
      </c>
      <c r="T311" s="175">
        <f t="shared" si="202"/>
        <v>363.13900000000001</v>
      </c>
      <c r="U311" s="175">
        <f t="shared" si="203"/>
        <v>272.35424999999998</v>
      </c>
      <c r="V311" s="175">
        <f t="shared" si="204"/>
        <v>272.35424999999998</v>
      </c>
      <c r="W311" s="176">
        <v>1</v>
      </c>
      <c r="X311" s="175">
        <f t="shared" si="205"/>
        <v>272.35424999999998</v>
      </c>
      <c r="Y311" s="175">
        <f t="shared" si="206"/>
        <v>635.49324999999999</v>
      </c>
      <c r="Z311" s="175">
        <f t="shared" si="207"/>
        <v>3177.4662499999999</v>
      </c>
      <c r="AA311" s="175">
        <f t="shared" si="184"/>
        <v>116.5</v>
      </c>
      <c r="AB311" s="175">
        <f t="shared" si="181"/>
        <v>118.25</v>
      </c>
      <c r="AC311" s="175">
        <f t="shared" si="185"/>
        <v>126.5</v>
      </c>
      <c r="AD311" s="175">
        <f t="shared" si="182"/>
        <v>117.25</v>
      </c>
      <c r="AE311" s="175">
        <f t="shared" si="186"/>
        <v>-8.3333333333333329E-2</v>
      </c>
      <c r="AF311" s="175">
        <f t="shared" si="208"/>
        <v>0</v>
      </c>
      <c r="AG311" s="166"/>
      <c r="AH311" s="166"/>
      <c r="AI311" s="166"/>
      <c r="AJ311" s="167"/>
      <c r="AK311" s="167"/>
    </row>
    <row r="312" spans="1:37">
      <c r="A312" s="163"/>
      <c r="B312" s="163" t="s">
        <v>886</v>
      </c>
      <c r="C312" s="295">
        <v>2016</v>
      </c>
      <c r="D312" s="163">
        <v>116</v>
      </c>
      <c r="E312" s="163">
        <v>7</v>
      </c>
      <c r="F312" s="178">
        <v>0</v>
      </c>
      <c r="G312" s="177" t="s">
        <v>491</v>
      </c>
      <c r="H312" s="163">
        <v>10</v>
      </c>
      <c r="I312" s="163">
        <f t="shared" si="187"/>
        <v>126</v>
      </c>
      <c r="L312" s="175">
        <v>4065</v>
      </c>
      <c r="M312" s="175">
        <v>0</v>
      </c>
      <c r="N312" s="175">
        <f t="shared" si="199"/>
        <v>4065</v>
      </c>
      <c r="O312" s="175">
        <f t="shared" si="200"/>
        <v>33.875</v>
      </c>
      <c r="P312" s="175">
        <f t="shared" si="201"/>
        <v>406.5</v>
      </c>
      <c r="Q312" s="175">
        <f t="shared" si="191"/>
        <v>0</v>
      </c>
      <c r="R312" s="175">
        <f t="shared" si="192"/>
        <v>406.5</v>
      </c>
      <c r="S312" s="176">
        <v>1</v>
      </c>
      <c r="T312" s="175">
        <f t="shared" si="202"/>
        <v>406.5</v>
      </c>
      <c r="U312" s="175">
        <f t="shared" si="203"/>
        <v>304.875</v>
      </c>
      <c r="V312" s="175">
        <f t="shared" si="204"/>
        <v>304.875</v>
      </c>
      <c r="W312" s="176">
        <v>1</v>
      </c>
      <c r="X312" s="175">
        <f t="shared" si="205"/>
        <v>304.875</v>
      </c>
      <c r="Y312" s="175">
        <f t="shared" si="206"/>
        <v>711.375</v>
      </c>
      <c r="Z312" s="175">
        <f t="shared" si="207"/>
        <v>3556.875</v>
      </c>
      <c r="AA312" s="175">
        <f t="shared" si="184"/>
        <v>116.5</v>
      </c>
      <c r="AB312" s="175">
        <f t="shared" si="181"/>
        <v>118.25</v>
      </c>
      <c r="AC312" s="175">
        <f t="shared" si="185"/>
        <v>126.5</v>
      </c>
      <c r="AD312" s="175">
        <f t="shared" si="182"/>
        <v>117.25</v>
      </c>
      <c r="AE312" s="175">
        <f t="shared" si="186"/>
        <v>-8.3333333333333329E-2</v>
      </c>
      <c r="AF312" s="175">
        <f t="shared" si="208"/>
        <v>0</v>
      </c>
      <c r="AG312" s="166"/>
      <c r="AH312" s="166"/>
      <c r="AI312" s="166"/>
      <c r="AJ312" s="167"/>
      <c r="AK312" s="167"/>
    </row>
    <row r="313" spans="1:37">
      <c r="A313" s="163"/>
      <c r="B313" s="163" t="s">
        <v>881</v>
      </c>
      <c r="C313" s="295">
        <v>2016</v>
      </c>
      <c r="D313" s="163">
        <v>116</v>
      </c>
      <c r="E313" s="163">
        <v>9</v>
      </c>
      <c r="F313" s="178">
        <v>0</v>
      </c>
      <c r="G313" s="177" t="s">
        <v>491</v>
      </c>
      <c r="H313" s="163">
        <v>10</v>
      </c>
      <c r="I313" s="163">
        <f t="shared" si="187"/>
        <v>126</v>
      </c>
      <c r="L313" s="175">
        <v>4065</v>
      </c>
      <c r="M313" s="175">
        <v>0</v>
      </c>
      <c r="N313" s="175">
        <f t="shared" si="199"/>
        <v>4065</v>
      </c>
      <c r="O313" s="175">
        <f t="shared" si="200"/>
        <v>33.875</v>
      </c>
      <c r="P313" s="175">
        <f t="shared" si="201"/>
        <v>406.5</v>
      </c>
      <c r="Q313" s="175">
        <f t="shared" si="191"/>
        <v>0</v>
      </c>
      <c r="R313" s="175">
        <f t="shared" si="192"/>
        <v>406.5</v>
      </c>
      <c r="S313" s="176">
        <v>1</v>
      </c>
      <c r="T313" s="175">
        <f t="shared" si="202"/>
        <v>406.5</v>
      </c>
      <c r="U313" s="175">
        <f t="shared" si="203"/>
        <v>237.12499999999807</v>
      </c>
      <c r="V313" s="175">
        <f t="shared" si="204"/>
        <v>237.12499999999807</v>
      </c>
      <c r="W313" s="176">
        <v>1</v>
      </c>
      <c r="X313" s="175">
        <f t="shared" si="205"/>
        <v>237.12499999999807</v>
      </c>
      <c r="Y313" s="175">
        <f t="shared" si="206"/>
        <v>643.62499999999807</v>
      </c>
      <c r="Z313" s="175">
        <f t="shared" si="207"/>
        <v>3624.6250000000018</v>
      </c>
      <c r="AA313" s="175">
        <f t="shared" si="184"/>
        <v>116.66666666666667</v>
      </c>
      <c r="AB313" s="175">
        <f t="shared" si="181"/>
        <v>118.25</v>
      </c>
      <c r="AC313" s="175">
        <f t="shared" si="185"/>
        <v>126.66666666666667</v>
      </c>
      <c r="AD313" s="175">
        <f t="shared" si="182"/>
        <v>117.25</v>
      </c>
      <c r="AE313" s="175">
        <f t="shared" si="186"/>
        <v>-8.3333333333333329E-2</v>
      </c>
      <c r="AF313" s="175">
        <f t="shared" si="208"/>
        <v>0</v>
      </c>
      <c r="AG313" s="166"/>
      <c r="AH313" s="166"/>
      <c r="AI313" s="166"/>
      <c r="AJ313" s="167"/>
      <c r="AK313" s="167"/>
    </row>
    <row r="314" spans="1:37">
      <c r="A314" s="163"/>
      <c r="B314" s="163" t="s">
        <v>881</v>
      </c>
      <c r="C314" s="295">
        <v>2016</v>
      </c>
      <c r="D314" s="163">
        <v>116</v>
      </c>
      <c r="E314" s="163">
        <v>9</v>
      </c>
      <c r="F314" s="178">
        <v>0</v>
      </c>
      <c r="G314" s="177" t="s">
        <v>491</v>
      </c>
      <c r="H314" s="163">
        <v>10</v>
      </c>
      <c r="I314" s="163">
        <f t="shared" si="187"/>
        <v>126</v>
      </c>
      <c r="L314" s="175">
        <v>4065</v>
      </c>
      <c r="M314" s="175">
        <v>0</v>
      </c>
      <c r="N314" s="175">
        <f t="shared" si="199"/>
        <v>4065</v>
      </c>
      <c r="O314" s="175">
        <f t="shared" si="200"/>
        <v>33.875</v>
      </c>
      <c r="P314" s="175">
        <f t="shared" si="201"/>
        <v>406.5</v>
      </c>
      <c r="Q314" s="175">
        <f t="shared" si="191"/>
        <v>0</v>
      </c>
      <c r="R314" s="175">
        <f t="shared" si="192"/>
        <v>406.5</v>
      </c>
      <c r="S314" s="176">
        <v>1</v>
      </c>
      <c r="T314" s="175">
        <f t="shared" si="202"/>
        <v>406.5</v>
      </c>
      <c r="U314" s="175">
        <f t="shared" si="203"/>
        <v>237.12499999999807</v>
      </c>
      <c r="V314" s="175">
        <f t="shared" si="204"/>
        <v>237.12499999999807</v>
      </c>
      <c r="W314" s="176">
        <v>1</v>
      </c>
      <c r="X314" s="175">
        <f t="shared" si="205"/>
        <v>237.12499999999807</v>
      </c>
      <c r="Y314" s="175">
        <f t="shared" si="206"/>
        <v>643.62499999999807</v>
      </c>
      <c r="Z314" s="175">
        <f t="shared" si="207"/>
        <v>3624.6250000000018</v>
      </c>
      <c r="AA314" s="175">
        <f t="shared" si="184"/>
        <v>116.66666666666667</v>
      </c>
      <c r="AB314" s="175">
        <f t="shared" si="181"/>
        <v>118.25</v>
      </c>
      <c r="AC314" s="175">
        <f t="shared" si="185"/>
        <v>126.66666666666667</v>
      </c>
      <c r="AD314" s="175">
        <f t="shared" si="182"/>
        <v>117.25</v>
      </c>
      <c r="AE314" s="175">
        <f t="shared" si="186"/>
        <v>-8.3333333333333329E-2</v>
      </c>
      <c r="AF314" s="175">
        <f t="shared" si="208"/>
        <v>0</v>
      </c>
      <c r="AG314" s="166"/>
      <c r="AH314" s="166"/>
      <c r="AI314" s="166"/>
      <c r="AJ314" s="167"/>
      <c r="AK314" s="167"/>
    </row>
    <row r="315" spans="1:37">
      <c r="A315" s="163"/>
      <c r="B315" s="163" t="s">
        <v>885</v>
      </c>
      <c r="C315" s="295">
        <v>2016</v>
      </c>
      <c r="D315" s="163">
        <v>116</v>
      </c>
      <c r="E315" s="163">
        <v>11</v>
      </c>
      <c r="F315" s="178">
        <v>0</v>
      </c>
      <c r="G315" s="177" t="s">
        <v>491</v>
      </c>
      <c r="H315" s="163">
        <v>10</v>
      </c>
      <c r="I315" s="163">
        <f t="shared" si="187"/>
        <v>126</v>
      </c>
      <c r="L315" s="175">
        <v>4769.6000000000004</v>
      </c>
      <c r="M315" s="175">
        <v>0</v>
      </c>
      <c r="N315" s="175">
        <f t="shared" si="199"/>
        <v>4769.6000000000004</v>
      </c>
      <c r="O315" s="175">
        <f t="shared" si="200"/>
        <v>39.74666666666667</v>
      </c>
      <c r="P315" s="175">
        <f t="shared" si="201"/>
        <v>476.96000000000004</v>
      </c>
      <c r="Q315" s="175">
        <f t="shared" si="191"/>
        <v>0</v>
      </c>
      <c r="R315" s="175">
        <f t="shared" si="192"/>
        <v>476.96000000000004</v>
      </c>
      <c r="S315" s="176">
        <v>1</v>
      </c>
      <c r="T315" s="175">
        <f t="shared" si="202"/>
        <v>476.96000000000004</v>
      </c>
      <c r="U315" s="175">
        <f t="shared" si="203"/>
        <v>198.73333333333559</v>
      </c>
      <c r="V315" s="175">
        <f t="shared" si="204"/>
        <v>198.73333333333559</v>
      </c>
      <c r="W315" s="176">
        <v>1</v>
      </c>
      <c r="X315" s="175">
        <f t="shared" si="205"/>
        <v>198.73333333333559</v>
      </c>
      <c r="Y315" s="175">
        <f t="shared" si="206"/>
        <v>675.69333333333566</v>
      </c>
      <c r="Z315" s="175">
        <f t="shared" si="207"/>
        <v>4332.3866666666645</v>
      </c>
      <c r="AA315" s="175">
        <f t="shared" si="184"/>
        <v>116.83333333333333</v>
      </c>
      <c r="AB315" s="175">
        <f t="shared" si="181"/>
        <v>118.25</v>
      </c>
      <c r="AC315" s="175">
        <f t="shared" si="185"/>
        <v>126.83333333333333</v>
      </c>
      <c r="AD315" s="175">
        <f t="shared" si="182"/>
        <v>117.25</v>
      </c>
      <c r="AE315" s="175">
        <f t="shared" si="186"/>
        <v>-8.3333333333333329E-2</v>
      </c>
      <c r="AF315" s="175">
        <f t="shared" si="208"/>
        <v>0</v>
      </c>
      <c r="AG315" s="166"/>
      <c r="AH315" s="166"/>
      <c r="AI315" s="166"/>
      <c r="AJ315" s="167"/>
      <c r="AK315" s="167"/>
    </row>
    <row r="316" spans="1:37">
      <c r="A316" s="163"/>
      <c r="B316" s="163" t="s">
        <v>881</v>
      </c>
      <c r="C316" s="295">
        <v>2016</v>
      </c>
      <c r="D316" s="163">
        <v>116</v>
      </c>
      <c r="E316" s="163">
        <v>12</v>
      </c>
      <c r="F316" s="178">
        <v>0</v>
      </c>
      <c r="G316" s="177" t="s">
        <v>491</v>
      </c>
      <c r="H316" s="163">
        <v>10</v>
      </c>
      <c r="I316" s="163">
        <f t="shared" si="187"/>
        <v>126</v>
      </c>
      <c r="L316" s="175">
        <v>4065</v>
      </c>
      <c r="M316" s="175">
        <v>0</v>
      </c>
      <c r="N316" s="175">
        <f t="shared" si="199"/>
        <v>4065</v>
      </c>
      <c r="O316" s="175">
        <f t="shared" si="200"/>
        <v>33.875</v>
      </c>
      <c r="P316" s="175">
        <f t="shared" si="201"/>
        <v>406.5</v>
      </c>
      <c r="Q316" s="175">
        <f t="shared" si="191"/>
        <v>0</v>
      </c>
      <c r="R316" s="175">
        <f t="shared" si="192"/>
        <v>406.5</v>
      </c>
      <c r="S316" s="176">
        <v>1</v>
      </c>
      <c r="T316" s="175">
        <f t="shared" si="202"/>
        <v>406.5</v>
      </c>
      <c r="U316" s="175">
        <f t="shared" si="203"/>
        <v>135.49999999999807</v>
      </c>
      <c r="V316" s="175">
        <f t="shared" si="204"/>
        <v>135.49999999999807</v>
      </c>
      <c r="W316" s="176">
        <v>1</v>
      </c>
      <c r="X316" s="175">
        <f t="shared" si="205"/>
        <v>135.49999999999807</v>
      </c>
      <c r="Y316" s="175">
        <f t="shared" si="206"/>
        <v>541.99999999999807</v>
      </c>
      <c r="Z316" s="175">
        <f t="shared" si="207"/>
        <v>3726.2500000000018</v>
      </c>
      <c r="AA316" s="175">
        <f t="shared" si="184"/>
        <v>116.91666666666667</v>
      </c>
      <c r="AB316" s="175">
        <f t="shared" si="181"/>
        <v>118.25</v>
      </c>
      <c r="AC316" s="175">
        <f t="shared" si="185"/>
        <v>126.91666666666667</v>
      </c>
      <c r="AD316" s="175">
        <f t="shared" si="182"/>
        <v>117.25</v>
      </c>
      <c r="AE316" s="175">
        <f t="shared" si="186"/>
        <v>-8.3333333333333329E-2</v>
      </c>
      <c r="AF316" s="175">
        <f t="shared" si="208"/>
        <v>0</v>
      </c>
      <c r="AG316" s="166"/>
      <c r="AH316" s="166"/>
      <c r="AI316" s="166"/>
      <c r="AJ316" s="167"/>
      <c r="AK316" s="167"/>
    </row>
    <row r="317" spans="1:37">
      <c r="A317" s="163"/>
      <c r="B317" s="163" t="s">
        <v>884</v>
      </c>
      <c r="C317" s="295">
        <v>2017</v>
      </c>
      <c r="D317" s="163">
        <v>117</v>
      </c>
      <c r="E317" s="163">
        <v>1</v>
      </c>
      <c r="F317" s="178">
        <v>0</v>
      </c>
      <c r="G317" s="177" t="s">
        <v>491</v>
      </c>
      <c r="H317" s="163">
        <v>10</v>
      </c>
      <c r="I317" s="163">
        <f t="shared" si="187"/>
        <v>127</v>
      </c>
      <c r="L317" s="175">
        <v>3338.72</v>
      </c>
      <c r="M317" s="175">
        <v>0</v>
      </c>
      <c r="N317" s="175">
        <f t="shared" si="199"/>
        <v>3338.72</v>
      </c>
      <c r="O317" s="175">
        <f t="shared" si="200"/>
        <v>27.822666666666663</v>
      </c>
      <c r="P317" s="175">
        <f t="shared" si="201"/>
        <v>333.87199999999996</v>
      </c>
      <c r="Q317" s="175">
        <f t="shared" si="191"/>
        <v>0</v>
      </c>
      <c r="R317" s="175">
        <f t="shared" si="192"/>
        <v>333.87199999999996</v>
      </c>
      <c r="S317" s="176">
        <v>1</v>
      </c>
      <c r="T317" s="175">
        <f t="shared" si="202"/>
        <v>333.87199999999996</v>
      </c>
      <c r="U317" s="175">
        <f t="shared" si="203"/>
        <v>83.467999999999989</v>
      </c>
      <c r="V317" s="175">
        <f t="shared" si="204"/>
        <v>83.467999999999989</v>
      </c>
      <c r="W317" s="176">
        <v>1</v>
      </c>
      <c r="X317" s="175">
        <f t="shared" si="205"/>
        <v>83.467999999999989</v>
      </c>
      <c r="Y317" s="175">
        <f t="shared" si="206"/>
        <v>417.33999999999992</v>
      </c>
      <c r="Z317" s="175">
        <f t="shared" si="207"/>
        <v>3088.3159999999998</v>
      </c>
      <c r="AA317" s="175">
        <f t="shared" si="184"/>
        <v>117</v>
      </c>
      <c r="AB317" s="175">
        <f t="shared" si="181"/>
        <v>118.25</v>
      </c>
      <c r="AC317" s="175">
        <f t="shared" si="185"/>
        <v>127</v>
      </c>
      <c r="AD317" s="175">
        <f t="shared" si="182"/>
        <v>117.25</v>
      </c>
      <c r="AE317" s="175">
        <f t="shared" si="186"/>
        <v>-8.3333333333333329E-2</v>
      </c>
      <c r="AF317" s="175">
        <f t="shared" si="208"/>
        <v>0</v>
      </c>
      <c r="AG317" s="166"/>
      <c r="AH317" s="166"/>
      <c r="AI317" s="166"/>
      <c r="AJ317" s="167"/>
      <c r="AK317" s="167"/>
    </row>
    <row r="318" spans="1:37">
      <c r="A318" s="163"/>
      <c r="B318" s="163" t="s">
        <v>883</v>
      </c>
      <c r="C318" s="295">
        <v>2017</v>
      </c>
      <c r="D318" s="163">
        <v>117</v>
      </c>
      <c r="E318" s="163">
        <v>2</v>
      </c>
      <c r="F318" s="178">
        <v>0</v>
      </c>
      <c r="G318" s="177" t="s">
        <v>491</v>
      </c>
      <c r="H318" s="163">
        <v>10</v>
      </c>
      <c r="I318" s="163">
        <f t="shared" si="187"/>
        <v>127</v>
      </c>
      <c r="L318" s="175">
        <v>2851.2</v>
      </c>
      <c r="M318" s="175">
        <v>0</v>
      </c>
      <c r="N318" s="175">
        <f t="shared" si="199"/>
        <v>2851.2</v>
      </c>
      <c r="O318" s="175">
        <f t="shared" si="200"/>
        <v>23.76</v>
      </c>
      <c r="P318" s="175">
        <f t="shared" si="201"/>
        <v>285.12</v>
      </c>
      <c r="Q318" s="175">
        <f t="shared" si="191"/>
        <v>0</v>
      </c>
      <c r="R318" s="175">
        <f t="shared" si="192"/>
        <v>285.12</v>
      </c>
      <c r="S318" s="176">
        <v>1</v>
      </c>
      <c r="T318" s="175">
        <f t="shared" si="202"/>
        <v>285.12</v>
      </c>
      <c r="U318" s="175">
        <f t="shared" si="203"/>
        <v>47.520000000001353</v>
      </c>
      <c r="V318" s="175">
        <f t="shared" si="204"/>
        <v>47.520000000001353</v>
      </c>
      <c r="W318" s="176">
        <v>1</v>
      </c>
      <c r="X318" s="175">
        <f t="shared" si="205"/>
        <v>47.520000000001353</v>
      </c>
      <c r="Y318" s="175">
        <f t="shared" si="206"/>
        <v>332.64000000000135</v>
      </c>
      <c r="Z318" s="175">
        <f t="shared" si="207"/>
        <v>2661.1199999999985</v>
      </c>
      <c r="AA318" s="175">
        <f t="shared" si="184"/>
        <v>117.08333333333333</v>
      </c>
      <c r="AB318" s="175">
        <f t="shared" si="181"/>
        <v>118.25</v>
      </c>
      <c r="AC318" s="175">
        <f t="shared" si="185"/>
        <v>127.08333333333333</v>
      </c>
      <c r="AD318" s="175">
        <f t="shared" si="182"/>
        <v>117.25</v>
      </c>
      <c r="AE318" s="175">
        <f t="shared" si="186"/>
        <v>-8.3333333333333329E-2</v>
      </c>
      <c r="AF318" s="175">
        <f t="shared" si="208"/>
        <v>0</v>
      </c>
      <c r="AG318" s="166"/>
      <c r="AH318" s="166"/>
      <c r="AI318" s="166"/>
      <c r="AJ318" s="167"/>
      <c r="AK318" s="167"/>
    </row>
    <row r="319" spans="1:37">
      <c r="A319" s="163"/>
      <c r="B319" s="163" t="s">
        <v>882</v>
      </c>
      <c r="C319" s="295">
        <v>2017</v>
      </c>
      <c r="D319" s="163">
        <v>117</v>
      </c>
      <c r="E319" s="163">
        <v>3</v>
      </c>
      <c r="F319" s="178">
        <v>0</v>
      </c>
      <c r="G319" s="177" t="s">
        <v>491</v>
      </c>
      <c r="H319" s="163">
        <v>10</v>
      </c>
      <c r="I319" s="163">
        <f t="shared" si="187"/>
        <v>127</v>
      </c>
      <c r="L319" s="175">
        <v>2551.7399999999998</v>
      </c>
      <c r="M319" s="175">
        <v>0</v>
      </c>
      <c r="N319" s="175">
        <f t="shared" si="199"/>
        <v>2551.7399999999998</v>
      </c>
      <c r="O319" s="175">
        <f t="shared" si="200"/>
        <v>21.264499999999998</v>
      </c>
      <c r="P319" s="175">
        <f t="shared" si="201"/>
        <v>255.17399999999998</v>
      </c>
      <c r="Q319" s="175">
        <f t="shared" si="191"/>
        <v>0</v>
      </c>
      <c r="R319" s="175">
        <f t="shared" si="192"/>
        <v>255.17399999999998</v>
      </c>
      <c r="S319" s="176">
        <v>1</v>
      </c>
      <c r="T319" s="175">
        <f t="shared" si="202"/>
        <v>255.17399999999998</v>
      </c>
      <c r="U319" s="175">
        <f t="shared" si="203"/>
        <v>21.26449999999879</v>
      </c>
      <c r="V319" s="175">
        <f t="shared" si="204"/>
        <v>21.26449999999879</v>
      </c>
      <c r="W319" s="176">
        <v>1</v>
      </c>
      <c r="X319" s="175">
        <f t="shared" si="205"/>
        <v>21.26449999999879</v>
      </c>
      <c r="Y319" s="175">
        <f t="shared" si="206"/>
        <v>276.43849999999878</v>
      </c>
      <c r="Z319" s="175">
        <f t="shared" si="207"/>
        <v>2402.8885000000009</v>
      </c>
      <c r="AA319" s="175">
        <f t="shared" si="184"/>
        <v>117.16666666666667</v>
      </c>
      <c r="AB319" s="175">
        <f t="shared" si="181"/>
        <v>118.25</v>
      </c>
      <c r="AC319" s="175">
        <f t="shared" si="185"/>
        <v>127.16666666666667</v>
      </c>
      <c r="AD319" s="175">
        <f t="shared" si="182"/>
        <v>117.25</v>
      </c>
      <c r="AE319" s="175">
        <f t="shared" si="186"/>
        <v>-8.3333333333333329E-2</v>
      </c>
      <c r="AF319" s="175">
        <f t="shared" si="208"/>
        <v>0</v>
      </c>
      <c r="AG319" s="166"/>
      <c r="AH319" s="166"/>
      <c r="AI319" s="166"/>
      <c r="AJ319" s="167"/>
      <c r="AK319" s="167"/>
    </row>
    <row r="320" spans="1:37">
      <c r="A320" s="163"/>
      <c r="B320" s="163" t="s">
        <v>882</v>
      </c>
      <c r="C320" s="295">
        <v>2017</v>
      </c>
      <c r="D320" s="163">
        <v>117</v>
      </c>
      <c r="E320" s="163">
        <v>3</v>
      </c>
      <c r="F320" s="178">
        <v>0</v>
      </c>
      <c r="G320" s="177" t="s">
        <v>491</v>
      </c>
      <c r="H320" s="163">
        <v>10</v>
      </c>
      <c r="I320" s="163">
        <f t="shared" si="187"/>
        <v>127</v>
      </c>
      <c r="L320" s="175">
        <v>3252</v>
      </c>
      <c r="M320" s="175">
        <v>0</v>
      </c>
      <c r="N320" s="175">
        <f t="shared" si="199"/>
        <v>3252</v>
      </c>
      <c r="O320" s="175">
        <f t="shared" si="200"/>
        <v>27.099999999999998</v>
      </c>
      <c r="P320" s="175">
        <f t="shared" si="201"/>
        <v>325.2</v>
      </c>
      <c r="Q320" s="175">
        <f t="shared" si="191"/>
        <v>0</v>
      </c>
      <c r="R320" s="175">
        <f t="shared" si="192"/>
        <v>325.2</v>
      </c>
      <c r="S320" s="176">
        <v>1</v>
      </c>
      <c r="T320" s="175">
        <f t="shared" si="202"/>
        <v>325.2</v>
      </c>
      <c r="U320" s="175">
        <f t="shared" si="203"/>
        <v>27.099999999998456</v>
      </c>
      <c r="V320" s="175">
        <f t="shared" si="204"/>
        <v>27.099999999998456</v>
      </c>
      <c r="W320" s="176">
        <v>1</v>
      </c>
      <c r="X320" s="175">
        <f t="shared" si="205"/>
        <v>27.099999999998456</v>
      </c>
      <c r="Y320" s="175">
        <f t="shared" si="206"/>
        <v>352.29999999999842</v>
      </c>
      <c r="Z320" s="175">
        <f t="shared" si="207"/>
        <v>3062.3000000000015</v>
      </c>
      <c r="AA320" s="175">
        <f t="shared" si="184"/>
        <v>117.16666666666667</v>
      </c>
      <c r="AB320" s="175">
        <f t="shared" ref="AB320:AB330" si="209">($B$10+1)-($B$7/12)</f>
        <v>118.25</v>
      </c>
      <c r="AC320" s="175">
        <f t="shared" si="185"/>
        <v>127.16666666666667</v>
      </c>
      <c r="AD320" s="175">
        <f t="shared" ref="AD320:AD330" si="210">$B$9+($B$8/12)</f>
        <v>117.25</v>
      </c>
      <c r="AE320" s="175">
        <f t="shared" si="186"/>
        <v>-8.3333333333333329E-2</v>
      </c>
      <c r="AF320" s="175">
        <f t="shared" si="208"/>
        <v>0</v>
      </c>
      <c r="AG320" s="166"/>
      <c r="AH320" s="166"/>
      <c r="AI320" s="166"/>
      <c r="AJ320" s="167"/>
      <c r="AK320" s="167"/>
    </row>
    <row r="321" spans="1:37">
      <c r="A321" s="163"/>
      <c r="B321" s="163" t="s">
        <v>881</v>
      </c>
      <c r="C321" s="295">
        <v>2017</v>
      </c>
      <c r="D321" s="163">
        <v>117</v>
      </c>
      <c r="E321" s="163">
        <v>4</v>
      </c>
      <c r="F321" s="178">
        <v>0</v>
      </c>
      <c r="G321" s="177" t="s">
        <v>491</v>
      </c>
      <c r="H321" s="163">
        <v>10</v>
      </c>
      <c r="I321" s="163">
        <f t="shared" si="187"/>
        <v>127</v>
      </c>
      <c r="L321" s="175">
        <v>4065</v>
      </c>
      <c r="M321" s="175">
        <v>0</v>
      </c>
      <c r="N321" s="175">
        <f t="shared" si="199"/>
        <v>4065</v>
      </c>
      <c r="O321" s="175">
        <f t="shared" si="200"/>
        <v>33.875</v>
      </c>
      <c r="P321" s="175">
        <f t="shared" si="201"/>
        <v>406.5</v>
      </c>
      <c r="Q321" s="175">
        <f t="shared" si="191"/>
        <v>0</v>
      </c>
      <c r="R321" s="175">
        <f t="shared" si="192"/>
        <v>406.5</v>
      </c>
      <c r="S321" s="176">
        <v>1</v>
      </c>
      <c r="T321" s="175">
        <f t="shared" si="202"/>
        <v>406.5</v>
      </c>
      <c r="U321" s="175">
        <f t="shared" si="203"/>
        <v>0</v>
      </c>
      <c r="V321" s="175">
        <f t="shared" si="204"/>
        <v>0</v>
      </c>
      <c r="W321" s="176">
        <v>1</v>
      </c>
      <c r="X321" s="175">
        <f t="shared" si="205"/>
        <v>0</v>
      </c>
      <c r="Y321" s="175">
        <f t="shared" si="206"/>
        <v>406.5</v>
      </c>
      <c r="Z321" s="175">
        <f t="shared" si="207"/>
        <v>3861.75</v>
      </c>
      <c r="AA321" s="175">
        <f t="shared" si="184"/>
        <v>117.25</v>
      </c>
      <c r="AB321" s="175">
        <f t="shared" si="209"/>
        <v>118.25</v>
      </c>
      <c r="AC321" s="175">
        <f t="shared" si="185"/>
        <v>127.25</v>
      </c>
      <c r="AD321" s="175">
        <f t="shared" si="210"/>
        <v>117.25</v>
      </c>
      <c r="AE321" s="175">
        <f t="shared" si="186"/>
        <v>-8.3333333333333329E-2</v>
      </c>
      <c r="AF321" s="175">
        <f t="shared" si="208"/>
        <v>0</v>
      </c>
      <c r="AG321" s="166"/>
      <c r="AH321" s="166"/>
      <c r="AI321" s="166"/>
      <c r="AJ321" s="167"/>
      <c r="AK321" s="167"/>
    </row>
    <row r="322" spans="1:37">
      <c r="A322" s="163"/>
      <c r="B322" s="163" t="s">
        <v>880</v>
      </c>
      <c r="C322" s="295">
        <v>2017</v>
      </c>
      <c r="D322" s="163">
        <v>117</v>
      </c>
      <c r="E322" s="163">
        <v>4</v>
      </c>
      <c r="F322" s="178">
        <v>0</v>
      </c>
      <c r="G322" s="177" t="s">
        <v>491</v>
      </c>
      <c r="H322" s="163">
        <v>10</v>
      </c>
      <c r="I322" s="163">
        <f t="shared" si="187"/>
        <v>127</v>
      </c>
      <c r="L322" s="175">
        <v>3486.14</v>
      </c>
      <c r="M322" s="175">
        <v>0</v>
      </c>
      <c r="N322" s="175">
        <f t="shared" si="199"/>
        <v>3486.14</v>
      </c>
      <c r="O322" s="175">
        <f t="shared" si="200"/>
        <v>29.051166666666663</v>
      </c>
      <c r="P322" s="175">
        <f t="shared" si="201"/>
        <v>348.61399999999998</v>
      </c>
      <c r="Q322" s="175">
        <f t="shared" si="191"/>
        <v>0</v>
      </c>
      <c r="R322" s="175">
        <f t="shared" si="192"/>
        <v>348.61399999999998</v>
      </c>
      <c r="S322" s="176">
        <v>1</v>
      </c>
      <c r="T322" s="175">
        <f t="shared" si="202"/>
        <v>348.61399999999998</v>
      </c>
      <c r="U322" s="175">
        <f t="shared" si="203"/>
        <v>0</v>
      </c>
      <c r="V322" s="175">
        <f t="shared" si="204"/>
        <v>0</v>
      </c>
      <c r="W322" s="176">
        <v>1</v>
      </c>
      <c r="X322" s="175">
        <f t="shared" si="205"/>
        <v>0</v>
      </c>
      <c r="Y322" s="175">
        <f t="shared" si="206"/>
        <v>348.61399999999998</v>
      </c>
      <c r="Z322" s="175">
        <f t="shared" si="207"/>
        <v>3311.8330000000001</v>
      </c>
      <c r="AA322" s="175">
        <f t="shared" si="184"/>
        <v>117.25</v>
      </c>
      <c r="AB322" s="175">
        <f t="shared" si="209"/>
        <v>118.25</v>
      </c>
      <c r="AC322" s="175">
        <f t="shared" si="185"/>
        <v>127.25</v>
      </c>
      <c r="AD322" s="175">
        <f t="shared" si="210"/>
        <v>117.25</v>
      </c>
      <c r="AE322" s="175">
        <f t="shared" si="186"/>
        <v>-8.3333333333333329E-2</v>
      </c>
      <c r="AF322" s="175">
        <f t="shared" si="208"/>
        <v>0</v>
      </c>
      <c r="AG322" s="166"/>
      <c r="AH322" s="166"/>
      <c r="AI322" s="166"/>
      <c r="AJ322" s="167"/>
      <c r="AK322" s="167"/>
    </row>
    <row r="323" spans="1:37">
      <c r="A323" s="163"/>
      <c r="B323" s="163" t="s">
        <v>879</v>
      </c>
      <c r="C323" s="295">
        <v>2017</v>
      </c>
      <c r="D323" s="163">
        <v>117</v>
      </c>
      <c r="E323" s="163">
        <v>6</v>
      </c>
      <c r="F323" s="178">
        <v>0</v>
      </c>
      <c r="G323" s="177" t="s">
        <v>491</v>
      </c>
      <c r="H323" s="163">
        <v>10</v>
      </c>
      <c r="I323" s="163">
        <f t="shared" si="187"/>
        <v>127</v>
      </c>
      <c r="L323" s="175">
        <v>4471.5</v>
      </c>
      <c r="M323" s="175">
        <v>0</v>
      </c>
      <c r="N323" s="175">
        <f t="shared" si="199"/>
        <v>4471.5</v>
      </c>
      <c r="O323" s="175">
        <f t="shared" si="200"/>
        <v>37.262499999999996</v>
      </c>
      <c r="P323" s="175">
        <f t="shared" si="201"/>
        <v>372.62499999999784</v>
      </c>
      <c r="Q323" s="175">
        <f t="shared" si="191"/>
        <v>0</v>
      </c>
      <c r="R323" s="175">
        <f t="shared" si="192"/>
        <v>372.62499999999784</v>
      </c>
      <c r="S323" s="176">
        <v>1</v>
      </c>
      <c r="T323" s="175">
        <f t="shared" si="202"/>
        <v>372.62499999999784</v>
      </c>
      <c r="U323" s="175">
        <f t="shared" si="203"/>
        <v>0</v>
      </c>
      <c r="V323" s="175">
        <f t="shared" si="204"/>
        <v>0</v>
      </c>
      <c r="W323" s="176">
        <v>1</v>
      </c>
      <c r="X323" s="175">
        <f t="shared" si="205"/>
        <v>0</v>
      </c>
      <c r="Y323" s="175">
        <f t="shared" si="206"/>
        <v>372.62499999999784</v>
      </c>
      <c r="Z323" s="175">
        <f t="shared" si="207"/>
        <v>4285.1875000000009</v>
      </c>
      <c r="AA323" s="175">
        <f t="shared" si="184"/>
        <v>117.41666666666667</v>
      </c>
      <c r="AB323" s="175">
        <f t="shared" si="209"/>
        <v>118.25</v>
      </c>
      <c r="AC323" s="175">
        <f t="shared" si="185"/>
        <v>127.41666666666667</v>
      </c>
      <c r="AD323" s="175">
        <f t="shared" si="210"/>
        <v>117.25</v>
      </c>
      <c r="AE323" s="175">
        <f t="shared" si="186"/>
        <v>-8.3333333333333329E-2</v>
      </c>
      <c r="AF323" s="175">
        <f t="shared" si="208"/>
        <v>0</v>
      </c>
      <c r="AG323" s="166"/>
      <c r="AH323" s="166"/>
      <c r="AI323" s="166"/>
      <c r="AJ323" s="167"/>
      <c r="AK323" s="167"/>
    </row>
    <row r="324" spans="1:37">
      <c r="A324" s="163"/>
      <c r="B324" s="163" t="s">
        <v>878</v>
      </c>
      <c r="C324" s="295">
        <v>2017</v>
      </c>
      <c r="D324" s="163">
        <v>117</v>
      </c>
      <c r="E324" s="163">
        <v>6</v>
      </c>
      <c r="F324" s="178">
        <v>0</v>
      </c>
      <c r="G324" s="177" t="s">
        <v>491</v>
      </c>
      <c r="H324" s="163">
        <v>10</v>
      </c>
      <c r="I324" s="163">
        <f t="shared" si="187"/>
        <v>127</v>
      </c>
      <c r="L324" s="175">
        <v>5001.3999999999996</v>
      </c>
      <c r="M324" s="175">
        <v>0</v>
      </c>
      <c r="N324" s="175">
        <f t="shared" si="199"/>
        <v>5001.3999999999996</v>
      </c>
      <c r="O324" s="175">
        <f t="shared" si="200"/>
        <v>41.678333333333335</v>
      </c>
      <c r="P324" s="175">
        <f t="shared" si="201"/>
        <v>416.78333333333097</v>
      </c>
      <c r="Q324" s="175">
        <f t="shared" si="191"/>
        <v>0</v>
      </c>
      <c r="R324" s="175">
        <f t="shared" si="192"/>
        <v>416.78333333333097</v>
      </c>
      <c r="S324" s="176">
        <v>1</v>
      </c>
      <c r="T324" s="175">
        <f t="shared" si="202"/>
        <v>416.78333333333097</v>
      </c>
      <c r="U324" s="175">
        <f t="shared" si="203"/>
        <v>0</v>
      </c>
      <c r="V324" s="175">
        <f t="shared" si="204"/>
        <v>0</v>
      </c>
      <c r="W324" s="176">
        <v>1</v>
      </c>
      <c r="X324" s="175">
        <f t="shared" si="205"/>
        <v>0</v>
      </c>
      <c r="Y324" s="175">
        <f t="shared" si="206"/>
        <v>416.78333333333097</v>
      </c>
      <c r="Z324" s="175">
        <f t="shared" si="207"/>
        <v>4793.0083333333341</v>
      </c>
      <c r="AA324" s="175">
        <f t="shared" si="184"/>
        <v>117.41666666666667</v>
      </c>
      <c r="AB324" s="175">
        <f t="shared" si="209"/>
        <v>118.25</v>
      </c>
      <c r="AC324" s="175">
        <f t="shared" si="185"/>
        <v>127.41666666666667</v>
      </c>
      <c r="AD324" s="175">
        <f t="shared" si="210"/>
        <v>117.25</v>
      </c>
      <c r="AE324" s="175">
        <f t="shared" si="186"/>
        <v>-8.3333333333333329E-2</v>
      </c>
      <c r="AF324" s="175">
        <f t="shared" si="208"/>
        <v>0</v>
      </c>
      <c r="AG324" s="166"/>
      <c r="AH324" s="166"/>
      <c r="AI324" s="166"/>
      <c r="AJ324" s="167"/>
      <c r="AK324" s="167"/>
    </row>
    <row r="325" spans="1:37">
      <c r="A325" s="163"/>
      <c r="B325" s="163" t="s">
        <v>877</v>
      </c>
      <c r="C325" s="295">
        <v>2017</v>
      </c>
      <c r="D325" s="163">
        <v>117</v>
      </c>
      <c r="E325" s="163">
        <v>7</v>
      </c>
      <c r="F325" s="178">
        <v>0</v>
      </c>
      <c r="G325" s="177" t="s">
        <v>491</v>
      </c>
      <c r="H325" s="163">
        <v>10</v>
      </c>
      <c r="I325" s="163">
        <f t="shared" si="187"/>
        <v>127</v>
      </c>
      <c r="L325" s="175">
        <v>5205.54</v>
      </c>
      <c r="M325" s="175">
        <v>0</v>
      </c>
      <c r="N325" s="175">
        <f t="shared" si="199"/>
        <v>5205.54</v>
      </c>
      <c r="O325" s="175">
        <f t="shared" si="200"/>
        <v>43.3795</v>
      </c>
      <c r="P325" s="175">
        <f t="shared" si="201"/>
        <v>390.41550000000001</v>
      </c>
      <c r="Q325" s="175">
        <f t="shared" si="191"/>
        <v>0</v>
      </c>
      <c r="R325" s="175">
        <f t="shared" si="192"/>
        <v>390.41550000000001</v>
      </c>
      <c r="S325" s="176">
        <v>1</v>
      </c>
      <c r="T325" s="175">
        <f t="shared" si="202"/>
        <v>390.41550000000001</v>
      </c>
      <c r="U325" s="175">
        <f t="shared" si="203"/>
        <v>0</v>
      </c>
      <c r="V325" s="175">
        <f t="shared" si="204"/>
        <v>0</v>
      </c>
      <c r="W325" s="176">
        <v>1</v>
      </c>
      <c r="X325" s="175">
        <f t="shared" si="205"/>
        <v>0</v>
      </c>
      <c r="Y325" s="175">
        <f t="shared" si="206"/>
        <v>390.41550000000001</v>
      </c>
      <c r="Z325" s="175">
        <f t="shared" si="207"/>
        <v>5010.3322500000004</v>
      </c>
      <c r="AA325" s="175">
        <f t="shared" ref="AA325:AA330" si="211">$D325+(($E325-1)/12)</f>
        <v>117.5</v>
      </c>
      <c r="AB325" s="175">
        <f t="shared" si="209"/>
        <v>118.25</v>
      </c>
      <c r="AC325" s="175">
        <f t="shared" ref="AC325:AC330" si="212">$I325+(($E325-1)/12)</f>
        <v>127.5</v>
      </c>
      <c r="AD325" s="175">
        <f t="shared" si="210"/>
        <v>117.25</v>
      </c>
      <c r="AE325" s="175">
        <f t="shared" ref="AE325:AE330" si="213">$J325+(($K325-1)/12)</f>
        <v>-8.3333333333333329E-2</v>
      </c>
      <c r="AF325" s="175">
        <f t="shared" si="208"/>
        <v>0</v>
      </c>
      <c r="AG325" s="166"/>
      <c r="AH325" s="166"/>
      <c r="AI325" s="166"/>
      <c r="AJ325" s="167"/>
      <c r="AK325" s="167"/>
    </row>
    <row r="326" spans="1:37">
      <c r="A326" s="163"/>
      <c r="B326" s="163" t="s">
        <v>876</v>
      </c>
      <c r="C326" s="295">
        <v>2017</v>
      </c>
      <c r="D326" s="163">
        <v>117</v>
      </c>
      <c r="E326" s="163">
        <v>7</v>
      </c>
      <c r="F326" s="178">
        <v>0</v>
      </c>
      <c r="G326" s="177" t="s">
        <v>491</v>
      </c>
      <c r="H326" s="163">
        <v>10</v>
      </c>
      <c r="I326" s="163">
        <f t="shared" si="187"/>
        <v>127</v>
      </c>
      <c r="L326" s="175">
        <v>2926.8</v>
      </c>
      <c r="M326" s="175">
        <v>0</v>
      </c>
      <c r="N326" s="175">
        <f t="shared" si="199"/>
        <v>2926.8</v>
      </c>
      <c r="O326" s="175">
        <f t="shared" si="200"/>
        <v>24.39</v>
      </c>
      <c r="P326" s="175">
        <f t="shared" si="201"/>
        <v>219.51</v>
      </c>
      <c r="Q326" s="175">
        <f t="shared" si="191"/>
        <v>0</v>
      </c>
      <c r="R326" s="175">
        <f t="shared" si="192"/>
        <v>219.51</v>
      </c>
      <c r="S326" s="176">
        <v>1</v>
      </c>
      <c r="T326" s="175">
        <f t="shared" si="202"/>
        <v>219.51</v>
      </c>
      <c r="U326" s="175">
        <f t="shared" si="203"/>
        <v>0</v>
      </c>
      <c r="V326" s="175">
        <f t="shared" si="204"/>
        <v>0</v>
      </c>
      <c r="W326" s="176">
        <v>1</v>
      </c>
      <c r="X326" s="175">
        <f t="shared" si="205"/>
        <v>0</v>
      </c>
      <c r="Y326" s="175">
        <f t="shared" si="206"/>
        <v>219.51</v>
      </c>
      <c r="Z326" s="175">
        <f t="shared" si="207"/>
        <v>2817.0450000000001</v>
      </c>
      <c r="AA326" s="175">
        <f t="shared" si="211"/>
        <v>117.5</v>
      </c>
      <c r="AB326" s="175">
        <f t="shared" si="209"/>
        <v>118.25</v>
      </c>
      <c r="AC326" s="175">
        <f t="shared" si="212"/>
        <v>127.5</v>
      </c>
      <c r="AD326" s="175">
        <f t="shared" si="210"/>
        <v>117.25</v>
      </c>
      <c r="AE326" s="175">
        <f t="shared" si="213"/>
        <v>-8.3333333333333329E-2</v>
      </c>
      <c r="AF326" s="175">
        <f t="shared" si="208"/>
        <v>0</v>
      </c>
      <c r="AG326" s="166"/>
      <c r="AH326" s="166"/>
      <c r="AI326" s="166"/>
      <c r="AJ326" s="167"/>
      <c r="AK326" s="167"/>
    </row>
    <row r="327" spans="1:37">
      <c r="A327" s="163"/>
      <c r="B327" s="163" t="s">
        <v>875</v>
      </c>
      <c r="C327" s="295">
        <v>2017</v>
      </c>
      <c r="D327" s="163">
        <v>117</v>
      </c>
      <c r="E327" s="163">
        <v>8</v>
      </c>
      <c r="F327" s="178">
        <v>0</v>
      </c>
      <c r="G327" s="177" t="s">
        <v>491</v>
      </c>
      <c r="H327" s="163">
        <v>10</v>
      </c>
      <c r="I327" s="163">
        <f t="shared" si="187"/>
        <v>127</v>
      </c>
      <c r="L327" s="175">
        <v>2960.01</v>
      </c>
      <c r="M327" s="175">
        <v>0</v>
      </c>
      <c r="N327" s="175">
        <f t="shared" si="199"/>
        <v>2960.01</v>
      </c>
      <c r="O327" s="175">
        <f t="shared" si="200"/>
        <v>24.666750000000004</v>
      </c>
      <c r="P327" s="175">
        <f t="shared" si="201"/>
        <v>197.33400000000142</v>
      </c>
      <c r="Q327" s="175">
        <f t="shared" si="191"/>
        <v>0</v>
      </c>
      <c r="R327" s="175">
        <f t="shared" si="192"/>
        <v>197.33400000000142</v>
      </c>
      <c r="S327" s="176">
        <v>1</v>
      </c>
      <c r="T327" s="175">
        <f t="shared" si="202"/>
        <v>197.33400000000142</v>
      </c>
      <c r="U327" s="175">
        <f t="shared" si="203"/>
        <v>0</v>
      </c>
      <c r="V327" s="175">
        <f t="shared" si="204"/>
        <v>0</v>
      </c>
      <c r="W327" s="176">
        <v>1</v>
      </c>
      <c r="X327" s="175">
        <f t="shared" si="205"/>
        <v>0</v>
      </c>
      <c r="Y327" s="175">
        <f t="shared" si="206"/>
        <v>197.33400000000142</v>
      </c>
      <c r="Z327" s="175">
        <f t="shared" si="207"/>
        <v>2861.3429999999994</v>
      </c>
      <c r="AA327" s="175">
        <f t="shared" si="211"/>
        <v>117.58333333333333</v>
      </c>
      <c r="AB327" s="175">
        <f t="shared" si="209"/>
        <v>118.25</v>
      </c>
      <c r="AC327" s="175">
        <f t="shared" si="212"/>
        <v>127.58333333333333</v>
      </c>
      <c r="AD327" s="175">
        <f t="shared" si="210"/>
        <v>117.25</v>
      </c>
      <c r="AE327" s="175">
        <f t="shared" si="213"/>
        <v>-8.3333333333333329E-2</v>
      </c>
      <c r="AF327" s="175">
        <f t="shared" si="208"/>
        <v>0</v>
      </c>
      <c r="AG327" s="166"/>
      <c r="AH327" s="166"/>
      <c r="AI327" s="166"/>
      <c r="AJ327" s="167"/>
      <c r="AK327" s="167"/>
    </row>
    <row r="328" spans="1:37">
      <c r="A328" s="163"/>
      <c r="B328" s="163" t="s">
        <v>874</v>
      </c>
      <c r="C328" s="295">
        <v>2017</v>
      </c>
      <c r="D328" s="163">
        <v>117</v>
      </c>
      <c r="E328" s="163">
        <v>9</v>
      </c>
      <c r="F328" s="178">
        <v>0</v>
      </c>
      <c r="G328" s="177" t="s">
        <v>491</v>
      </c>
      <c r="H328" s="163">
        <v>10</v>
      </c>
      <c r="I328" s="163">
        <f t="shared" si="187"/>
        <v>127</v>
      </c>
      <c r="L328" s="175">
        <v>2551.7399999999998</v>
      </c>
      <c r="M328" s="175">
        <v>0</v>
      </c>
      <c r="N328" s="175">
        <f t="shared" si="199"/>
        <v>2551.7399999999998</v>
      </c>
      <c r="O328" s="175">
        <f t="shared" si="200"/>
        <v>21.264499999999998</v>
      </c>
      <c r="P328" s="175">
        <f t="shared" si="201"/>
        <v>148.85149999999877</v>
      </c>
      <c r="Q328" s="175">
        <f t="shared" si="191"/>
        <v>0</v>
      </c>
      <c r="R328" s="175">
        <f t="shared" si="192"/>
        <v>148.85149999999877</v>
      </c>
      <c r="S328" s="176">
        <v>1</v>
      </c>
      <c r="T328" s="175">
        <f t="shared" si="202"/>
        <v>148.85149999999877</v>
      </c>
      <c r="U328" s="175">
        <f t="shared" si="203"/>
        <v>0</v>
      </c>
      <c r="V328" s="175">
        <f t="shared" si="204"/>
        <v>0</v>
      </c>
      <c r="W328" s="176">
        <v>1</v>
      </c>
      <c r="X328" s="175">
        <f t="shared" si="205"/>
        <v>0</v>
      </c>
      <c r="Y328" s="175">
        <f t="shared" si="206"/>
        <v>148.85149999999877</v>
      </c>
      <c r="Z328" s="175">
        <f t="shared" si="207"/>
        <v>2477.3142500000004</v>
      </c>
      <c r="AA328" s="175">
        <f t="shared" si="211"/>
        <v>117.66666666666667</v>
      </c>
      <c r="AB328" s="175">
        <f t="shared" si="209"/>
        <v>118.25</v>
      </c>
      <c r="AC328" s="175">
        <f t="shared" si="212"/>
        <v>127.66666666666667</v>
      </c>
      <c r="AD328" s="175">
        <f t="shared" si="210"/>
        <v>117.25</v>
      </c>
      <c r="AE328" s="175">
        <f t="shared" si="213"/>
        <v>-8.3333333333333329E-2</v>
      </c>
      <c r="AF328" s="175">
        <f t="shared" si="208"/>
        <v>0</v>
      </c>
      <c r="AG328" s="166"/>
      <c r="AH328" s="166"/>
      <c r="AI328" s="166"/>
      <c r="AJ328" s="167"/>
      <c r="AK328" s="167"/>
    </row>
    <row r="329" spans="1:37">
      <c r="A329" s="163"/>
      <c r="B329" s="163" t="s">
        <v>873</v>
      </c>
      <c r="C329" s="295">
        <v>2017</v>
      </c>
      <c r="D329" s="163">
        <v>117</v>
      </c>
      <c r="E329" s="163">
        <v>10</v>
      </c>
      <c r="F329" s="178">
        <v>0</v>
      </c>
      <c r="G329" s="177" t="s">
        <v>491</v>
      </c>
      <c r="H329" s="163">
        <v>10</v>
      </c>
      <c r="I329" s="163">
        <f t="shared" si="187"/>
        <v>127</v>
      </c>
      <c r="L329" s="175">
        <v>7961.42</v>
      </c>
      <c r="M329" s="175">
        <v>0</v>
      </c>
      <c r="N329" s="175">
        <f t="shared" si="199"/>
        <v>7961.42</v>
      </c>
      <c r="O329" s="175">
        <f t="shared" si="200"/>
        <v>66.345166666666671</v>
      </c>
      <c r="P329" s="175">
        <f t="shared" si="201"/>
        <v>398.07100000000003</v>
      </c>
      <c r="Q329" s="175">
        <f t="shared" si="191"/>
        <v>0</v>
      </c>
      <c r="R329" s="175">
        <f t="shared" si="192"/>
        <v>398.07100000000003</v>
      </c>
      <c r="S329" s="176">
        <v>1</v>
      </c>
      <c r="T329" s="175">
        <f t="shared" si="202"/>
        <v>398.07100000000003</v>
      </c>
      <c r="U329" s="175">
        <f t="shared" si="203"/>
        <v>0</v>
      </c>
      <c r="V329" s="175">
        <f t="shared" si="204"/>
        <v>0</v>
      </c>
      <c r="W329" s="176">
        <v>1</v>
      </c>
      <c r="X329" s="175">
        <f t="shared" si="205"/>
        <v>0</v>
      </c>
      <c r="Y329" s="175">
        <f t="shared" si="206"/>
        <v>398.07100000000003</v>
      </c>
      <c r="Z329" s="175">
        <f t="shared" si="207"/>
        <v>7762.3845000000001</v>
      </c>
      <c r="AA329" s="175">
        <f t="shared" si="211"/>
        <v>117.75</v>
      </c>
      <c r="AB329" s="175">
        <f t="shared" si="209"/>
        <v>118.25</v>
      </c>
      <c r="AC329" s="175">
        <f t="shared" si="212"/>
        <v>127.75</v>
      </c>
      <c r="AD329" s="175">
        <f t="shared" si="210"/>
        <v>117.25</v>
      </c>
      <c r="AE329" s="175">
        <f t="shared" si="213"/>
        <v>-8.3333333333333329E-2</v>
      </c>
      <c r="AF329" s="175">
        <f t="shared" si="208"/>
        <v>0</v>
      </c>
      <c r="AG329" s="166"/>
      <c r="AH329" s="166"/>
      <c r="AI329" s="166"/>
      <c r="AJ329" s="167"/>
      <c r="AK329" s="167"/>
    </row>
    <row r="330" spans="1:37">
      <c r="A330" s="163"/>
      <c r="B330" s="163" t="s">
        <v>872</v>
      </c>
      <c r="C330" s="295">
        <v>2017</v>
      </c>
      <c r="D330" s="163">
        <v>117</v>
      </c>
      <c r="E330" s="163">
        <v>12</v>
      </c>
      <c r="F330" s="178">
        <v>0</v>
      </c>
      <c r="G330" s="177" t="s">
        <v>491</v>
      </c>
      <c r="H330" s="163">
        <v>10</v>
      </c>
      <c r="I330" s="163">
        <f t="shared" si="187"/>
        <v>127</v>
      </c>
      <c r="L330" s="175">
        <v>4697.51</v>
      </c>
      <c r="M330" s="175">
        <v>0</v>
      </c>
      <c r="N330" s="175">
        <f t="shared" si="199"/>
        <v>4697.51</v>
      </c>
      <c r="O330" s="175">
        <f t="shared" si="200"/>
        <v>39.145916666666672</v>
      </c>
      <c r="P330" s="175">
        <f t="shared" si="201"/>
        <v>156.58366666666447</v>
      </c>
      <c r="Q330" s="175">
        <f t="shared" si="191"/>
        <v>0</v>
      </c>
      <c r="R330" s="175">
        <f t="shared" si="192"/>
        <v>156.58366666666447</v>
      </c>
      <c r="S330" s="176">
        <v>1</v>
      </c>
      <c r="T330" s="175">
        <f t="shared" si="202"/>
        <v>156.58366666666447</v>
      </c>
      <c r="U330" s="175">
        <f t="shared" si="203"/>
        <v>0</v>
      </c>
      <c r="V330" s="175">
        <f t="shared" si="204"/>
        <v>0</v>
      </c>
      <c r="W330" s="176">
        <v>1</v>
      </c>
      <c r="X330" s="175">
        <f t="shared" si="205"/>
        <v>0</v>
      </c>
      <c r="Y330" s="175">
        <f t="shared" si="206"/>
        <v>156.58366666666447</v>
      </c>
      <c r="Z330" s="175">
        <f t="shared" si="207"/>
        <v>4619.2181666666684</v>
      </c>
      <c r="AA330" s="175">
        <f t="shared" si="211"/>
        <v>117.91666666666667</v>
      </c>
      <c r="AB330" s="175">
        <f t="shared" si="209"/>
        <v>118.25</v>
      </c>
      <c r="AC330" s="175">
        <f t="shared" si="212"/>
        <v>127.91666666666667</v>
      </c>
      <c r="AD330" s="175">
        <f t="shared" si="210"/>
        <v>117.25</v>
      </c>
      <c r="AE330" s="175">
        <f t="shared" si="213"/>
        <v>-8.3333333333333329E-2</v>
      </c>
      <c r="AF330" s="175">
        <f>L330-((X330+Y330)/2)-Z330</f>
        <v>0</v>
      </c>
      <c r="AG330" s="166"/>
      <c r="AH330" s="166"/>
      <c r="AI330" s="166"/>
      <c r="AJ330" s="167"/>
      <c r="AK330" s="167"/>
    </row>
    <row r="331" spans="1:37">
      <c r="A331" s="163"/>
      <c r="C331" s="295"/>
      <c r="F331" s="178"/>
      <c r="G331" s="177"/>
      <c r="L331" s="184"/>
      <c r="M331" s="175"/>
      <c r="N331" s="184"/>
      <c r="O331" s="184"/>
      <c r="P331" s="184"/>
      <c r="Q331" s="184"/>
      <c r="R331" s="184"/>
      <c r="S331" s="176"/>
      <c r="T331" s="184"/>
      <c r="U331" s="184"/>
      <c r="V331" s="184"/>
      <c r="W331" s="176"/>
      <c r="X331" s="184"/>
      <c r="Y331" s="184"/>
      <c r="Z331" s="184"/>
      <c r="AA331" s="175"/>
      <c r="AB331" s="175"/>
      <c r="AC331" s="175"/>
      <c r="AD331" s="175"/>
      <c r="AE331" s="175"/>
      <c r="AF331" s="184"/>
      <c r="AG331" s="166"/>
      <c r="AH331" s="166"/>
      <c r="AI331" s="166"/>
      <c r="AJ331" s="167"/>
      <c r="AK331" s="167"/>
    </row>
    <row r="332" spans="1:37">
      <c r="A332" s="163"/>
      <c r="B332" s="183" t="s">
        <v>516</v>
      </c>
      <c r="C332" s="295"/>
      <c r="F332" s="178"/>
      <c r="G332" s="177"/>
      <c r="L332" s="175">
        <f>SUM(L195:L330)</f>
        <v>690861.76000000047</v>
      </c>
      <c r="M332" s="175"/>
      <c r="N332" s="175">
        <f>SUM(N195:N330)</f>
        <v>690861.76000000047</v>
      </c>
      <c r="O332" s="175">
        <f>SUM(O195:O330)</f>
        <v>6442.8510208333373</v>
      </c>
      <c r="P332" s="175">
        <f>SUM(P195:P330)</f>
        <v>34896.613000000005</v>
      </c>
      <c r="Q332" s="175">
        <f>SUM(Q195:Q330)</f>
        <v>0</v>
      </c>
      <c r="R332" s="175">
        <f>SUM(R195:R330)</f>
        <v>34896.613000000005</v>
      </c>
      <c r="S332" s="175"/>
      <c r="T332" s="175">
        <f>SUM(T195:T330)</f>
        <v>34896.613000000005</v>
      </c>
      <c r="U332" s="175">
        <f>SUM(U195:U330)</f>
        <v>450775.95966666657</v>
      </c>
      <c r="V332" s="175">
        <f>SUM(V195:V330)</f>
        <v>450775.95966666657</v>
      </c>
      <c r="W332" s="175"/>
      <c r="X332" s="175">
        <f>SUM(X195:X330)</f>
        <v>450775.95966666657</v>
      </c>
      <c r="Y332" s="175">
        <f>SUM(Y195:Y330)</f>
        <v>485672.57266666659</v>
      </c>
      <c r="Z332" s="175">
        <f>SUM(Z195:Z330)</f>
        <v>222637.49383333328</v>
      </c>
      <c r="AA332" s="175"/>
      <c r="AB332" s="175"/>
      <c r="AC332" s="175"/>
      <c r="AD332" s="175"/>
      <c r="AE332" s="175"/>
      <c r="AF332" s="175">
        <f>SUM(AF195:AF330)</f>
        <v>0</v>
      </c>
      <c r="AG332" s="166"/>
      <c r="AH332" s="166"/>
      <c r="AI332" s="166"/>
      <c r="AJ332" s="167"/>
      <c r="AK332" s="167"/>
    </row>
    <row r="333" spans="1:37">
      <c r="A333" s="163"/>
      <c r="C333" s="295"/>
      <c r="F333" s="178"/>
      <c r="G333" s="177"/>
      <c r="L333" s="175"/>
      <c r="M333" s="175"/>
      <c r="N333" s="175"/>
      <c r="O333" s="175"/>
      <c r="P333" s="175"/>
      <c r="Q333" s="175"/>
      <c r="R333" s="175"/>
      <c r="S333" s="176"/>
      <c r="T333" s="175"/>
      <c r="U333" s="175"/>
      <c r="V333" s="175"/>
      <c r="W333" s="176"/>
      <c r="X333" s="175"/>
      <c r="Y333" s="175"/>
      <c r="Z333" s="175"/>
      <c r="AA333" s="175"/>
      <c r="AB333" s="175"/>
      <c r="AC333" s="175"/>
      <c r="AD333" s="175"/>
      <c r="AE333" s="175"/>
      <c r="AF333" s="175"/>
      <c r="AG333" s="166"/>
      <c r="AH333" s="166"/>
      <c r="AI333" s="166"/>
      <c r="AJ333" s="167"/>
      <c r="AK333" s="167"/>
    </row>
    <row r="334" spans="1:37" ht="16.5" thickBot="1">
      <c r="A334" s="163"/>
      <c r="B334" s="174" t="s">
        <v>515</v>
      </c>
      <c r="C334" s="295"/>
      <c r="L334" s="173">
        <f>SUM(L332:L333)</f>
        <v>690861.76000000047</v>
      </c>
      <c r="M334" s="175"/>
      <c r="N334" s="173">
        <f>SUM(N332:N333)</f>
        <v>690861.76000000047</v>
      </c>
      <c r="O334" s="173">
        <f>SUM(O332:O333)</f>
        <v>6442.8510208333373</v>
      </c>
      <c r="P334" s="173">
        <f>SUM(P332:P333)</f>
        <v>34896.613000000005</v>
      </c>
      <c r="Q334" s="173"/>
      <c r="R334" s="173">
        <f>SUM(R332:R333)</f>
        <v>34896.613000000005</v>
      </c>
      <c r="S334" s="165"/>
      <c r="T334" s="173">
        <f>SUM(T332:T333)</f>
        <v>34896.613000000005</v>
      </c>
      <c r="U334" s="173">
        <f>SUM(U332:U333)</f>
        <v>450775.95966666657</v>
      </c>
      <c r="V334" s="173">
        <f>SUM(V332:V333)</f>
        <v>450775.95966666657</v>
      </c>
      <c r="W334" s="165"/>
      <c r="X334" s="173">
        <f>SUM(X332:X333)</f>
        <v>450775.95966666657</v>
      </c>
      <c r="Y334" s="173">
        <f>SUM(Y332:Y333)</f>
        <v>485672.57266666659</v>
      </c>
      <c r="Z334" s="173">
        <f>SUM(Z332:Z333)</f>
        <v>222637.49383333328</v>
      </c>
      <c r="AA334" s="175"/>
      <c r="AB334" s="175"/>
      <c r="AC334" s="175"/>
      <c r="AD334" s="175"/>
      <c r="AE334" s="175"/>
      <c r="AF334" s="181">
        <f>SUM(AF332:AF333)</f>
        <v>0</v>
      </c>
      <c r="AG334" s="166"/>
      <c r="AH334" s="166"/>
      <c r="AI334" s="166"/>
      <c r="AJ334" s="167"/>
      <c r="AK334" s="167"/>
    </row>
    <row r="335" spans="1:37" ht="16.5" thickTop="1">
      <c r="A335" s="163"/>
      <c r="B335" s="174" t="s">
        <v>514</v>
      </c>
      <c r="C335" s="295"/>
      <c r="K335" s="896" t="s">
        <v>966</v>
      </c>
      <c r="L335" s="180">
        <f>+L334-L209-L265-L270</f>
        <v>681315.07000000053</v>
      </c>
      <c r="M335" s="175"/>
      <c r="N335" s="180"/>
      <c r="O335" s="180"/>
      <c r="P335" s="180"/>
      <c r="Q335" s="175"/>
      <c r="R335" s="180">
        <f>+R334-R209-R265-R270</f>
        <v>34338.720000000008</v>
      </c>
      <c r="S335" s="165"/>
      <c r="T335" s="180">
        <f>+T334-T209-T265-T270</f>
        <v>34338.720000000008</v>
      </c>
      <c r="U335" s="180">
        <f>+U334-U209-U265-U270</f>
        <v>442812.97124999989</v>
      </c>
      <c r="V335" s="180">
        <f>+V334-V209-V265-V270</f>
        <v>442812.97124999989</v>
      </c>
      <c r="W335" s="165"/>
      <c r="X335" s="180">
        <f>+X334-X209-X265-X270</f>
        <v>442812.97124999989</v>
      </c>
      <c r="Y335" s="180">
        <f>+Y334-Y209-Y265-Y270</f>
        <v>477151.69124999992</v>
      </c>
      <c r="Z335" s="180">
        <f>+Z334-Z209-Z265-Z270</f>
        <v>221332.73874999996</v>
      </c>
      <c r="AA335" s="175"/>
      <c r="AB335" s="175"/>
      <c r="AC335" s="175"/>
      <c r="AD335" s="175"/>
      <c r="AE335" s="175"/>
      <c r="AF335" s="175"/>
      <c r="AG335" s="166"/>
      <c r="AH335" s="166"/>
      <c r="AI335" s="166"/>
      <c r="AJ335" s="167"/>
      <c r="AK335" s="167"/>
    </row>
    <row r="336" spans="1:37" s="163" customFormat="1">
      <c r="B336" s="174"/>
      <c r="C336" s="29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68"/>
      <c r="AH336" s="168"/>
      <c r="AI336" s="168"/>
      <c r="AJ336" s="165"/>
      <c r="AK336" s="165"/>
    </row>
    <row r="337" spans="2:35" s="163" customFormat="1">
      <c r="B337" s="174" t="s">
        <v>444</v>
      </c>
      <c r="C337" s="294"/>
      <c r="L337" s="170"/>
      <c r="M337" s="170"/>
      <c r="N337" s="170"/>
      <c r="O337" s="170"/>
      <c r="P337" s="170"/>
      <c r="Q337" s="170"/>
      <c r="R337" s="170"/>
      <c r="T337" s="170"/>
      <c r="U337" s="170"/>
      <c r="V337" s="170"/>
      <c r="X337" s="170"/>
      <c r="Y337" s="170"/>
      <c r="Z337" s="170"/>
      <c r="AA337" s="170"/>
      <c r="AB337" s="170"/>
      <c r="AC337" s="170"/>
      <c r="AD337" s="170"/>
      <c r="AE337" s="170"/>
      <c r="AF337" s="170"/>
      <c r="AG337" s="170"/>
      <c r="AH337" s="170"/>
      <c r="AI337" s="170"/>
    </row>
    <row r="338" spans="2:35" s="163" customFormat="1">
      <c r="B338" s="163" t="s">
        <v>507</v>
      </c>
      <c r="C338" s="294">
        <v>2000</v>
      </c>
      <c r="D338" s="163">
        <v>100</v>
      </c>
      <c r="E338" s="163">
        <v>6</v>
      </c>
      <c r="F338" s="178">
        <v>0</v>
      </c>
      <c r="G338" s="177" t="s">
        <v>491</v>
      </c>
      <c r="H338" s="163">
        <v>20</v>
      </c>
      <c r="I338" s="163">
        <f>D338+H338</f>
        <v>120</v>
      </c>
      <c r="L338" s="168">
        <v>4796.7700000000004</v>
      </c>
      <c r="M338" s="170">
        <v>0</v>
      </c>
      <c r="N338" s="168">
        <f>L338-(+L338*F338)</f>
        <v>4796.7700000000004</v>
      </c>
      <c r="O338" s="168">
        <f>N338/H338/12</f>
        <v>19.986541666666668</v>
      </c>
      <c r="P338" s="168">
        <f>IF(Q338&gt;0,0,IF(OR(AA338&gt;AB338,AC338&lt;AD338),0,IF(AND(AC338&gt;=AD338,AC338&lt;=AB338),O338*((AC338-AD338)*12),IF(AND(AD338&lt;=AA338,AB338&gt;=AA338),((AB338-AA338)*12)*O338,IF(AC338&gt;AB338,12*O338,0)))))</f>
        <v>239.83850000000001</v>
      </c>
      <c r="Q338" s="168">
        <f t="shared" ref="Q338:Q365" si="214">IF(M338=0,0,IF(AND(AE338&gt;=AD338,AE338&lt;=AC338),((AE338-AD338)*12)*O338,0))</f>
        <v>0</v>
      </c>
      <c r="R338" s="168">
        <f t="shared" ref="R338:R365" si="215">IF(Q338&gt;0,Q338,P338)</f>
        <v>239.83850000000001</v>
      </c>
      <c r="S338" s="179">
        <v>1</v>
      </c>
      <c r="T338" s="168">
        <f t="shared" ref="T338:T365" si="216">S338*SUM(P338:Q338)</f>
        <v>239.83850000000001</v>
      </c>
      <c r="U338" s="168">
        <f t="shared" ref="U338:U365" si="217">IF(AA338&gt;AB338,0,IF(AC338&lt;AD338,L338,IF(AND(AC338&gt;=AD338,AC338&lt;=AB338),(L338-R338),IF(AND(AD338&lt;=AA338,AB338&gt;=AA338),0,IF(AC338&gt;AB338,((AD338-AA338)*12)*O338,0)))))</f>
        <v>4037.2814166666658</v>
      </c>
      <c r="V338" s="168">
        <f t="shared" ref="V338:V365" si="218">U338*S338</f>
        <v>4037.2814166666658</v>
      </c>
      <c r="W338" s="179">
        <v>1</v>
      </c>
      <c r="X338" s="168">
        <f t="shared" ref="X338:X365" si="219">V338*W338</f>
        <v>4037.2814166666658</v>
      </c>
      <c r="Y338" s="168">
        <f t="shared" ref="Y338:Y365" si="220">IF(M338&gt;0,0,X338+T338*W338)*W338</f>
        <v>4277.1199166666656</v>
      </c>
      <c r="Z338" s="175">
        <f t="shared" ref="Z338:Z365" si="221">IF(M338&gt;0,(L338-X338)/2,IF(AA338&gt;=AD338,(((L338*S338)*W338)-Y338)/2,((((L338*S338)*W338)-X338)+(((L338*S338)*W338)-Y338))/2))</f>
        <v>639.56933333333473</v>
      </c>
      <c r="AA338" s="168">
        <f t="shared" ref="AA338:AA365" si="222">$D338+(($E338-1)/12)</f>
        <v>100.41666666666667</v>
      </c>
      <c r="AB338" s="168">
        <f t="shared" ref="AB338:AB365" si="223">($B$10+1)-($B$7/12)</f>
        <v>118.25</v>
      </c>
      <c r="AC338" s="168">
        <f t="shared" ref="AC338:AC365" si="224">$I338+(($E338-1)/12)</f>
        <v>120.41666666666667</v>
      </c>
      <c r="AD338" s="168">
        <f t="shared" ref="AD338:AD365" si="225">$B$9+($B$8/12)</f>
        <v>117.25</v>
      </c>
      <c r="AE338" s="168">
        <f t="shared" ref="AE338:AE365" si="226">$J338+(($K338-1)/12)</f>
        <v>-8.3333333333333329E-2</v>
      </c>
      <c r="AF338" s="168">
        <f t="shared" ref="AF338:AF365" si="227">L338-((X338+Y338)/2)-Z338</f>
        <v>0</v>
      </c>
      <c r="AG338" s="170"/>
      <c r="AH338" s="170"/>
      <c r="AI338" s="170"/>
    </row>
    <row r="339" spans="2:35" s="163" customFormat="1">
      <c r="B339" s="163" t="s">
        <v>513</v>
      </c>
      <c r="C339" s="294">
        <v>2000</v>
      </c>
      <c r="D339" s="163">
        <v>100</v>
      </c>
      <c r="E339" s="163">
        <v>8</v>
      </c>
      <c r="F339" s="178">
        <v>0</v>
      </c>
      <c r="G339" s="177" t="s">
        <v>491</v>
      </c>
      <c r="H339" s="163">
        <v>20</v>
      </c>
      <c r="I339" s="163">
        <f t="shared" ref="I339:I365" si="228">D339+H339</f>
        <v>120</v>
      </c>
      <c r="L339" s="168">
        <v>3506.7</v>
      </c>
      <c r="M339" s="170">
        <v>0</v>
      </c>
      <c r="N339" s="168">
        <f t="shared" ref="N339:N365" si="229">L339-(+L339*F339)</f>
        <v>3506.7</v>
      </c>
      <c r="O339" s="168">
        <f t="shared" ref="O339:O365" si="230">N339/H339/12</f>
        <v>14.611249999999998</v>
      </c>
      <c r="P339" s="168">
        <f t="shared" ref="P339:P365" si="231">IF(Q339&gt;0,0,IF(OR(AA339&gt;AB339,AC339&lt;AD339),0,IF(AND(AC339&gt;=AD339,AC339&lt;=AB339),O339*((AC339-AD339)*12),IF(AND(AD339&lt;=AA339,AB339&gt;=AA339),((AB339-AA339)*12)*O339,IF(AC339&gt;AB339,12*O339,0)))))</f>
        <v>175.33499999999998</v>
      </c>
      <c r="Q339" s="168">
        <f t="shared" si="214"/>
        <v>0</v>
      </c>
      <c r="R339" s="168">
        <f t="shared" si="215"/>
        <v>175.33499999999998</v>
      </c>
      <c r="S339" s="179">
        <v>1</v>
      </c>
      <c r="T339" s="168">
        <f t="shared" si="216"/>
        <v>175.33499999999998</v>
      </c>
      <c r="U339" s="168">
        <f t="shared" si="217"/>
        <v>2922.2500000000005</v>
      </c>
      <c r="V339" s="168">
        <f t="shared" si="218"/>
        <v>2922.2500000000005</v>
      </c>
      <c r="W339" s="179">
        <v>1</v>
      </c>
      <c r="X339" s="168">
        <f t="shared" si="219"/>
        <v>2922.2500000000005</v>
      </c>
      <c r="Y339" s="168">
        <f t="shared" si="220"/>
        <v>3097.5850000000005</v>
      </c>
      <c r="Z339" s="175">
        <f t="shared" si="221"/>
        <v>496.78249999999935</v>
      </c>
      <c r="AA339" s="168">
        <f t="shared" si="222"/>
        <v>100.58333333333333</v>
      </c>
      <c r="AB339" s="168">
        <f t="shared" si="223"/>
        <v>118.25</v>
      </c>
      <c r="AC339" s="168">
        <f t="shared" si="224"/>
        <v>120.58333333333333</v>
      </c>
      <c r="AD339" s="168">
        <f t="shared" si="225"/>
        <v>117.25</v>
      </c>
      <c r="AE339" s="168">
        <f t="shared" si="226"/>
        <v>-8.3333333333333329E-2</v>
      </c>
      <c r="AF339" s="168">
        <f t="shared" si="227"/>
        <v>0</v>
      </c>
      <c r="AG339" s="170"/>
      <c r="AH339" s="170"/>
      <c r="AI339" s="170"/>
    </row>
    <row r="340" spans="2:35" s="163" customFormat="1">
      <c r="B340" s="163" t="s">
        <v>512</v>
      </c>
      <c r="C340" s="294">
        <v>2000</v>
      </c>
      <c r="D340" s="163">
        <v>100</v>
      </c>
      <c r="E340" s="163">
        <v>9</v>
      </c>
      <c r="F340" s="178">
        <v>0</v>
      </c>
      <c r="G340" s="177" t="s">
        <v>491</v>
      </c>
      <c r="H340" s="163">
        <v>20</v>
      </c>
      <c r="I340" s="163">
        <f t="shared" si="228"/>
        <v>120</v>
      </c>
      <c r="L340" s="168">
        <v>1717.3</v>
      </c>
      <c r="M340" s="170">
        <v>0</v>
      </c>
      <c r="N340" s="168">
        <f t="shared" si="229"/>
        <v>1717.3</v>
      </c>
      <c r="O340" s="168">
        <f t="shared" si="230"/>
        <v>7.1554166666666665</v>
      </c>
      <c r="P340" s="168">
        <f t="shared" si="231"/>
        <v>85.864999999999995</v>
      </c>
      <c r="Q340" s="168">
        <f t="shared" si="214"/>
        <v>0</v>
      </c>
      <c r="R340" s="168">
        <f t="shared" si="215"/>
        <v>85.864999999999995</v>
      </c>
      <c r="S340" s="179">
        <v>1</v>
      </c>
      <c r="T340" s="168">
        <f t="shared" si="216"/>
        <v>85.864999999999995</v>
      </c>
      <c r="U340" s="168">
        <f t="shared" si="217"/>
        <v>1423.9279166666663</v>
      </c>
      <c r="V340" s="168">
        <f t="shared" si="218"/>
        <v>1423.9279166666663</v>
      </c>
      <c r="W340" s="179">
        <v>1</v>
      </c>
      <c r="X340" s="168">
        <f t="shared" si="219"/>
        <v>1423.9279166666663</v>
      </c>
      <c r="Y340" s="168">
        <f t="shared" si="220"/>
        <v>1509.7929166666663</v>
      </c>
      <c r="Z340" s="175">
        <f t="shared" si="221"/>
        <v>250.43958333333364</v>
      </c>
      <c r="AA340" s="168">
        <f t="shared" si="222"/>
        <v>100.66666666666667</v>
      </c>
      <c r="AB340" s="168">
        <f t="shared" si="223"/>
        <v>118.25</v>
      </c>
      <c r="AC340" s="168">
        <f t="shared" si="224"/>
        <v>120.66666666666667</v>
      </c>
      <c r="AD340" s="168">
        <f t="shared" si="225"/>
        <v>117.25</v>
      </c>
      <c r="AE340" s="168">
        <f t="shared" si="226"/>
        <v>-8.3333333333333329E-2</v>
      </c>
      <c r="AF340" s="168">
        <f t="shared" si="227"/>
        <v>0</v>
      </c>
      <c r="AG340" s="170"/>
      <c r="AH340" s="170"/>
      <c r="AI340" s="170"/>
    </row>
    <row r="341" spans="2:35" s="163" customFormat="1">
      <c r="B341" s="163" t="s">
        <v>511</v>
      </c>
      <c r="C341" s="294">
        <v>2000</v>
      </c>
      <c r="D341" s="163">
        <v>100</v>
      </c>
      <c r="E341" s="163">
        <v>10</v>
      </c>
      <c r="F341" s="178">
        <v>0</v>
      </c>
      <c r="G341" s="177" t="s">
        <v>491</v>
      </c>
      <c r="H341" s="163">
        <v>20</v>
      </c>
      <c r="I341" s="163">
        <f t="shared" si="228"/>
        <v>120</v>
      </c>
      <c r="L341" s="168">
        <v>822.31</v>
      </c>
      <c r="M341" s="170">
        <v>0</v>
      </c>
      <c r="N341" s="168">
        <f t="shared" si="229"/>
        <v>822.31</v>
      </c>
      <c r="O341" s="168">
        <f t="shared" si="230"/>
        <v>3.4262916666666663</v>
      </c>
      <c r="P341" s="168">
        <f t="shared" si="231"/>
        <v>41.115499999999997</v>
      </c>
      <c r="Q341" s="168">
        <f t="shared" si="214"/>
        <v>0</v>
      </c>
      <c r="R341" s="168">
        <f t="shared" si="215"/>
        <v>41.115499999999997</v>
      </c>
      <c r="S341" s="179">
        <v>1</v>
      </c>
      <c r="T341" s="168">
        <f t="shared" si="216"/>
        <v>41.115499999999997</v>
      </c>
      <c r="U341" s="168">
        <f t="shared" si="217"/>
        <v>678.4057499999999</v>
      </c>
      <c r="V341" s="168">
        <f t="shared" si="218"/>
        <v>678.4057499999999</v>
      </c>
      <c r="W341" s="179">
        <v>1</v>
      </c>
      <c r="X341" s="168">
        <f t="shared" si="219"/>
        <v>678.4057499999999</v>
      </c>
      <c r="Y341" s="168">
        <f t="shared" si="220"/>
        <v>719.5212499999999</v>
      </c>
      <c r="Z341" s="175">
        <f t="shared" si="221"/>
        <v>123.34650000000005</v>
      </c>
      <c r="AA341" s="168">
        <f t="shared" si="222"/>
        <v>100.75</v>
      </c>
      <c r="AB341" s="168">
        <f t="shared" si="223"/>
        <v>118.25</v>
      </c>
      <c r="AC341" s="168">
        <f t="shared" si="224"/>
        <v>120.75</v>
      </c>
      <c r="AD341" s="168">
        <f t="shared" si="225"/>
        <v>117.25</v>
      </c>
      <c r="AE341" s="168">
        <f t="shared" si="226"/>
        <v>-8.3333333333333329E-2</v>
      </c>
      <c r="AF341" s="168">
        <f t="shared" si="227"/>
        <v>0</v>
      </c>
      <c r="AG341" s="170"/>
      <c r="AH341" s="170"/>
      <c r="AI341" s="170"/>
    </row>
    <row r="342" spans="2:35" s="163" customFormat="1">
      <c r="B342" s="163" t="s">
        <v>510</v>
      </c>
      <c r="C342" s="294">
        <v>2000</v>
      </c>
      <c r="D342" s="163">
        <v>100</v>
      </c>
      <c r="E342" s="163">
        <v>11</v>
      </c>
      <c r="F342" s="178">
        <v>0</v>
      </c>
      <c r="G342" s="177" t="s">
        <v>491</v>
      </c>
      <c r="H342" s="163">
        <v>20</v>
      </c>
      <c r="I342" s="163">
        <f t="shared" si="228"/>
        <v>120</v>
      </c>
      <c r="L342" s="168">
        <v>797.32</v>
      </c>
      <c r="M342" s="170">
        <v>0</v>
      </c>
      <c r="N342" s="168">
        <f t="shared" si="229"/>
        <v>797.32</v>
      </c>
      <c r="O342" s="168">
        <f t="shared" si="230"/>
        <v>3.3221666666666665</v>
      </c>
      <c r="P342" s="168">
        <f t="shared" si="231"/>
        <v>39.866</v>
      </c>
      <c r="Q342" s="168">
        <f t="shared" si="214"/>
        <v>0</v>
      </c>
      <c r="R342" s="168">
        <f t="shared" si="215"/>
        <v>39.866</v>
      </c>
      <c r="S342" s="179">
        <v>1</v>
      </c>
      <c r="T342" s="168">
        <f t="shared" si="216"/>
        <v>39.866</v>
      </c>
      <c r="U342" s="168">
        <f t="shared" si="217"/>
        <v>654.46683333333351</v>
      </c>
      <c r="V342" s="168">
        <f t="shared" si="218"/>
        <v>654.46683333333351</v>
      </c>
      <c r="W342" s="179">
        <v>1</v>
      </c>
      <c r="X342" s="168">
        <f t="shared" si="219"/>
        <v>654.46683333333351</v>
      </c>
      <c r="Y342" s="168">
        <f t="shared" si="220"/>
        <v>694.3328333333335</v>
      </c>
      <c r="Z342" s="175">
        <f t="shared" si="221"/>
        <v>122.92016666666655</v>
      </c>
      <c r="AA342" s="168">
        <f t="shared" si="222"/>
        <v>100.83333333333333</v>
      </c>
      <c r="AB342" s="168">
        <f t="shared" si="223"/>
        <v>118.25</v>
      </c>
      <c r="AC342" s="168">
        <f t="shared" si="224"/>
        <v>120.83333333333333</v>
      </c>
      <c r="AD342" s="168">
        <f t="shared" si="225"/>
        <v>117.25</v>
      </c>
      <c r="AE342" s="168">
        <f t="shared" si="226"/>
        <v>-8.3333333333333329E-2</v>
      </c>
      <c r="AF342" s="168">
        <f t="shared" si="227"/>
        <v>0</v>
      </c>
      <c r="AG342" s="170"/>
      <c r="AH342" s="170"/>
      <c r="AI342" s="170"/>
    </row>
    <row r="343" spans="2:35" s="163" customFormat="1">
      <c r="B343" s="163" t="s">
        <v>509</v>
      </c>
      <c r="C343" s="294">
        <v>2000</v>
      </c>
      <c r="D343" s="163">
        <v>100</v>
      </c>
      <c r="E343" s="163">
        <v>12</v>
      </c>
      <c r="F343" s="178">
        <v>0</v>
      </c>
      <c r="G343" s="177" t="s">
        <v>491</v>
      </c>
      <c r="H343" s="163">
        <v>20</v>
      </c>
      <c r="I343" s="163">
        <f t="shared" si="228"/>
        <v>120</v>
      </c>
      <c r="L343" s="168">
        <v>2637.28</v>
      </c>
      <c r="M343" s="170">
        <v>0</v>
      </c>
      <c r="N343" s="168">
        <f t="shared" si="229"/>
        <v>2637.28</v>
      </c>
      <c r="O343" s="168">
        <f t="shared" si="230"/>
        <v>10.988666666666667</v>
      </c>
      <c r="P343" s="168">
        <f t="shared" si="231"/>
        <v>131.864</v>
      </c>
      <c r="Q343" s="168">
        <f t="shared" si="214"/>
        <v>0</v>
      </c>
      <c r="R343" s="168">
        <f t="shared" si="215"/>
        <v>131.864</v>
      </c>
      <c r="S343" s="179">
        <v>1</v>
      </c>
      <c r="T343" s="168">
        <f t="shared" si="216"/>
        <v>131.864</v>
      </c>
      <c r="U343" s="168">
        <f t="shared" si="217"/>
        <v>2153.7786666666661</v>
      </c>
      <c r="V343" s="168">
        <f t="shared" si="218"/>
        <v>2153.7786666666661</v>
      </c>
      <c r="W343" s="179">
        <v>1</v>
      </c>
      <c r="X343" s="168">
        <f t="shared" si="219"/>
        <v>2153.7786666666661</v>
      </c>
      <c r="Y343" s="168">
        <f t="shared" si="220"/>
        <v>2285.6426666666662</v>
      </c>
      <c r="Z343" s="175">
        <f t="shared" si="221"/>
        <v>417.56933333333404</v>
      </c>
      <c r="AA343" s="168">
        <f t="shared" si="222"/>
        <v>100.91666666666667</v>
      </c>
      <c r="AB343" s="168">
        <f t="shared" si="223"/>
        <v>118.25</v>
      </c>
      <c r="AC343" s="168">
        <f t="shared" si="224"/>
        <v>120.91666666666667</v>
      </c>
      <c r="AD343" s="168">
        <f t="shared" si="225"/>
        <v>117.25</v>
      </c>
      <c r="AE343" s="168">
        <f t="shared" si="226"/>
        <v>-8.3333333333333329E-2</v>
      </c>
      <c r="AF343" s="168">
        <f t="shared" si="227"/>
        <v>0</v>
      </c>
      <c r="AG343" s="170"/>
      <c r="AH343" s="170"/>
      <c r="AI343" s="170"/>
    </row>
    <row r="344" spans="2:35" s="163" customFormat="1">
      <c r="B344" s="163" t="s">
        <v>508</v>
      </c>
      <c r="C344" s="294">
        <v>2000</v>
      </c>
      <c r="D344" s="163">
        <v>100</v>
      </c>
      <c r="E344" s="163">
        <v>12</v>
      </c>
      <c r="F344" s="178">
        <v>0</v>
      </c>
      <c r="G344" s="177" t="s">
        <v>491</v>
      </c>
      <c r="H344" s="163">
        <v>20</v>
      </c>
      <c r="I344" s="163">
        <f t="shared" si="228"/>
        <v>120</v>
      </c>
      <c r="L344" s="168">
        <v>1310.44</v>
      </c>
      <c r="M344" s="170">
        <v>0</v>
      </c>
      <c r="N344" s="168">
        <f t="shared" si="229"/>
        <v>1310.44</v>
      </c>
      <c r="O344" s="168">
        <f t="shared" si="230"/>
        <v>5.4601666666666668</v>
      </c>
      <c r="P344" s="168">
        <f t="shared" si="231"/>
        <v>65.522000000000006</v>
      </c>
      <c r="Q344" s="168">
        <f t="shared" si="214"/>
        <v>0</v>
      </c>
      <c r="R344" s="168">
        <f t="shared" si="215"/>
        <v>65.522000000000006</v>
      </c>
      <c r="S344" s="179">
        <v>1</v>
      </c>
      <c r="T344" s="168">
        <f t="shared" si="216"/>
        <v>65.522000000000006</v>
      </c>
      <c r="U344" s="168">
        <f t="shared" si="217"/>
        <v>1070.1926666666664</v>
      </c>
      <c r="V344" s="168">
        <f t="shared" si="218"/>
        <v>1070.1926666666664</v>
      </c>
      <c r="W344" s="179">
        <v>1</v>
      </c>
      <c r="X344" s="168">
        <f t="shared" si="219"/>
        <v>1070.1926666666664</v>
      </c>
      <c r="Y344" s="168">
        <f t="shared" si="220"/>
        <v>1135.7146666666663</v>
      </c>
      <c r="Z344" s="175">
        <f t="shared" si="221"/>
        <v>207.48633333333373</v>
      </c>
      <c r="AA344" s="168">
        <f t="shared" si="222"/>
        <v>100.91666666666667</v>
      </c>
      <c r="AB344" s="168">
        <f t="shared" si="223"/>
        <v>118.25</v>
      </c>
      <c r="AC344" s="168">
        <f t="shared" si="224"/>
        <v>120.91666666666667</v>
      </c>
      <c r="AD344" s="168">
        <f t="shared" si="225"/>
        <v>117.25</v>
      </c>
      <c r="AE344" s="168">
        <f t="shared" si="226"/>
        <v>-8.3333333333333329E-2</v>
      </c>
      <c r="AF344" s="168">
        <f t="shared" si="227"/>
        <v>0</v>
      </c>
      <c r="AG344" s="170"/>
      <c r="AH344" s="170"/>
      <c r="AI344" s="170"/>
    </row>
    <row r="345" spans="2:35" s="163" customFormat="1">
      <c r="B345" s="163" t="s">
        <v>507</v>
      </c>
      <c r="C345" s="294">
        <v>2001</v>
      </c>
      <c r="D345" s="163">
        <v>101</v>
      </c>
      <c r="E345" s="163">
        <v>1</v>
      </c>
      <c r="F345" s="178">
        <v>0</v>
      </c>
      <c r="G345" s="177" t="s">
        <v>491</v>
      </c>
      <c r="H345" s="163">
        <v>20</v>
      </c>
      <c r="I345" s="163">
        <f t="shared" si="228"/>
        <v>121</v>
      </c>
      <c r="L345" s="168">
        <v>398.66</v>
      </c>
      <c r="M345" s="170">
        <v>0</v>
      </c>
      <c r="N345" s="168">
        <f t="shared" si="229"/>
        <v>398.66</v>
      </c>
      <c r="O345" s="168">
        <f t="shared" si="230"/>
        <v>1.6610833333333332</v>
      </c>
      <c r="P345" s="168">
        <f t="shared" si="231"/>
        <v>19.933</v>
      </c>
      <c r="Q345" s="168">
        <f t="shared" si="214"/>
        <v>0</v>
      </c>
      <c r="R345" s="168">
        <f t="shared" si="215"/>
        <v>19.933</v>
      </c>
      <c r="S345" s="179">
        <v>1</v>
      </c>
      <c r="T345" s="168">
        <f t="shared" si="216"/>
        <v>19.933</v>
      </c>
      <c r="U345" s="168">
        <f t="shared" si="217"/>
        <v>323.91125</v>
      </c>
      <c r="V345" s="168">
        <f t="shared" si="218"/>
        <v>323.91125</v>
      </c>
      <c r="W345" s="179">
        <v>1</v>
      </c>
      <c r="X345" s="168">
        <f t="shared" si="219"/>
        <v>323.91125</v>
      </c>
      <c r="Y345" s="168">
        <f t="shared" si="220"/>
        <v>343.84424999999999</v>
      </c>
      <c r="Z345" s="175">
        <f t="shared" si="221"/>
        <v>64.782250000000033</v>
      </c>
      <c r="AA345" s="168">
        <f t="shared" si="222"/>
        <v>101</v>
      </c>
      <c r="AB345" s="168">
        <f t="shared" si="223"/>
        <v>118.25</v>
      </c>
      <c r="AC345" s="168">
        <f t="shared" si="224"/>
        <v>121</v>
      </c>
      <c r="AD345" s="168">
        <f t="shared" si="225"/>
        <v>117.25</v>
      </c>
      <c r="AE345" s="168">
        <f t="shared" si="226"/>
        <v>-8.3333333333333329E-2</v>
      </c>
      <c r="AF345" s="168">
        <f t="shared" si="227"/>
        <v>0</v>
      </c>
      <c r="AG345" s="170"/>
      <c r="AH345" s="170"/>
      <c r="AI345" s="170"/>
    </row>
    <row r="346" spans="2:35" s="163" customFormat="1">
      <c r="B346" s="163" t="s">
        <v>506</v>
      </c>
      <c r="C346" s="294">
        <v>2001</v>
      </c>
      <c r="D346" s="163">
        <v>101</v>
      </c>
      <c r="E346" s="163">
        <v>2</v>
      </c>
      <c r="F346" s="178">
        <v>0</v>
      </c>
      <c r="G346" s="177" t="s">
        <v>491</v>
      </c>
      <c r="H346" s="163">
        <v>20</v>
      </c>
      <c r="I346" s="163">
        <f t="shared" si="228"/>
        <v>121</v>
      </c>
      <c r="L346" s="168">
        <v>429.32</v>
      </c>
      <c r="M346" s="170">
        <v>0</v>
      </c>
      <c r="N346" s="168">
        <f t="shared" si="229"/>
        <v>429.32</v>
      </c>
      <c r="O346" s="168">
        <f t="shared" si="230"/>
        <v>1.7888333333333335</v>
      </c>
      <c r="P346" s="168">
        <f t="shared" si="231"/>
        <v>21.466000000000001</v>
      </c>
      <c r="Q346" s="168">
        <f t="shared" si="214"/>
        <v>0</v>
      </c>
      <c r="R346" s="168">
        <f t="shared" si="215"/>
        <v>21.466000000000001</v>
      </c>
      <c r="S346" s="179">
        <v>1</v>
      </c>
      <c r="T346" s="168">
        <f t="shared" si="216"/>
        <v>21.466000000000001</v>
      </c>
      <c r="U346" s="168">
        <f t="shared" si="217"/>
        <v>347.03366666666682</v>
      </c>
      <c r="V346" s="168">
        <f t="shared" si="218"/>
        <v>347.03366666666682</v>
      </c>
      <c r="W346" s="179">
        <v>1</v>
      </c>
      <c r="X346" s="168">
        <f t="shared" si="219"/>
        <v>347.03366666666682</v>
      </c>
      <c r="Y346" s="168">
        <f t="shared" si="220"/>
        <v>368.49966666666683</v>
      </c>
      <c r="Z346" s="175">
        <f t="shared" si="221"/>
        <v>71.553333333333171</v>
      </c>
      <c r="AA346" s="168">
        <f t="shared" si="222"/>
        <v>101.08333333333333</v>
      </c>
      <c r="AB346" s="168">
        <f t="shared" si="223"/>
        <v>118.25</v>
      </c>
      <c r="AC346" s="168">
        <f t="shared" si="224"/>
        <v>121.08333333333333</v>
      </c>
      <c r="AD346" s="168">
        <f t="shared" si="225"/>
        <v>117.25</v>
      </c>
      <c r="AE346" s="168">
        <f t="shared" si="226"/>
        <v>-8.3333333333333329E-2</v>
      </c>
      <c r="AF346" s="168">
        <f t="shared" si="227"/>
        <v>0</v>
      </c>
      <c r="AG346" s="170"/>
      <c r="AH346" s="170"/>
      <c r="AI346" s="170"/>
    </row>
    <row r="347" spans="2:35" s="163" customFormat="1">
      <c r="B347" s="163" t="s">
        <v>505</v>
      </c>
      <c r="C347" s="294">
        <v>2001</v>
      </c>
      <c r="D347" s="163">
        <v>101</v>
      </c>
      <c r="E347" s="163">
        <v>3</v>
      </c>
      <c r="F347" s="178">
        <v>0</v>
      </c>
      <c r="G347" s="177" t="s">
        <v>491</v>
      </c>
      <c r="H347" s="163">
        <v>20</v>
      </c>
      <c r="I347" s="163">
        <f t="shared" si="228"/>
        <v>121</v>
      </c>
      <c r="L347" s="168">
        <v>965.98</v>
      </c>
      <c r="M347" s="170">
        <v>0</v>
      </c>
      <c r="N347" s="168">
        <f t="shared" si="229"/>
        <v>965.98</v>
      </c>
      <c r="O347" s="168">
        <f t="shared" si="230"/>
        <v>4.0249166666666669</v>
      </c>
      <c r="P347" s="168">
        <f t="shared" si="231"/>
        <v>48.299000000000007</v>
      </c>
      <c r="Q347" s="168">
        <f t="shared" si="214"/>
        <v>0</v>
      </c>
      <c r="R347" s="168">
        <f t="shared" si="215"/>
        <v>48.299000000000007</v>
      </c>
      <c r="S347" s="179">
        <v>1</v>
      </c>
      <c r="T347" s="168">
        <f t="shared" si="216"/>
        <v>48.299000000000007</v>
      </c>
      <c r="U347" s="168">
        <f t="shared" si="217"/>
        <v>776.80891666666651</v>
      </c>
      <c r="V347" s="168">
        <f t="shared" si="218"/>
        <v>776.80891666666651</v>
      </c>
      <c r="W347" s="179">
        <v>1</v>
      </c>
      <c r="X347" s="168">
        <f t="shared" si="219"/>
        <v>776.80891666666651</v>
      </c>
      <c r="Y347" s="168">
        <f t="shared" si="220"/>
        <v>825.10791666666648</v>
      </c>
      <c r="Z347" s="175">
        <f t="shared" si="221"/>
        <v>165.02158333333352</v>
      </c>
      <c r="AA347" s="168">
        <f t="shared" si="222"/>
        <v>101.16666666666667</v>
      </c>
      <c r="AB347" s="168">
        <f t="shared" si="223"/>
        <v>118.25</v>
      </c>
      <c r="AC347" s="168">
        <f t="shared" si="224"/>
        <v>121.16666666666667</v>
      </c>
      <c r="AD347" s="168">
        <f t="shared" si="225"/>
        <v>117.25</v>
      </c>
      <c r="AE347" s="168">
        <f t="shared" si="226"/>
        <v>-8.3333333333333329E-2</v>
      </c>
      <c r="AF347" s="168">
        <f t="shared" si="227"/>
        <v>0</v>
      </c>
      <c r="AG347" s="170"/>
      <c r="AH347" s="170"/>
      <c r="AI347" s="170"/>
    </row>
    <row r="348" spans="2:35" s="163" customFormat="1">
      <c r="B348" s="163" t="s">
        <v>504</v>
      </c>
      <c r="C348" s="294">
        <v>2001</v>
      </c>
      <c r="D348" s="163">
        <v>101</v>
      </c>
      <c r="E348" s="163">
        <v>4</v>
      </c>
      <c r="F348" s="178">
        <v>0</v>
      </c>
      <c r="G348" s="177" t="s">
        <v>491</v>
      </c>
      <c r="H348" s="163">
        <v>20</v>
      </c>
      <c r="I348" s="163">
        <f t="shared" si="228"/>
        <v>121</v>
      </c>
      <c r="L348" s="168">
        <v>1522.54</v>
      </c>
      <c r="M348" s="170">
        <v>0</v>
      </c>
      <c r="N348" s="168">
        <f t="shared" si="229"/>
        <v>1522.54</v>
      </c>
      <c r="O348" s="168">
        <f t="shared" si="230"/>
        <v>6.343916666666666</v>
      </c>
      <c r="P348" s="168">
        <f t="shared" si="231"/>
        <v>76.126999999999995</v>
      </c>
      <c r="Q348" s="168">
        <f t="shared" si="214"/>
        <v>0</v>
      </c>
      <c r="R348" s="168">
        <f t="shared" si="215"/>
        <v>76.126999999999995</v>
      </c>
      <c r="S348" s="179">
        <v>1</v>
      </c>
      <c r="T348" s="168">
        <f t="shared" si="216"/>
        <v>76.126999999999995</v>
      </c>
      <c r="U348" s="168">
        <f t="shared" si="217"/>
        <v>1218.0319999999999</v>
      </c>
      <c r="V348" s="168">
        <f t="shared" si="218"/>
        <v>1218.0319999999999</v>
      </c>
      <c r="W348" s="179">
        <v>1</v>
      </c>
      <c r="X348" s="168">
        <f t="shared" si="219"/>
        <v>1218.0319999999999</v>
      </c>
      <c r="Y348" s="168">
        <f t="shared" si="220"/>
        <v>1294.1589999999999</v>
      </c>
      <c r="Z348" s="175">
        <f t="shared" si="221"/>
        <v>266.44450000000006</v>
      </c>
      <c r="AA348" s="168">
        <f t="shared" si="222"/>
        <v>101.25</v>
      </c>
      <c r="AB348" s="168">
        <f t="shared" si="223"/>
        <v>118.25</v>
      </c>
      <c r="AC348" s="168">
        <f t="shared" si="224"/>
        <v>121.25</v>
      </c>
      <c r="AD348" s="168">
        <f t="shared" si="225"/>
        <v>117.25</v>
      </c>
      <c r="AE348" s="168">
        <f t="shared" si="226"/>
        <v>-8.3333333333333329E-2</v>
      </c>
      <c r="AF348" s="168">
        <f t="shared" si="227"/>
        <v>0</v>
      </c>
      <c r="AG348" s="170"/>
      <c r="AH348" s="170"/>
      <c r="AI348" s="170"/>
    </row>
    <row r="349" spans="2:35" s="163" customFormat="1">
      <c r="B349" s="163" t="s">
        <v>503</v>
      </c>
      <c r="C349" s="294">
        <v>2001</v>
      </c>
      <c r="D349" s="163">
        <v>101</v>
      </c>
      <c r="E349" s="163">
        <v>4</v>
      </c>
      <c r="F349" s="178">
        <v>0</v>
      </c>
      <c r="G349" s="177" t="s">
        <v>491</v>
      </c>
      <c r="H349" s="163">
        <v>20</v>
      </c>
      <c r="I349" s="163">
        <f t="shared" si="228"/>
        <v>121</v>
      </c>
      <c r="L349" s="168">
        <v>356.88</v>
      </c>
      <c r="M349" s="170">
        <v>0</v>
      </c>
      <c r="N349" s="168">
        <f t="shared" si="229"/>
        <v>356.88</v>
      </c>
      <c r="O349" s="168">
        <f t="shared" si="230"/>
        <v>1.4870000000000001</v>
      </c>
      <c r="P349" s="168">
        <f t="shared" si="231"/>
        <v>17.844000000000001</v>
      </c>
      <c r="Q349" s="168">
        <f t="shared" si="214"/>
        <v>0</v>
      </c>
      <c r="R349" s="168">
        <f t="shared" si="215"/>
        <v>17.844000000000001</v>
      </c>
      <c r="S349" s="179">
        <v>1</v>
      </c>
      <c r="T349" s="168">
        <f t="shared" si="216"/>
        <v>17.844000000000001</v>
      </c>
      <c r="U349" s="168">
        <f t="shared" si="217"/>
        <v>285.50400000000002</v>
      </c>
      <c r="V349" s="168">
        <f t="shared" si="218"/>
        <v>285.50400000000002</v>
      </c>
      <c r="W349" s="179">
        <v>1</v>
      </c>
      <c r="X349" s="168">
        <f t="shared" si="219"/>
        <v>285.50400000000002</v>
      </c>
      <c r="Y349" s="168">
        <f t="shared" si="220"/>
        <v>303.34800000000001</v>
      </c>
      <c r="Z349" s="175">
        <f t="shared" si="221"/>
        <v>62.453999999999979</v>
      </c>
      <c r="AA349" s="168">
        <f t="shared" si="222"/>
        <v>101.25</v>
      </c>
      <c r="AB349" s="168">
        <f t="shared" si="223"/>
        <v>118.25</v>
      </c>
      <c r="AC349" s="168">
        <f t="shared" si="224"/>
        <v>121.25</v>
      </c>
      <c r="AD349" s="168">
        <f t="shared" si="225"/>
        <v>117.25</v>
      </c>
      <c r="AE349" s="168">
        <f t="shared" si="226"/>
        <v>-8.3333333333333329E-2</v>
      </c>
      <c r="AF349" s="168">
        <f t="shared" si="227"/>
        <v>0</v>
      </c>
      <c r="AG349" s="170"/>
      <c r="AH349" s="170"/>
      <c r="AI349" s="170"/>
    </row>
    <row r="350" spans="2:35" s="163" customFormat="1">
      <c r="B350" s="163" t="s">
        <v>502</v>
      </c>
      <c r="C350" s="294">
        <v>2001</v>
      </c>
      <c r="D350" s="163">
        <v>101</v>
      </c>
      <c r="E350" s="163">
        <v>4</v>
      </c>
      <c r="F350" s="178">
        <v>0</v>
      </c>
      <c r="G350" s="177" t="s">
        <v>491</v>
      </c>
      <c r="H350" s="163">
        <v>20</v>
      </c>
      <c r="I350" s="163">
        <f t="shared" si="228"/>
        <v>121</v>
      </c>
      <c r="L350" s="168">
        <v>245.33</v>
      </c>
      <c r="M350" s="170">
        <v>0</v>
      </c>
      <c r="N350" s="168">
        <f t="shared" si="229"/>
        <v>245.33</v>
      </c>
      <c r="O350" s="168">
        <f t="shared" si="230"/>
        <v>1.0222083333333334</v>
      </c>
      <c r="P350" s="168">
        <f t="shared" si="231"/>
        <v>12.266500000000001</v>
      </c>
      <c r="Q350" s="168">
        <f t="shared" si="214"/>
        <v>0</v>
      </c>
      <c r="R350" s="168">
        <f t="shared" si="215"/>
        <v>12.266500000000001</v>
      </c>
      <c r="S350" s="179">
        <v>1</v>
      </c>
      <c r="T350" s="168">
        <f t="shared" si="216"/>
        <v>12.266500000000001</v>
      </c>
      <c r="U350" s="168">
        <f t="shared" si="217"/>
        <v>196.26400000000001</v>
      </c>
      <c r="V350" s="168">
        <f t="shared" si="218"/>
        <v>196.26400000000001</v>
      </c>
      <c r="W350" s="179">
        <v>1</v>
      </c>
      <c r="X350" s="168">
        <f t="shared" si="219"/>
        <v>196.26400000000001</v>
      </c>
      <c r="Y350" s="168">
        <f t="shared" si="220"/>
        <v>208.53050000000002</v>
      </c>
      <c r="Z350" s="175">
        <f t="shared" si="221"/>
        <v>42.932749999999999</v>
      </c>
      <c r="AA350" s="168">
        <f t="shared" si="222"/>
        <v>101.25</v>
      </c>
      <c r="AB350" s="168">
        <f t="shared" si="223"/>
        <v>118.25</v>
      </c>
      <c r="AC350" s="168">
        <f t="shared" si="224"/>
        <v>121.25</v>
      </c>
      <c r="AD350" s="168">
        <f t="shared" si="225"/>
        <v>117.25</v>
      </c>
      <c r="AE350" s="168">
        <f t="shared" si="226"/>
        <v>-8.3333333333333329E-2</v>
      </c>
      <c r="AF350" s="168">
        <f t="shared" si="227"/>
        <v>0</v>
      </c>
      <c r="AG350" s="170"/>
      <c r="AH350" s="170"/>
      <c r="AI350" s="170"/>
    </row>
    <row r="351" spans="2:35" s="163" customFormat="1">
      <c r="B351" s="163" t="s">
        <v>501</v>
      </c>
      <c r="C351" s="294">
        <v>2001</v>
      </c>
      <c r="D351" s="163">
        <v>101</v>
      </c>
      <c r="E351" s="163">
        <v>4</v>
      </c>
      <c r="F351" s="178">
        <v>0</v>
      </c>
      <c r="G351" s="177" t="s">
        <v>491</v>
      </c>
      <c r="H351" s="163">
        <v>20</v>
      </c>
      <c r="I351" s="163">
        <f t="shared" si="228"/>
        <v>121</v>
      </c>
      <c r="L351" s="168">
        <v>7000</v>
      </c>
      <c r="M351" s="170">
        <v>0</v>
      </c>
      <c r="N351" s="168">
        <f t="shared" si="229"/>
        <v>7000</v>
      </c>
      <c r="O351" s="168">
        <f t="shared" si="230"/>
        <v>29.166666666666668</v>
      </c>
      <c r="P351" s="168">
        <f t="shared" si="231"/>
        <v>350</v>
      </c>
      <c r="Q351" s="168">
        <f t="shared" si="214"/>
        <v>0</v>
      </c>
      <c r="R351" s="168">
        <f t="shared" si="215"/>
        <v>350</v>
      </c>
      <c r="S351" s="179">
        <v>1</v>
      </c>
      <c r="T351" s="168">
        <f t="shared" si="216"/>
        <v>350</v>
      </c>
      <c r="U351" s="168">
        <f t="shared" si="217"/>
        <v>5600</v>
      </c>
      <c r="V351" s="168">
        <f t="shared" si="218"/>
        <v>5600</v>
      </c>
      <c r="W351" s="179">
        <v>1</v>
      </c>
      <c r="X351" s="168">
        <f t="shared" si="219"/>
        <v>5600</v>
      </c>
      <c r="Y351" s="168">
        <f t="shared" si="220"/>
        <v>5950</v>
      </c>
      <c r="Z351" s="175">
        <f t="shared" si="221"/>
        <v>1225</v>
      </c>
      <c r="AA351" s="168">
        <f t="shared" si="222"/>
        <v>101.25</v>
      </c>
      <c r="AB351" s="168">
        <f t="shared" si="223"/>
        <v>118.25</v>
      </c>
      <c r="AC351" s="168">
        <f t="shared" si="224"/>
        <v>121.25</v>
      </c>
      <c r="AD351" s="168">
        <f t="shared" si="225"/>
        <v>117.25</v>
      </c>
      <c r="AE351" s="168">
        <f t="shared" si="226"/>
        <v>-8.3333333333333329E-2</v>
      </c>
      <c r="AF351" s="168">
        <f t="shared" si="227"/>
        <v>0</v>
      </c>
      <c r="AG351" s="170"/>
      <c r="AH351" s="170"/>
      <c r="AI351" s="170"/>
    </row>
    <row r="352" spans="2:35" s="163" customFormat="1">
      <c r="B352" s="163" t="s">
        <v>500</v>
      </c>
      <c r="C352" s="294">
        <v>2001</v>
      </c>
      <c r="D352" s="163">
        <v>101</v>
      </c>
      <c r="E352" s="163">
        <v>8</v>
      </c>
      <c r="F352" s="178">
        <v>0</v>
      </c>
      <c r="G352" s="177" t="s">
        <v>491</v>
      </c>
      <c r="H352" s="163">
        <v>20</v>
      </c>
      <c r="I352" s="163">
        <f t="shared" si="228"/>
        <v>121</v>
      </c>
      <c r="L352" s="168">
        <v>11590.83</v>
      </c>
      <c r="M352" s="170">
        <v>0</v>
      </c>
      <c r="N352" s="168">
        <f t="shared" si="229"/>
        <v>11590.83</v>
      </c>
      <c r="O352" s="168">
        <f t="shared" si="230"/>
        <v>48.295125000000006</v>
      </c>
      <c r="P352" s="168">
        <f t="shared" si="231"/>
        <v>579.54150000000004</v>
      </c>
      <c r="Q352" s="168">
        <f t="shared" si="214"/>
        <v>0</v>
      </c>
      <c r="R352" s="168">
        <f t="shared" si="215"/>
        <v>579.54150000000004</v>
      </c>
      <c r="S352" s="179">
        <v>1</v>
      </c>
      <c r="T352" s="168">
        <f t="shared" si="216"/>
        <v>579.54150000000004</v>
      </c>
      <c r="U352" s="168">
        <f t="shared" si="217"/>
        <v>9079.4835000000039</v>
      </c>
      <c r="V352" s="168">
        <f t="shared" si="218"/>
        <v>9079.4835000000039</v>
      </c>
      <c r="W352" s="179">
        <v>1</v>
      </c>
      <c r="X352" s="168">
        <f t="shared" si="219"/>
        <v>9079.4835000000039</v>
      </c>
      <c r="Y352" s="168">
        <f t="shared" si="220"/>
        <v>9659.0250000000033</v>
      </c>
      <c r="Z352" s="175">
        <f t="shared" si="221"/>
        <v>2221.5757499999963</v>
      </c>
      <c r="AA352" s="168">
        <f t="shared" si="222"/>
        <v>101.58333333333333</v>
      </c>
      <c r="AB352" s="168">
        <f t="shared" si="223"/>
        <v>118.25</v>
      </c>
      <c r="AC352" s="168">
        <f t="shared" si="224"/>
        <v>121.58333333333333</v>
      </c>
      <c r="AD352" s="168">
        <f t="shared" si="225"/>
        <v>117.25</v>
      </c>
      <c r="AE352" s="168">
        <f t="shared" si="226"/>
        <v>-8.3333333333333329E-2</v>
      </c>
      <c r="AF352" s="168">
        <f t="shared" si="227"/>
        <v>0</v>
      </c>
      <c r="AG352" s="170"/>
      <c r="AH352" s="170"/>
      <c r="AI352" s="170"/>
    </row>
    <row r="353" spans="2:35" s="163" customFormat="1">
      <c r="B353" s="163" t="s">
        <v>499</v>
      </c>
      <c r="C353" s="294">
        <v>2001</v>
      </c>
      <c r="D353" s="163">
        <v>101</v>
      </c>
      <c r="E353" s="163">
        <v>9</v>
      </c>
      <c r="F353" s="178">
        <v>0</v>
      </c>
      <c r="G353" s="177" t="s">
        <v>491</v>
      </c>
      <c r="H353" s="163">
        <v>20</v>
      </c>
      <c r="I353" s="163">
        <f t="shared" si="228"/>
        <v>121</v>
      </c>
      <c r="L353" s="168">
        <v>1655.96</v>
      </c>
      <c r="M353" s="170">
        <v>0</v>
      </c>
      <c r="N353" s="168">
        <f t="shared" si="229"/>
        <v>1655.96</v>
      </c>
      <c r="O353" s="168">
        <f t="shared" si="230"/>
        <v>6.8998333333333335</v>
      </c>
      <c r="P353" s="168">
        <f t="shared" si="231"/>
        <v>82.798000000000002</v>
      </c>
      <c r="Q353" s="168">
        <f t="shared" si="214"/>
        <v>0</v>
      </c>
      <c r="R353" s="168">
        <f t="shared" si="215"/>
        <v>82.798000000000002</v>
      </c>
      <c r="S353" s="179">
        <v>1</v>
      </c>
      <c r="T353" s="168">
        <f t="shared" si="216"/>
        <v>82.798000000000002</v>
      </c>
      <c r="U353" s="168">
        <f t="shared" si="217"/>
        <v>1290.2688333333331</v>
      </c>
      <c r="V353" s="168">
        <f t="shared" si="218"/>
        <v>1290.2688333333331</v>
      </c>
      <c r="W353" s="179">
        <v>1</v>
      </c>
      <c r="X353" s="168">
        <f t="shared" si="219"/>
        <v>1290.2688333333331</v>
      </c>
      <c r="Y353" s="168">
        <f t="shared" si="220"/>
        <v>1373.0668333333331</v>
      </c>
      <c r="Z353" s="175">
        <f t="shared" si="221"/>
        <v>324.29216666666696</v>
      </c>
      <c r="AA353" s="168">
        <f t="shared" si="222"/>
        <v>101.66666666666667</v>
      </c>
      <c r="AB353" s="168">
        <f t="shared" si="223"/>
        <v>118.25</v>
      </c>
      <c r="AC353" s="168">
        <f t="shared" si="224"/>
        <v>121.66666666666667</v>
      </c>
      <c r="AD353" s="168">
        <f t="shared" si="225"/>
        <v>117.25</v>
      </c>
      <c r="AE353" s="168">
        <f t="shared" si="226"/>
        <v>-8.3333333333333329E-2</v>
      </c>
      <c r="AF353" s="168">
        <f t="shared" si="227"/>
        <v>0</v>
      </c>
      <c r="AG353" s="170"/>
      <c r="AH353" s="170"/>
      <c r="AI353" s="170"/>
    </row>
    <row r="354" spans="2:35" s="163" customFormat="1">
      <c r="B354" s="163" t="s">
        <v>498</v>
      </c>
      <c r="C354" s="294">
        <v>2002</v>
      </c>
      <c r="D354" s="163">
        <v>102</v>
      </c>
      <c r="E354" s="163">
        <v>5</v>
      </c>
      <c r="F354" s="178">
        <v>0</v>
      </c>
      <c r="G354" s="177" t="s">
        <v>491</v>
      </c>
      <c r="H354" s="163">
        <v>20</v>
      </c>
      <c r="I354" s="163">
        <f t="shared" si="228"/>
        <v>122</v>
      </c>
      <c r="L354" s="168">
        <v>1334.33</v>
      </c>
      <c r="M354" s="170">
        <v>0</v>
      </c>
      <c r="N354" s="168">
        <f t="shared" si="229"/>
        <v>1334.33</v>
      </c>
      <c r="O354" s="168">
        <f t="shared" si="230"/>
        <v>5.559708333333333</v>
      </c>
      <c r="P354" s="168">
        <f t="shared" si="231"/>
        <v>66.716499999999996</v>
      </c>
      <c r="Q354" s="168">
        <f t="shared" si="214"/>
        <v>0</v>
      </c>
      <c r="R354" s="168">
        <f t="shared" si="215"/>
        <v>66.716499999999996</v>
      </c>
      <c r="S354" s="179">
        <v>1</v>
      </c>
      <c r="T354" s="168">
        <f t="shared" si="216"/>
        <v>66.716499999999996</v>
      </c>
      <c r="U354" s="168">
        <f t="shared" si="217"/>
        <v>995.18779166666695</v>
      </c>
      <c r="V354" s="168">
        <f t="shared" si="218"/>
        <v>995.18779166666695</v>
      </c>
      <c r="W354" s="179">
        <v>1</v>
      </c>
      <c r="X354" s="168">
        <f t="shared" si="219"/>
        <v>995.18779166666695</v>
      </c>
      <c r="Y354" s="168">
        <f t="shared" si="220"/>
        <v>1061.9042916666669</v>
      </c>
      <c r="Z354" s="175">
        <f t="shared" si="221"/>
        <v>305.78395833333298</v>
      </c>
      <c r="AA354" s="168">
        <f t="shared" si="222"/>
        <v>102.33333333333333</v>
      </c>
      <c r="AB354" s="168">
        <f t="shared" si="223"/>
        <v>118.25</v>
      </c>
      <c r="AC354" s="168">
        <f t="shared" si="224"/>
        <v>122.33333333333333</v>
      </c>
      <c r="AD354" s="168">
        <f t="shared" si="225"/>
        <v>117.25</v>
      </c>
      <c r="AE354" s="168">
        <f t="shared" si="226"/>
        <v>-8.3333333333333329E-2</v>
      </c>
      <c r="AF354" s="168">
        <f t="shared" si="227"/>
        <v>0</v>
      </c>
      <c r="AG354" s="170"/>
      <c r="AH354" s="170"/>
      <c r="AI354" s="170"/>
    </row>
    <row r="355" spans="2:35" s="163" customFormat="1">
      <c r="B355" s="163" t="s">
        <v>497</v>
      </c>
      <c r="C355" s="294">
        <v>2002</v>
      </c>
      <c r="D355" s="163">
        <v>102</v>
      </c>
      <c r="E355" s="163">
        <v>10</v>
      </c>
      <c r="F355" s="178">
        <v>0</v>
      </c>
      <c r="G355" s="177" t="s">
        <v>491</v>
      </c>
      <c r="H355" s="163">
        <v>20</v>
      </c>
      <c r="I355" s="163">
        <f t="shared" si="228"/>
        <v>122</v>
      </c>
      <c r="L355" s="168">
        <v>1147.74</v>
      </c>
      <c r="M355" s="170">
        <v>0</v>
      </c>
      <c r="N355" s="168">
        <f t="shared" si="229"/>
        <v>1147.74</v>
      </c>
      <c r="O355" s="168">
        <f t="shared" si="230"/>
        <v>4.7822500000000003</v>
      </c>
      <c r="P355" s="168">
        <f t="shared" si="231"/>
        <v>57.387</v>
      </c>
      <c r="Q355" s="168">
        <f t="shared" si="214"/>
        <v>0</v>
      </c>
      <c r="R355" s="168">
        <f t="shared" si="215"/>
        <v>57.387</v>
      </c>
      <c r="S355" s="179">
        <v>1</v>
      </c>
      <c r="T355" s="168">
        <f t="shared" si="216"/>
        <v>57.387</v>
      </c>
      <c r="U355" s="168">
        <f t="shared" si="217"/>
        <v>832.11150000000009</v>
      </c>
      <c r="V355" s="168">
        <f t="shared" si="218"/>
        <v>832.11150000000009</v>
      </c>
      <c r="W355" s="179">
        <v>1</v>
      </c>
      <c r="X355" s="168">
        <f t="shared" si="219"/>
        <v>832.11150000000009</v>
      </c>
      <c r="Y355" s="168">
        <f t="shared" si="220"/>
        <v>889.49850000000015</v>
      </c>
      <c r="Z355" s="175">
        <f t="shared" si="221"/>
        <v>286.93499999999989</v>
      </c>
      <c r="AA355" s="168">
        <f t="shared" si="222"/>
        <v>102.75</v>
      </c>
      <c r="AB355" s="168">
        <f t="shared" si="223"/>
        <v>118.25</v>
      </c>
      <c r="AC355" s="168">
        <f t="shared" si="224"/>
        <v>122.75</v>
      </c>
      <c r="AD355" s="168">
        <f t="shared" si="225"/>
        <v>117.25</v>
      </c>
      <c r="AE355" s="168">
        <f t="shared" si="226"/>
        <v>-8.3333333333333329E-2</v>
      </c>
      <c r="AF355" s="168">
        <f t="shared" si="227"/>
        <v>0</v>
      </c>
      <c r="AG355" s="170"/>
      <c r="AH355" s="170"/>
      <c r="AI355" s="170"/>
    </row>
    <row r="356" spans="2:35" s="163" customFormat="1">
      <c r="B356" s="163" t="s">
        <v>496</v>
      </c>
      <c r="C356" s="294">
        <v>2003</v>
      </c>
      <c r="D356" s="163">
        <v>103</v>
      </c>
      <c r="E356" s="163">
        <v>5</v>
      </c>
      <c r="F356" s="178">
        <v>0</v>
      </c>
      <c r="G356" s="177" t="s">
        <v>491</v>
      </c>
      <c r="H356" s="163">
        <v>20</v>
      </c>
      <c r="I356" s="163">
        <f t="shared" si="228"/>
        <v>123</v>
      </c>
      <c r="L356" s="168">
        <v>710.16</v>
      </c>
      <c r="M356" s="170">
        <v>0</v>
      </c>
      <c r="N356" s="168">
        <f t="shared" si="229"/>
        <v>710.16</v>
      </c>
      <c r="O356" s="168">
        <f t="shared" si="230"/>
        <v>2.9589999999999996</v>
      </c>
      <c r="P356" s="168">
        <f t="shared" si="231"/>
        <v>35.507999999999996</v>
      </c>
      <c r="Q356" s="168">
        <f t="shared" si="214"/>
        <v>0</v>
      </c>
      <c r="R356" s="168">
        <f t="shared" si="215"/>
        <v>35.507999999999996</v>
      </c>
      <c r="S356" s="179">
        <v>1</v>
      </c>
      <c r="T356" s="168">
        <f t="shared" si="216"/>
        <v>35.507999999999996</v>
      </c>
      <c r="U356" s="168">
        <f t="shared" si="217"/>
        <v>494.15300000000013</v>
      </c>
      <c r="V356" s="168">
        <f t="shared" si="218"/>
        <v>494.15300000000013</v>
      </c>
      <c r="W356" s="179">
        <v>1</v>
      </c>
      <c r="X356" s="168">
        <f t="shared" si="219"/>
        <v>494.15300000000013</v>
      </c>
      <c r="Y356" s="168">
        <f t="shared" si="220"/>
        <v>529.66100000000017</v>
      </c>
      <c r="Z356" s="175">
        <f t="shared" si="221"/>
        <v>198.25299999999982</v>
      </c>
      <c r="AA356" s="168">
        <f t="shared" si="222"/>
        <v>103.33333333333333</v>
      </c>
      <c r="AB356" s="168">
        <f t="shared" si="223"/>
        <v>118.25</v>
      </c>
      <c r="AC356" s="168">
        <f t="shared" si="224"/>
        <v>123.33333333333333</v>
      </c>
      <c r="AD356" s="168">
        <f t="shared" si="225"/>
        <v>117.25</v>
      </c>
      <c r="AE356" s="168">
        <f t="shared" si="226"/>
        <v>-8.3333333333333329E-2</v>
      </c>
      <c r="AF356" s="168">
        <f t="shared" si="227"/>
        <v>0</v>
      </c>
      <c r="AG356" s="170"/>
      <c r="AH356" s="170"/>
      <c r="AI356" s="170"/>
    </row>
    <row r="357" spans="2:35" s="163" customFormat="1">
      <c r="B357" s="163" t="s">
        <v>494</v>
      </c>
      <c r="C357" s="294">
        <v>2003</v>
      </c>
      <c r="D357" s="163">
        <v>103</v>
      </c>
      <c r="E357" s="163">
        <v>5</v>
      </c>
      <c r="F357" s="178">
        <v>0</v>
      </c>
      <c r="G357" s="177" t="s">
        <v>491</v>
      </c>
      <c r="H357" s="163">
        <v>20</v>
      </c>
      <c r="I357" s="163">
        <f t="shared" si="228"/>
        <v>123</v>
      </c>
      <c r="L357" s="168">
        <v>677.67</v>
      </c>
      <c r="M357" s="170">
        <v>0</v>
      </c>
      <c r="N357" s="168">
        <f t="shared" si="229"/>
        <v>677.67</v>
      </c>
      <c r="O357" s="168">
        <f t="shared" si="230"/>
        <v>2.8236249999999998</v>
      </c>
      <c r="P357" s="168">
        <f t="shared" si="231"/>
        <v>33.883499999999998</v>
      </c>
      <c r="Q357" s="168">
        <f t="shared" si="214"/>
        <v>0</v>
      </c>
      <c r="R357" s="168">
        <f t="shared" si="215"/>
        <v>33.883499999999998</v>
      </c>
      <c r="S357" s="179">
        <v>1</v>
      </c>
      <c r="T357" s="168">
        <f t="shared" si="216"/>
        <v>33.883499999999998</v>
      </c>
      <c r="U357" s="168">
        <f t="shared" si="217"/>
        <v>471.54537500000015</v>
      </c>
      <c r="V357" s="168">
        <f t="shared" si="218"/>
        <v>471.54537500000015</v>
      </c>
      <c r="W357" s="179">
        <v>1</v>
      </c>
      <c r="X357" s="168">
        <f t="shared" si="219"/>
        <v>471.54537500000015</v>
      </c>
      <c r="Y357" s="168">
        <f t="shared" si="220"/>
        <v>505.42887500000018</v>
      </c>
      <c r="Z357" s="175">
        <f t="shared" si="221"/>
        <v>189.1828749999998</v>
      </c>
      <c r="AA357" s="168">
        <f t="shared" si="222"/>
        <v>103.33333333333333</v>
      </c>
      <c r="AB357" s="168">
        <f t="shared" si="223"/>
        <v>118.25</v>
      </c>
      <c r="AC357" s="168">
        <f t="shared" si="224"/>
        <v>123.33333333333333</v>
      </c>
      <c r="AD357" s="168">
        <f t="shared" si="225"/>
        <v>117.25</v>
      </c>
      <c r="AE357" s="168">
        <f t="shared" si="226"/>
        <v>-8.3333333333333329E-2</v>
      </c>
      <c r="AF357" s="168">
        <f t="shared" si="227"/>
        <v>0</v>
      </c>
      <c r="AG357" s="170"/>
      <c r="AH357" s="170"/>
      <c r="AI357" s="170"/>
    </row>
    <row r="358" spans="2:35" s="163" customFormat="1">
      <c r="B358" s="163" t="s">
        <v>494</v>
      </c>
      <c r="C358" s="294">
        <v>2003</v>
      </c>
      <c r="D358" s="163">
        <v>103</v>
      </c>
      <c r="E358" s="163">
        <v>6</v>
      </c>
      <c r="F358" s="178">
        <v>0</v>
      </c>
      <c r="G358" s="177" t="s">
        <v>491</v>
      </c>
      <c r="H358" s="163">
        <v>20</v>
      </c>
      <c r="I358" s="163">
        <f t="shared" si="228"/>
        <v>123</v>
      </c>
      <c r="L358" s="168">
        <v>1124.25</v>
      </c>
      <c r="M358" s="170">
        <v>0</v>
      </c>
      <c r="N358" s="168">
        <f t="shared" si="229"/>
        <v>1124.25</v>
      </c>
      <c r="O358" s="168">
        <f t="shared" si="230"/>
        <v>4.6843750000000002</v>
      </c>
      <c r="P358" s="168">
        <f t="shared" si="231"/>
        <v>56.212500000000006</v>
      </c>
      <c r="Q358" s="168">
        <f t="shared" si="214"/>
        <v>0</v>
      </c>
      <c r="R358" s="168">
        <f t="shared" si="215"/>
        <v>56.212500000000006</v>
      </c>
      <c r="S358" s="179">
        <v>1</v>
      </c>
      <c r="T358" s="168">
        <f t="shared" si="216"/>
        <v>56.212500000000006</v>
      </c>
      <c r="U358" s="168">
        <f t="shared" si="217"/>
        <v>777.60624999999982</v>
      </c>
      <c r="V358" s="168">
        <f t="shared" si="218"/>
        <v>777.60624999999982</v>
      </c>
      <c r="W358" s="179">
        <v>1</v>
      </c>
      <c r="X358" s="168">
        <f t="shared" si="219"/>
        <v>777.60624999999982</v>
      </c>
      <c r="Y358" s="168">
        <f t="shared" si="220"/>
        <v>833.8187499999998</v>
      </c>
      <c r="Z358" s="175">
        <f t="shared" si="221"/>
        <v>318.53750000000019</v>
      </c>
      <c r="AA358" s="168">
        <f t="shared" si="222"/>
        <v>103.41666666666667</v>
      </c>
      <c r="AB358" s="168">
        <f t="shared" si="223"/>
        <v>118.25</v>
      </c>
      <c r="AC358" s="168">
        <f t="shared" si="224"/>
        <v>123.41666666666667</v>
      </c>
      <c r="AD358" s="168">
        <f t="shared" si="225"/>
        <v>117.25</v>
      </c>
      <c r="AE358" s="168">
        <f t="shared" si="226"/>
        <v>-8.3333333333333329E-2</v>
      </c>
      <c r="AF358" s="168">
        <f t="shared" si="227"/>
        <v>0</v>
      </c>
      <c r="AG358" s="170"/>
      <c r="AH358" s="170"/>
      <c r="AI358" s="170"/>
    </row>
    <row r="359" spans="2:35" s="163" customFormat="1">
      <c r="B359" s="163" t="s">
        <v>495</v>
      </c>
      <c r="C359" s="294">
        <v>2003</v>
      </c>
      <c r="D359" s="163">
        <v>103</v>
      </c>
      <c r="E359" s="163">
        <v>6</v>
      </c>
      <c r="F359" s="178">
        <v>0</v>
      </c>
      <c r="G359" s="177" t="s">
        <v>491</v>
      </c>
      <c r="H359" s="163">
        <v>20</v>
      </c>
      <c r="I359" s="163">
        <f t="shared" si="228"/>
        <v>123</v>
      </c>
      <c r="L359" s="168">
        <v>322.8</v>
      </c>
      <c r="M359" s="170">
        <v>0</v>
      </c>
      <c r="N359" s="168">
        <f t="shared" si="229"/>
        <v>322.8</v>
      </c>
      <c r="O359" s="168">
        <f t="shared" si="230"/>
        <v>1.345</v>
      </c>
      <c r="P359" s="168">
        <f t="shared" si="231"/>
        <v>16.14</v>
      </c>
      <c r="Q359" s="168">
        <f t="shared" si="214"/>
        <v>0</v>
      </c>
      <c r="R359" s="168">
        <f t="shared" si="215"/>
        <v>16.14</v>
      </c>
      <c r="S359" s="179">
        <v>1</v>
      </c>
      <c r="T359" s="168">
        <f t="shared" si="216"/>
        <v>16.14</v>
      </c>
      <c r="U359" s="168">
        <f t="shared" si="217"/>
        <v>223.26999999999992</v>
      </c>
      <c r="V359" s="168">
        <f t="shared" si="218"/>
        <v>223.26999999999992</v>
      </c>
      <c r="W359" s="179">
        <v>1</v>
      </c>
      <c r="X359" s="168">
        <f t="shared" si="219"/>
        <v>223.26999999999992</v>
      </c>
      <c r="Y359" s="168">
        <f t="shared" si="220"/>
        <v>239.40999999999991</v>
      </c>
      <c r="Z359" s="175">
        <f t="shared" si="221"/>
        <v>91.460000000000093</v>
      </c>
      <c r="AA359" s="168">
        <f t="shared" si="222"/>
        <v>103.41666666666667</v>
      </c>
      <c r="AB359" s="168">
        <f t="shared" si="223"/>
        <v>118.25</v>
      </c>
      <c r="AC359" s="168">
        <f t="shared" si="224"/>
        <v>123.41666666666667</v>
      </c>
      <c r="AD359" s="168">
        <f t="shared" si="225"/>
        <v>117.25</v>
      </c>
      <c r="AE359" s="168">
        <f t="shared" si="226"/>
        <v>-8.3333333333333329E-2</v>
      </c>
      <c r="AF359" s="168">
        <f t="shared" si="227"/>
        <v>0</v>
      </c>
      <c r="AG359" s="170"/>
      <c r="AH359" s="170"/>
      <c r="AI359" s="170"/>
    </row>
    <row r="360" spans="2:35" s="163" customFormat="1">
      <c r="B360" s="163" t="s">
        <v>494</v>
      </c>
      <c r="C360" s="294">
        <v>2003</v>
      </c>
      <c r="D360" s="163">
        <v>103</v>
      </c>
      <c r="E360" s="163">
        <v>7</v>
      </c>
      <c r="F360" s="178">
        <v>0</v>
      </c>
      <c r="G360" s="177" t="s">
        <v>491</v>
      </c>
      <c r="H360" s="163">
        <v>20</v>
      </c>
      <c r="I360" s="163">
        <f t="shared" si="228"/>
        <v>123</v>
      </c>
      <c r="L360" s="168">
        <v>2485.56</v>
      </c>
      <c r="M360" s="170">
        <v>0</v>
      </c>
      <c r="N360" s="168">
        <f t="shared" si="229"/>
        <v>2485.56</v>
      </c>
      <c r="O360" s="168">
        <f t="shared" si="230"/>
        <v>10.356499999999999</v>
      </c>
      <c r="P360" s="168">
        <f t="shared" si="231"/>
        <v>124.27799999999999</v>
      </c>
      <c r="Q360" s="168">
        <f t="shared" si="214"/>
        <v>0</v>
      </c>
      <c r="R360" s="168">
        <f t="shared" si="215"/>
        <v>124.27799999999999</v>
      </c>
      <c r="S360" s="179">
        <v>1</v>
      </c>
      <c r="T360" s="168">
        <f t="shared" si="216"/>
        <v>124.27799999999999</v>
      </c>
      <c r="U360" s="168">
        <f t="shared" si="217"/>
        <v>1708.8224999999998</v>
      </c>
      <c r="V360" s="168">
        <f t="shared" si="218"/>
        <v>1708.8224999999998</v>
      </c>
      <c r="W360" s="179">
        <v>1</v>
      </c>
      <c r="X360" s="168">
        <f t="shared" si="219"/>
        <v>1708.8224999999998</v>
      </c>
      <c r="Y360" s="168">
        <f t="shared" si="220"/>
        <v>1833.1004999999998</v>
      </c>
      <c r="Z360" s="175">
        <f t="shared" si="221"/>
        <v>714.59850000000017</v>
      </c>
      <c r="AA360" s="168">
        <f t="shared" si="222"/>
        <v>103.5</v>
      </c>
      <c r="AB360" s="168">
        <f t="shared" si="223"/>
        <v>118.25</v>
      </c>
      <c r="AC360" s="168">
        <f t="shared" si="224"/>
        <v>123.5</v>
      </c>
      <c r="AD360" s="168">
        <f t="shared" si="225"/>
        <v>117.25</v>
      </c>
      <c r="AE360" s="168">
        <f t="shared" si="226"/>
        <v>-8.3333333333333329E-2</v>
      </c>
      <c r="AF360" s="168">
        <f t="shared" si="227"/>
        <v>0</v>
      </c>
      <c r="AG360" s="170"/>
      <c r="AH360" s="170"/>
      <c r="AI360" s="170"/>
    </row>
    <row r="361" spans="2:35" s="163" customFormat="1">
      <c r="B361" s="163" t="s">
        <v>494</v>
      </c>
      <c r="C361" s="294">
        <v>2003</v>
      </c>
      <c r="D361" s="163">
        <v>103</v>
      </c>
      <c r="E361" s="163">
        <v>8</v>
      </c>
      <c r="F361" s="178">
        <v>0</v>
      </c>
      <c r="G361" s="177" t="s">
        <v>491</v>
      </c>
      <c r="H361" s="163">
        <v>20</v>
      </c>
      <c r="I361" s="163">
        <f t="shared" si="228"/>
        <v>123</v>
      </c>
      <c r="L361" s="168">
        <v>2065.92</v>
      </c>
      <c r="M361" s="170">
        <v>0</v>
      </c>
      <c r="N361" s="168">
        <f t="shared" si="229"/>
        <v>2065.92</v>
      </c>
      <c r="O361" s="168">
        <f t="shared" si="230"/>
        <v>8.6080000000000005</v>
      </c>
      <c r="P361" s="168">
        <f t="shared" si="231"/>
        <v>103.29600000000001</v>
      </c>
      <c r="Q361" s="168">
        <f t="shared" si="214"/>
        <v>0</v>
      </c>
      <c r="R361" s="168">
        <f t="shared" si="215"/>
        <v>103.29600000000001</v>
      </c>
      <c r="S361" s="179">
        <v>1</v>
      </c>
      <c r="T361" s="168">
        <f t="shared" si="216"/>
        <v>103.29600000000001</v>
      </c>
      <c r="U361" s="168">
        <f t="shared" si="217"/>
        <v>1411.7120000000007</v>
      </c>
      <c r="V361" s="168">
        <f t="shared" si="218"/>
        <v>1411.7120000000007</v>
      </c>
      <c r="W361" s="179">
        <v>1</v>
      </c>
      <c r="X361" s="168">
        <f t="shared" si="219"/>
        <v>1411.7120000000007</v>
      </c>
      <c r="Y361" s="168">
        <f t="shared" si="220"/>
        <v>1515.0080000000007</v>
      </c>
      <c r="Z361" s="175">
        <f t="shared" si="221"/>
        <v>602.55999999999938</v>
      </c>
      <c r="AA361" s="168">
        <f t="shared" si="222"/>
        <v>103.58333333333333</v>
      </c>
      <c r="AB361" s="168">
        <f t="shared" si="223"/>
        <v>118.25</v>
      </c>
      <c r="AC361" s="168">
        <f t="shared" si="224"/>
        <v>123.58333333333333</v>
      </c>
      <c r="AD361" s="168">
        <f t="shared" si="225"/>
        <v>117.25</v>
      </c>
      <c r="AE361" s="168">
        <f t="shared" si="226"/>
        <v>-8.3333333333333329E-2</v>
      </c>
      <c r="AF361" s="168">
        <f t="shared" si="227"/>
        <v>0</v>
      </c>
      <c r="AG361" s="170"/>
      <c r="AH361" s="170"/>
      <c r="AI361" s="170"/>
    </row>
    <row r="362" spans="2:35" s="163" customFormat="1">
      <c r="B362" s="163" t="s">
        <v>494</v>
      </c>
      <c r="C362" s="294">
        <v>2003</v>
      </c>
      <c r="D362" s="163">
        <v>103</v>
      </c>
      <c r="E362" s="163">
        <v>8</v>
      </c>
      <c r="F362" s="178">
        <v>0</v>
      </c>
      <c r="G362" s="177" t="s">
        <v>491</v>
      </c>
      <c r="H362" s="163">
        <v>20</v>
      </c>
      <c r="I362" s="163">
        <f t="shared" si="228"/>
        <v>123</v>
      </c>
      <c r="L362" s="168">
        <v>940.56</v>
      </c>
      <c r="M362" s="170">
        <v>0</v>
      </c>
      <c r="N362" s="168">
        <f t="shared" si="229"/>
        <v>940.56</v>
      </c>
      <c r="O362" s="168">
        <f t="shared" si="230"/>
        <v>3.919</v>
      </c>
      <c r="P362" s="168">
        <f t="shared" si="231"/>
        <v>47.027999999999999</v>
      </c>
      <c r="Q362" s="168">
        <f t="shared" si="214"/>
        <v>0</v>
      </c>
      <c r="R362" s="168">
        <f t="shared" si="215"/>
        <v>47.027999999999999</v>
      </c>
      <c r="S362" s="179">
        <v>1</v>
      </c>
      <c r="T362" s="168">
        <f t="shared" si="216"/>
        <v>47.027999999999999</v>
      </c>
      <c r="U362" s="168">
        <f t="shared" si="217"/>
        <v>642.71600000000024</v>
      </c>
      <c r="V362" s="168">
        <f t="shared" si="218"/>
        <v>642.71600000000024</v>
      </c>
      <c r="W362" s="179">
        <v>1</v>
      </c>
      <c r="X362" s="168">
        <f t="shared" si="219"/>
        <v>642.71600000000024</v>
      </c>
      <c r="Y362" s="168">
        <f t="shared" si="220"/>
        <v>689.74400000000026</v>
      </c>
      <c r="Z362" s="175">
        <f t="shared" si="221"/>
        <v>274.3299999999997</v>
      </c>
      <c r="AA362" s="168">
        <f t="shared" si="222"/>
        <v>103.58333333333333</v>
      </c>
      <c r="AB362" s="168">
        <f t="shared" si="223"/>
        <v>118.25</v>
      </c>
      <c r="AC362" s="168">
        <f t="shared" si="224"/>
        <v>123.58333333333333</v>
      </c>
      <c r="AD362" s="168">
        <f t="shared" si="225"/>
        <v>117.25</v>
      </c>
      <c r="AE362" s="168">
        <f t="shared" si="226"/>
        <v>-8.3333333333333329E-2</v>
      </c>
      <c r="AF362" s="168">
        <f t="shared" si="227"/>
        <v>0</v>
      </c>
      <c r="AG362" s="170"/>
      <c r="AH362" s="170"/>
      <c r="AI362" s="170"/>
    </row>
    <row r="363" spans="2:35" s="163" customFormat="1">
      <c r="B363" s="163" t="s">
        <v>494</v>
      </c>
      <c r="C363" s="294">
        <v>2003</v>
      </c>
      <c r="D363" s="163">
        <v>103</v>
      </c>
      <c r="E363" s="163">
        <v>9</v>
      </c>
      <c r="F363" s="178">
        <v>0</v>
      </c>
      <c r="G363" s="177" t="s">
        <v>491</v>
      </c>
      <c r="H363" s="163">
        <v>20</v>
      </c>
      <c r="I363" s="163">
        <f t="shared" si="228"/>
        <v>123</v>
      </c>
      <c r="L363" s="168">
        <v>1221.49</v>
      </c>
      <c r="M363" s="170">
        <v>0</v>
      </c>
      <c r="N363" s="168">
        <f t="shared" si="229"/>
        <v>1221.49</v>
      </c>
      <c r="O363" s="168">
        <f t="shared" si="230"/>
        <v>5.0895416666666664</v>
      </c>
      <c r="P363" s="168">
        <f t="shared" si="231"/>
        <v>61.0745</v>
      </c>
      <c r="Q363" s="168">
        <f t="shared" si="214"/>
        <v>0</v>
      </c>
      <c r="R363" s="168">
        <f t="shared" si="215"/>
        <v>61.0745</v>
      </c>
      <c r="S363" s="179">
        <v>1</v>
      </c>
      <c r="T363" s="168">
        <f t="shared" si="216"/>
        <v>61.0745</v>
      </c>
      <c r="U363" s="168">
        <f t="shared" si="217"/>
        <v>829.5952916666663</v>
      </c>
      <c r="V363" s="168">
        <f t="shared" si="218"/>
        <v>829.5952916666663</v>
      </c>
      <c r="W363" s="179">
        <v>1</v>
      </c>
      <c r="X363" s="168">
        <f t="shared" si="219"/>
        <v>829.5952916666663</v>
      </c>
      <c r="Y363" s="168">
        <f t="shared" si="220"/>
        <v>890.66979166666624</v>
      </c>
      <c r="Z363" s="175">
        <f t="shared" si="221"/>
        <v>361.35745833333374</v>
      </c>
      <c r="AA363" s="168">
        <f t="shared" si="222"/>
        <v>103.66666666666667</v>
      </c>
      <c r="AB363" s="168">
        <f t="shared" si="223"/>
        <v>118.25</v>
      </c>
      <c r="AC363" s="168">
        <f t="shared" si="224"/>
        <v>123.66666666666667</v>
      </c>
      <c r="AD363" s="168">
        <f t="shared" si="225"/>
        <v>117.25</v>
      </c>
      <c r="AE363" s="168">
        <f t="shared" si="226"/>
        <v>-8.3333333333333329E-2</v>
      </c>
      <c r="AF363" s="168">
        <f t="shared" si="227"/>
        <v>0</v>
      </c>
      <c r="AG363" s="170"/>
      <c r="AH363" s="170"/>
      <c r="AI363" s="170"/>
    </row>
    <row r="364" spans="2:35" s="163" customFormat="1">
      <c r="B364" s="163" t="s">
        <v>493</v>
      </c>
      <c r="C364" s="294">
        <v>2003</v>
      </c>
      <c r="D364" s="163">
        <v>103</v>
      </c>
      <c r="E364" s="163">
        <v>9</v>
      </c>
      <c r="F364" s="178">
        <v>0</v>
      </c>
      <c r="G364" s="177" t="s">
        <v>491</v>
      </c>
      <c r="H364" s="163">
        <v>20</v>
      </c>
      <c r="I364" s="163">
        <f t="shared" si="228"/>
        <v>123</v>
      </c>
      <c r="L364" s="168">
        <v>1704.53</v>
      </c>
      <c r="M364" s="170">
        <v>0</v>
      </c>
      <c r="N364" s="168">
        <f t="shared" si="229"/>
        <v>1704.53</v>
      </c>
      <c r="O364" s="168">
        <f t="shared" si="230"/>
        <v>7.1022083333333335</v>
      </c>
      <c r="P364" s="168">
        <f t="shared" si="231"/>
        <v>85.226500000000001</v>
      </c>
      <c r="Q364" s="168">
        <f t="shared" si="214"/>
        <v>0</v>
      </c>
      <c r="R364" s="168">
        <f t="shared" si="215"/>
        <v>85.226500000000001</v>
      </c>
      <c r="S364" s="179">
        <v>1</v>
      </c>
      <c r="T364" s="168">
        <f t="shared" si="216"/>
        <v>85.226500000000001</v>
      </c>
      <c r="U364" s="168">
        <f t="shared" si="217"/>
        <v>1157.659958333333</v>
      </c>
      <c r="V364" s="168">
        <f t="shared" si="218"/>
        <v>1157.659958333333</v>
      </c>
      <c r="W364" s="176">
        <v>1</v>
      </c>
      <c r="X364" s="168">
        <f t="shared" si="219"/>
        <v>1157.659958333333</v>
      </c>
      <c r="Y364" s="168">
        <f t="shared" si="220"/>
        <v>1242.8864583333329</v>
      </c>
      <c r="Z364" s="175">
        <f t="shared" si="221"/>
        <v>504.25679166666703</v>
      </c>
      <c r="AA364" s="175">
        <f t="shared" si="222"/>
        <v>103.66666666666667</v>
      </c>
      <c r="AB364" s="175">
        <f t="shared" si="223"/>
        <v>118.25</v>
      </c>
      <c r="AC364" s="175">
        <f t="shared" si="224"/>
        <v>123.66666666666667</v>
      </c>
      <c r="AD364" s="175">
        <f t="shared" si="225"/>
        <v>117.25</v>
      </c>
      <c r="AE364" s="175">
        <f t="shared" si="226"/>
        <v>-8.3333333333333329E-2</v>
      </c>
      <c r="AF364" s="168">
        <f t="shared" si="227"/>
        <v>0</v>
      </c>
      <c r="AG364" s="170"/>
      <c r="AH364" s="170"/>
      <c r="AI364" s="170"/>
    </row>
    <row r="365" spans="2:35" s="163" customFormat="1">
      <c r="B365" s="163" t="s">
        <v>492</v>
      </c>
      <c r="C365" s="294">
        <v>2003</v>
      </c>
      <c r="D365" s="163">
        <v>103</v>
      </c>
      <c r="E365" s="163">
        <v>10</v>
      </c>
      <c r="F365" s="178">
        <v>0</v>
      </c>
      <c r="G365" s="177" t="s">
        <v>491</v>
      </c>
      <c r="H365" s="163">
        <v>20</v>
      </c>
      <c r="I365" s="163">
        <f t="shared" si="228"/>
        <v>123</v>
      </c>
      <c r="L365" s="168">
        <v>1248.04</v>
      </c>
      <c r="M365" s="170">
        <v>0</v>
      </c>
      <c r="N365" s="168">
        <f t="shared" si="229"/>
        <v>1248.04</v>
      </c>
      <c r="O365" s="168">
        <f t="shared" si="230"/>
        <v>5.200166666666667</v>
      </c>
      <c r="P365" s="168">
        <f t="shared" si="231"/>
        <v>62.402000000000001</v>
      </c>
      <c r="Q365" s="168">
        <f t="shared" si="214"/>
        <v>0</v>
      </c>
      <c r="R365" s="168">
        <f t="shared" si="215"/>
        <v>62.402000000000001</v>
      </c>
      <c r="S365" s="176">
        <v>1</v>
      </c>
      <c r="T365" s="175">
        <f t="shared" si="216"/>
        <v>62.402000000000001</v>
      </c>
      <c r="U365" s="168">
        <f t="shared" si="217"/>
        <v>842.42700000000002</v>
      </c>
      <c r="V365" s="168">
        <f t="shared" si="218"/>
        <v>842.42700000000002</v>
      </c>
      <c r="W365" s="176">
        <v>1</v>
      </c>
      <c r="X365" s="168">
        <f t="shared" si="219"/>
        <v>842.42700000000002</v>
      </c>
      <c r="Y365" s="168">
        <f t="shared" si="220"/>
        <v>904.82900000000006</v>
      </c>
      <c r="Z365" s="175">
        <f t="shared" si="221"/>
        <v>374.41199999999992</v>
      </c>
      <c r="AA365" s="175">
        <f t="shared" si="222"/>
        <v>103.75</v>
      </c>
      <c r="AB365" s="175">
        <f t="shared" si="223"/>
        <v>118.25</v>
      </c>
      <c r="AC365" s="175">
        <f t="shared" si="224"/>
        <v>123.75</v>
      </c>
      <c r="AD365" s="175">
        <f t="shared" si="225"/>
        <v>117.25</v>
      </c>
      <c r="AE365" s="175">
        <f t="shared" si="226"/>
        <v>-8.3333333333333329E-2</v>
      </c>
      <c r="AF365" s="168">
        <f t="shared" si="227"/>
        <v>0</v>
      </c>
      <c r="AG365" s="170"/>
      <c r="AH365" s="170"/>
      <c r="AI365" s="170"/>
    </row>
    <row r="366" spans="2:35" s="163" customFormat="1">
      <c r="L366" s="629"/>
      <c r="M366" s="630"/>
      <c r="N366" s="629"/>
      <c r="O366" s="629"/>
      <c r="P366" s="629"/>
      <c r="Q366" s="629"/>
      <c r="R366" s="629"/>
      <c r="S366" s="631"/>
      <c r="T366" s="629"/>
      <c r="U366" s="629"/>
      <c r="V366" s="629"/>
      <c r="W366" s="631"/>
      <c r="X366" s="629"/>
      <c r="Y366" s="629"/>
      <c r="Z366" s="629"/>
      <c r="AA366" s="630"/>
      <c r="AB366" s="630"/>
      <c r="AC366" s="630"/>
      <c r="AD366" s="630"/>
      <c r="AE366" s="630"/>
      <c r="AF366" s="632"/>
      <c r="AG366" s="170"/>
      <c r="AH366" s="170"/>
      <c r="AI366" s="170"/>
    </row>
    <row r="367" spans="2:35" s="163" customFormat="1" ht="15.95" customHeight="1" thickBot="1">
      <c r="B367" s="174" t="s">
        <v>490</v>
      </c>
      <c r="C367" s="174"/>
      <c r="K367" s="896" t="s">
        <v>966</v>
      </c>
      <c r="L367" s="173">
        <f>SUM(L338:L365)</f>
        <v>54736.67</v>
      </c>
      <c r="M367" s="175"/>
      <c r="N367" s="173">
        <f>SUM(N338:N365)</f>
        <v>54736.67</v>
      </c>
      <c r="O367" s="173">
        <f>SUM(O338:O365)</f>
        <v>228.06945833333336</v>
      </c>
      <c r="P367" s="173">
        <f>SUM(P338:P365)</f>
        <v>2736.8334999999997</v>
      </c>
      <c r="Q367" s="173"/>
      <c r="R367" s="173">
        <f>SUM(R338:R365)</f>
        <v>2736.8334999999997</v>
      </c>
      <c r="S367" s="165"/>
      <c r="T367" s="173">
        <f>SUM(T338:T365)</f>
        <v>2736.8334999999997</v>
      </c>
      <c r="U367" s="173">
        <f>SUM(U338:U365)</f>
        <v>42444.416083333323</v>
      </c>
      <c r="V367" s="173">
        <f>SUM(V338:V365)</f>
        <v>42444.416083333323</v>
      </c>
      <c r="W367" s="165"/>
      <c r="X367" s="173">
        <f>SUM(X338:X365)</f>
        <v>42444.416083333323</v>
      </c>
      <c r="Y367" s="173">
        <f>SUM(Y338:Y365)</f>
        <v>45181.249583333338</v>
      </c>
      <c r="Z367" s="173">
        <f>SUM(Z338:Z365)</f>
        <v>10923.837166666666</v>
      </c>
      <c r="AA367" s="175"/>
      <c r="AB367" s="175"/>
      <c r="AC367" s="186"/>
      <c r="AD367" s="186"/>
      <c r="AE367" s="186"/>
      <c r="AF367" s="181">
        <f>SUM(AF338:AF365)</f>
        <v>0</v>
      </c>
      <c r="AG367" s="170"/>
      <c r="AH367" s="170"/>
      <c r="AI367" s="170"/>
    </row>
    <row r="368" spans="2:35" s="163" customFormat="1" ht="16.5" thickTop="1">
      <c r="B368" s="163" t="s">
        <v>489</v>
      </c>
      <c r="L368" s="170">
        <f>SUM(L356:L364)+L355</f>
        <v>12400.68</v>
      </c>
      <c r="M368" s="170">
        <f t="shared" ref="M368:R368" si="232">SUM(M356:M364)+M355</f>
        <v>0</v>
      </c>
      <c r="N368" s="170">
        <f t="shared" si="232"/>
        <v>12400.68</v>
      </c>
      <c r="O368" s="170">
        <f t="shared" si="232"/>
        <v>51.669499999999992</v>
      </c>
      <c r="P368" s="170">
        <f t="shared" si="232"/>
        <v>620.03400000000011</v>
      </c>
      <c r="Q368" s="170">
        <f t="shared" si="232"/>
        <v>0</v>
      </c>
      <c r="R368" s="170">
        <f t="shared" si="232"/>
        <v>620.03400000000011</v>
      </c>
      <c r="S368" s="170"/>
      <c r="T368" s="170">
        <f>SUM(T356:T364)+T355</f>
        <v>620.03400000000011</v>
      </c>
      <c r="U368" s="170">
        <f>SUM(U356:U364)+U355</f>
        <v>8549.1918750000004</v>
      </c>
      <c r="V368" s="170">
        <f>SUM(V356:V364)+V355</f>
        <v>8549.1918750000004</v>
      </c>
      <c r="W368" s="170"/>
      <c r="X368" s="170">
        <f>SUM(X356:X364)+X355</f>
        <v>8549.1918750000004</v>
      </c>
      <c r="Y368" s="170">
        <f>SUM(Y356:Y364)+Y355</f>
        <v>9169.2258750000001</v>
      </c>
      <c r="Z368" s="170">
        <f>SUM(Z356:Z364)+Z355</f>
        <v>3541.471125</v>
      </c>
      <c r="AA368" s="186"/>
      <c r="AB368" s="186"/>
      <c r="AC368" s="186"/>
      <c r="AD368" s="186"/>
      <c r="AE368" s="186"/>
      <c r="AF368" s="170"/>
      <c r="AG368" s="170"/>
      <c r="AH368" s="170"/>
      <c r="AI368" s="170"/>
    </row>
    <row r="369" spans="12:35" s="163" customFormat="1">
      <c r="L369" s="168">
        <f>+L367-L368</f>
        <v>42335.99</v>
      </c>
      <c r="M369" s="168">
        <f t="shared" ref="M369:R369" si="233">+M367-M368</f>
        <v>0</v>
      </c>
      <c r="N369" s="168">
        <f t="shared" si="233"/>
        <v>42335.99</v>
      </c>
      <c r="O369" s="168">
        <f t="shared" si="233"/>
        <v>176.39995833333336</v>
      </c>
      <c r="P369" s="168">
        <f t="shared" si="233"/>
        <v>2116.7994999999996</v>
      </c>
      <c r="Q369" s="168">
        <f t="shared" si="233"/>
        <v>0</v>
      </c>
      <c r="R369" s="168">
        <f t="shared" si="233"/>
        <v>2116.7994999999996</v>
      </c>
      <c r="S369" s="168"/>
      <c r="T369" s="168">
        <f>+T367-T368</f>
        <v>2116.7994999999996</v>
      </c>
      <c r="U369" s="168">
        <f>+U367-U368</f>
        <v>33895.224208333326</v>
      </c>
      <c r="V369" s="168">
        <f>+V367-V368</f>
        <v>33895.224208333326</v>
      </c>
      <c r="W369" s="168"/>
      <c r="X369" s="168">
        <f>+X367-X368</f>
        <v>33895.224208333326</v>
      </c>
      <c r="Y369" s="168">
        <f>+Y367-Y368</f>
        <v>36012.023708333334</v>
      </c>
      <c r="Z369" s="168">
        <f>+Z367-Z368</f>
        <v>7382.3660416666662</v>
      </c>
      <c r="AA369" s="186"/>
      <c r="AB369" s="186"/>
      <c r="AC369" s="186"/>
      <c r="AD369" s="186"/>
      <c r="AE369" s="186"/>
      <c r="AF369" s="170"/>
      <c r="AG369" s="170"/>
      <c r="AH369" s="170"/>
      <c r="AI369" s="170"/>
    </row>
    <row r="370" spans="12:35" s="163" customFormat="1">
      <c r="L370" s="168"/>
      <c r="M370" s="170"/>
      <c r="N370" s="168"/>
      <c r="O370" s="170"/>
      <c r="P370" s="170"/>
      <c r="Q370" s="170"/>
      <c r="R370" s="170"/>
      <c r="T370" s="170"/>
      <c r="U370" s="168"/>
      <c r="V370" s="168"/>
      <c r="W370" s="165"/>
      <c r="X370" s="168"/>
      <c r="Y370" s="168"/>
      <c r="Z370" s="168"/>
      <c r="AA370" s="170"/>
      <c r="AB370" s="170"/>
      <c r="AC370" s="170"/>
      <c r="AD370" s="170"/>
      <c r="AE370" s="170"/>
      <c r="AF370" s="170"/>
      <c r="AG370" s="170"/>
      <c r="AH370" s="170"/>
      <c r="AI370" s="170"/>
    </row>
    <row r="371" spans="12:35">
      <c r="L371" s="168"/>
      <c r="M371" s="164"/>
      <c r="N371" s="166"/>
      <c r="O371" s="164"/>
      <c r="P371" s="164"/>
      <c r="Q371" s="164"/>
      <c r="R371" s="164"/>
      <c r="T371" s="164"/>
      <c r="U371" s="166"/>
      <c r="V371" s="166"/>
      <c r="W371" s="167"/>
      <c r="X371" s="166"/>
      <c r="Y371" s="166"/>
      <c r="Z371" s="166"/>
      <c r="AA371" s="164"/>
      <c r="AB371" s="164"/>
      <c r="AC371" s="164"/>
      <c r="AD371" s="164"/>
      <c r="AE371" s="164"/>
      <c r="AF371" s="164"/>
      <c r="AG371" s="164"/>
      <c r="AH371" s="164"/>
      <c r="AI371" s="164"/>
    </row>
    <row r="372" spans="12:35">
      <c r="L372" s="168"/>
      <c r="M372" s="164"/>
      <c r="N372" s="166"/>
      <c r="O372" s="164"/>
      <c r="P372" s="164"/>
      <c r="Q372" s="164"/>
      <c r="R372" s="164"/>
      <c r="T372" s="164"/>
      <c r="U372" s="164"/>
      <c r="V372" s="164"/>
      <c r="X372" s="164"/>
      <c r="Y372" s="164"/>
      <c r="Z372" s="164"/>
      <c r="AA372" s="164"/>
      <c r="AB372" s="164"/>
      <c r="AC372" s="164"/>
      <c r="AD372" s="164"/>
      <c r="AE372" s="164"/>
      <c r="AF372" s="164"/>
      <c r="AG372" s="164"/>
      <c r="AH372" s="164"/>
      <c r="AI372" s="164"/>
    </row>
    <row r="373" spans="12:35">
      <c r="L373" s="168">
        <f>+L367+L334+L192+L176+L165+L147+L102+L42</f>
        <v>3414804.4323000005</v>
      </c>
      <c r="M373" s="164"/>
      <c r="N373" s="166"/>
      <c r="O373" s="166"/>
      <c r="P373" s="166"/>
      <c r="Q373" s="166"/>
      <c r="R373" s="166"/>
      <c r="S373" s="167"/>
      <c r="T373" s="166"/>
      <c r="U373" s="166"/>
      <c r="V373" s="166"/>
      <c r="W373" s="167"/>
      <c r="X373" s="168">
        <f>+X367+X334+X192+X176+X165+X147+X102+X42</f>
        <v>1563776.2039783332</v>
      </c>
      <c r="Y373" s="168">
        <f>+Y367+Y334+Y192+Y176+Y165+Y147+Y102+Y42</f>
        <v>1781296.2941865714</v>
      </c>
      <c r="Z373" s="166"/>
      <c r="AA373" s="164"/>
      <c r="AB373" s="164"/>
      <c r="AC373" s="164"/>
      <c r="AD373" s="164"/>
      <c r="AE373" s="164"/>
      <c r="AF373" s="164"/>
      <c r="AG373" s="164"/>
      <c r="AH373" s="164"/>
      <c r="AI373" s="164"/>
    </row>
    <row r="374" spans="12:35">
      <c r="L374" s="168">
        <v>64326.82</v>
      </c>
      <c r="M374" s="168"/>
      <c r="N374" s="168"/>
      <c r="O374" s="168"/>
      <c r="P374" s="168"/>
      <c r="Q374" s="168"/>
      <c r="R374" s="168"/>
      <c r="S374" s="168"/>
      <c r="T374" s="168"/>
      <c r="U374" s="168"/>
      <c r="V374" s="168"/>
      <c r="W374" s="168"/>
      <c r="X374" s="168"/>
      <c r="Y374" s="168"/>
      <c r="Z374" s="168"/>
      <c r="AA374" s="168"/>
      <c r="AB374" s="168"/>
      <c r="AC374" s="168"/>
      <c r="AD374" s="168"/>
      <c r="AE374" s="168"/>
      <c r="AF374" s="168"/>
      <c r="AG374" s="164"/>
      <c r="AH374" s="164"/>
      <c r="AI374" s="164"/>
    </row>
    <row r="375" spans="12:35">
      <c r="L375" s="168">
        <v>63822.74</v>
      </c>
      <c r="M375" s="164"/>
      <c r="N375" s="166"/>
      <c r="O375" s="164"/>
      <c r="P375" s="164"/>
      <c r="Q375" s="164"/>
      <c r="R375" s="166"/>
      <c r="T375" s="164"/>
      <c r="U375" s="164"/>
      <c r="V375" s="164"/>
      <c r="X375" s="164"/>
      <c r="Y375" s="164">
        <f>-V374</f>
        <v>0</v>
      </c>
      <c r="Z375" s="164"/>
      <c r="AA375" s="164"/>
      <c r="AB375" s="164"/>
      <c r="AC375" s="164"/>
      <c r="AD375" s="164"/>
      <c r="AE375" s="164"/>
      <c r="AF375" s="164"/>
      <c r="AG375" s="164"/>
      <c r="AH375" s="164"/>
      <c r="AI375" s="164"/>
    </row>
    <row r="376" spans="12:35">
      <c r="L376" s="168">
        <v>30544.75</v>
      </c>
      <c r="M376" s="164"/>
      <c r="N376" s="166"/>
      <c r="O376" s="164"/>
      <c r="P376" s="166"/>
      <c r="Q376" s="164"/>
      <c r="R376" s="166"/>
      <c r="T376" s="164"/>
      <c r="U376" s="166"/>
      <c r="V376" s="166"/>
      <c r="X376" s="166"/>
      <c r="Y376" s="166">
        <f>SUM(Y374:Y375)</f>
        <v>0</v>
      </c>
      <c r="Z376" s="166"/>
      <c r="AA376" s="164"/>
      <c r="AB376" s="164"/>
      <c r="AC376" s="164"/>
      <c r="AD376" s="164"/>
      <c r="AE376" s="164"/>
      <c r="AF376" s="164"/>
      <c r="AG376" s="164"/>
      <c r="AH376" s="164"/>
      <c r="AI376" s="164"/>
    </row>
    <row r="377" spans="12:35">
      <c r="L377" s="168">
        <f>-L161-L160-L155</f>
        <v>-52369.122300000003</v>
      </c>
      <c r="M377" s="164"/>
      <c r="N377" s="166"/>
      <c r="O377" s="164"/>
      <c r="P377" s="166"/>
      <c r="Q377" s="164"/>
      <c r="R377" s="166"/>
      <c r="T377" s="164"/>
      <c r="U377" s="164"/>
      <c r="V377" s="164"/>
      <c r="X377" s="164"/>
      <c r="Y377" s="164"/>
      <c r="Z377" s="166"/>
      <c r="AA377" s="164"/>
      <c r="AB377" s="164"/>
      <c r="AC377" s="164"/>
      <c r="AD377" s="164"/>
      <c r="AE377" s="164"/>
      <c r="AF377" s="164"/>
      <c r="AG377" s="164"/>
      <c r="AH377" s="164"/>
      <c r="AI377" s="164"/>
    </row>
    <row r="378" spans="12:35">
      <c r="L378" s="168">
        <f>SUM(L373:L377)</f>
        <v>3521129.6200000006</v>
      </c>
      <c r="M378" s="164"/>
      <c r="N378" s="166"/>
      <c r="O378" s="164"/>
      <c r="P378" s="164"/>
      <c r="Q378" s="164"/>
      <c r="R378" s="164"/>
      <c r="T378" s="164"/>
      <c r="U378" s="166"/>
      <c r="V378" s="166"/>
      <c r="W378" s="167"/>
      <c r="X378" s="166"/>
      <c r="Y378" s="166"/>
      <c r="Z378" s="164"/>
      <c r="AA378" s="164"/>
      <c r="AB378" s="164"/>
      <c r="AC378" s="164"/>
      <c r="AD378" s="164"/>
      <c r="AE378" s="164"/>
      <c r="AF378" s="164"/>
      <c r="AG378" s="164"/>
      <c r="AH378" s="164"/>
      <c r="AI378" s="164"/>
    </row>
    <row r="379" spans="12:35">
      <c r="L379" s="168">
        <v>3746129.62</v>
      </c>
      <c r="M379" s="164"/>
      <c r="N379" s="166"/>
      <c r="O379" s="164"/>
      <c r="P379" s="166"/>
      <c r="Q379" s="164"/>
      <c r="R379" s="164"/>
      <c r="T379" s="164"/>
      <c r="U379" s="166"/>
      <c r="V379" s="166"/>
      <c r="W379" s="167"/>
      <c r="X379" s="166"/>
      <c r="Y379" s="166"/>
      <c r="Z379" s="166"/>
      <c r="AA379" s="164"/>
      <c r="AB379" s="164"/>
      <c r="AC379" s="164"/>
      <c r="AD379" s="164"/>
      <c r="AE379" s="164"/>
      <c r="AF379" s="164"/>
      <c r="AG379" s="164"/>
      <c r="AH379" s="164"/>
      <c r="AI379" s="164"/>
    </row>
    <row r="380" spans="12:35">
      <c r="L380" s="168">
        <v>-225000</v>
      </c>
      <c r="M380" s="164"/>
      <c r="N380" s="166"/>
      <c r="O380" s="164"/>
      <c r="P380" s="164"/>
      <c r="Q380" s="164"/>
      <c r="R380" s="164"/>
      <c r="T380" s="164"/>
      <c r="U380" s="164"/>
      <c r="V380" s="164"/>
      <c r="X380" s="164"/>
      <c r="Y380" s="164"/>
      <c r="Z380" s="164"/>
      <c r="AA380" s="164"/>
      <c r="AB380" s="164"/>
      <c r="AC380" s="164"/>
      <c r="AD380" s="164"/>
      <c r="AE380" s="164"/>
      <c r="AF380" s="164"/>
      <c r="AG380" s="164"/>
      <c r="AH380" s="164"/>
      <c r="AI380" s="164"/>
    </row>
    <row r="381" spans="12:35">
      <c r="L381" s="168">
        <f>+L379+L380</f>
        <v>3521129.62</v>
      </c>
      <c r="M381" s="164"/>
      <c r="N381" s="166"/>
      <c r="O381" s="164"/>
      <c r="P381" s="164"/>
      <c r="Q381" s="164"/>
      <c r="R381" s="164"/>
      <c r="T381" s="164"/>
      <c r="U381" s="164"/>
      <c r="V381" s="164"/>
      <c r="X381" s="164"/>
      <c r="Y381" s="164"/>
      <c r="Z381" s="166"/>
      <c r="AA381" s="164"/>
      <c r="AB381" s="164"/>
      <c r="AC381" s="164"/>
      <c r="AD381" s="164"/>
      <c r="AE381" s="164"/>
      <c r="AF381" s="164"/>
      <c r="AG381" s="164"/>
      <c r="AH381" s="164"/>
      <c r="AI381" s="164"/>
    </row>
    <row r="382" spans="12:35">
      <c r="L382" s="168">
        <f>+L378-L381</f>
        <v>0</v>
      </c>
      <c r="M382" s="164"/>
      <c r="N382" s="166"/>
      <c r="O382" s="164"/>
      <c r="P382" s="164"/>
      <c r="Q382" s="164"/>
      <c r="R382" s="164"/>
      <c r="T382" s="164"/>
      <c r="U382" s="164"/>
      <c r="V382" s="164"/>
      <c r="X382" s="164"/>
      <c r="Y382" s="164"/>
      <c r="Z382" s="164"/>
      <c r="AA382" s="164"/>
      <c r="AB382" s="164"/>
      <c r="AC382" s="164"/>
      <c r="AD382" s="164"/>
      <c r="AE382" s="164"/>
      <c r="AF382" s="164"/>
      <c r="AG382" s="164"/>
      <c r="AH382" s="164"/>
      <c r="AI382" s="164"/>
    </row>
    <row r="383" spans="12:35">
      <c r="L383" s="168"/>
      <c r="M383" s="164"/>
      <c r="N383" s="164"/>
      <c r="O383" s="164"/>
      <c r="P383" s="164"/>
      <c r="Q383" s="164"/>
      <c r="R383" s="164"/>
      <c r="T383" s="164"/>
      <c r="U383" s="164"/>
      <c r="V383" s="164"/>
      <c r="X383" s="164"/>
      <c r="Y383" s="164"/>
      <c r="Z383" s="164"/>
      <c r="AA383" s="164"/>
      <c r="AB383" s="164"/>
      <c r="AC383" s="164"/>
      <c r="AD383" s="164"/>
      <c r="AE383" s="164"/>
      <c r="AF383" s="164"/>
      <c r="AG383" s="164"/>
      <c r="AH383" s="164"/>
      <c r="AI383" s="164"/>
    </row>
    <row r="384" spans="12:35">
      <c r="L384" s="165"/>
      <c r="T384" s="164"/>
      <c r="U384" s="166"/>
      <c r="V384" s="166"/>
      <c r="X384" s="166"/>
      <c r="Y384" s="166"/>
      <c r="Z384" s="166"/>
      <c r="AA384" s="164"/>
      <c r="AB384" s="164"/>
      <c r="AC384" s="164"/>
      <c r="AD384" s="164"/>
      <c r="AE384" s="164"/>
      <c r="AF384" s="164"/>
      <c r="AG384" s="164"/>
      <c r="AH384" s="164"/>
      <c r="AI384" s="164"/>
    </row>
    <row r="385" spans="12:35">
      <c r="T385" s="164"/>
      <c r="U385" s="164"/>
      <c r="V385" s="164"/>
      <c r="X385" s="164"/>
      <c r="Y385" s="164"/>
      <c r="Z385" s="164"/>
      <c r="AA385" s="164"/>
      <c r="AB385" s="164"/>
      <c r="AC385" s="164"/>
      <c r="AD385" s="164"/>
      <c r="AE385" s="164"/>
      <c r="AF385" s="164"/>
      <c r="AG385" s="164"/>
      <c r="AH385" s="164"/>
      <c r="AI385" s="164"/>
    </row>
    <row r="386" spans="12:35">
      <c r="T386" s="164"/>
      <c r="U386" s="164"/>
      <c r="V386" s="164"/>
      <c r="X386" s="164"/>
      <c r="Y386" s="164"/>
      <c r="Z386" s="164"/>
      <c r="AA386" s="164"/>
      <c r="AB386" s="164"/>
      <c r="AC386" s="164"/>
      <c r="AD386" s="164"/>
      <c r="AE386" s="164"/>
      <c r="AF386" s="164"/>
      <c r="AG386" s="164"/>
      <c r="AH386" s="164"/>
      <c r="AI386" s="164"/>
    </row>
    <row r="387" spans="12:35">
      <c r="L387" s="165"/>
      <c r="T387" s="164"/>
      <c r="U387" s="164"/>
      <c r="V387" s="166"/>
      <c r="X387" s="164"/>
      <c r="Y387" s="164"/>
      <c r="Z387" s="164"/>
      <c r="AA387" s="164"/>
      <c r="AB387" s="164"/>
      <c r="AC387" s="164"/>
      <c r="AD387" s="164"/>
      <c r="AE387" s="164"/>
      <c r="AF387" s="164"/>
      <c r="AG387" s="164"/>
      <c r="AH387" s="164"/>
      <c r="AI387" s="164"/>
    </row>
    <row r="388" spans="12:35">
      <c r="L388" s="165"/>
      <c r="T388" s="164"/>
      <c r="U388" s="164"/>
      <c r="V388" s="166"/>
      <c r="X388" s="164"/>
      <c r="Y388" s="164"/>
      <c r="Z388" s="164"/>
      <c r="AA388" s="164"/>
      <c r="AB388" s="164"/>
      <c r="AC388" s="164"/>
      <c r="AD388" s="164"/>
      <c r="AE388" s="164"/>
      <c r="AF388" s="164"/>
      <c r="AG388" s="164"/>
      <c r="AH388" s="164"/>
      <c r="AI388" s="164"/>
    </row>
    <row r="389" spans="12:35">
      <c r="L389" s="165"/>
      <c r="T389" s="164"/>
      <c r="U389" s="164"/>
      <c r="V389" s="166"/>
      <c r="X389" s="164"/>
      <c r="Y389" s="164"/>
      <c r="Z389" s="164"/>
      <c r="AA389" s="164"/>
      <c r="AB389" s="164"/>
      <c r="AC389" s="164"/>
      <c r="AD389" s="164"/>
      <c r="AE389" s="164"/>
      <c r="AF389" s="164"/>
      <c r="AG389" s="164"/>
      <c r="AH389" s="164"/>
      <c r="AI389" s="164"/>
    </row>
    <row r="390" spans="12:35">
      <c r="L390" s="165"/>
      <c r="T390" s="164"/>
      <c r="U390" s="164"/>
      <c r="V390" s="166"/>
      <c r="X390" s="164"/>
      <c r="Y390" s="164"/>
      <c r="Z390" s="164"/>
      <c r="AA390" s="164"/>
      <c r="AB390" s="164"/>
      <c r="AC390" s="164"/>
      <c r="AD390" s="164"/>
      <c r="AE390" s="164"/>
      <c r="AF390" s="164"/>
      <c r="AG390" s="164"/>
      <c r="AH390" s="164"/>
      <c r="AI390" s="164"/>
    </row>
    <row r="391" spans="12:35">
      <c r="L391" s="165"/>
      <c r="T391" s="164"/>
      <c r="U391" s="164"/>
      <c r="V391" s="166"/>
      <c r="X391" s="164"/>
      <c r="Y391" s="164"/>
      <c r="Z391" s="164"/>
      <c r="AA391" s="164"/>
      <c r="AB391" s="164"/>
      <c r="AC391" s="164"/>
      <c r="AD391" s="164"/>
      <c r="AE391" s="164"/>
      <c r="AF391" s="164"/>
      <c r="AG391" s="164"/>
      <c r="AH391" s="164"/>
      <c r="AI391" s="164"/>
    </row>
    <row r="392" spans="12:35">
      <c r="L392" s="165"/>
      <c r="T392" s="164"/>
      <c r="U392" s="164"/>
      <c r="V392" s="166"/>
      <c r="X392" s="164"/>
      <c r="Y392" s="164"/>
      <c r="Z392" s="164"/>
      <c r="AA392" s="164"/>
      <c r="AB392" s="164"/>
      <c r="AC392" s="164"/>
      <c r="AD392" s="164"/>
      <c r="AE392" s="164"/>
      <c r="AF392" s="164"/>
      <c r="AG392" s="164"/>
      <c r="AH392" s="164"/>
      <c r="AI392" s="164"/>
    </row>
    <row r="393" spans="12:35">
      <c r="L393" s="165"/>
      <c r="T393" s="164"/>
      <c r="U393" s="164"/>
      <c r="V393" s="166"/>
      <c r="X393" s="164"/>
      <c r="Y393" s="164"/>
      <c r="Z393" s="164"/>
      <c r="AA393" s="164"/>
      <c r="AB393" s="164"/>
      <c r="AC393" s="164"/>
      <c r="AD393" s="164"/>
      <c r="AE393" s="164"/>
      <c r="AF393" s="164"/>
      <c r="AG393" s="164"/>
      <c r="AH393" s="164"/>
      <c r="AI393" s="164"/>
    </row>
    <row r="394" spans="12:35">
      <c r="L394" s="165"/>
      <c r="T394" s="164"/>
      <c r="U394" s="164"/>
      <c r="V394" s="166"/>
      <c r="X394" s="164"/>
      <c r="Y394" s="164"/>
      <c r="Z394" s="164"/>
      <c r="AA394" s="164"/>
      <c r="AB394" s="164"/>
      <c r="AC394" s="164"/>
      <c r="AD394" s="164"/>
      <c r="AE394" s="164"/>
      <c r="AF394" s="164"/>
      <c r="AG394" s="164"/>
      <c r="AH394" s="164"/>
      <c r="AI394" s="164"/>
    </row>
    <row r="395" spans="12:35">
      <c r="L395" s="165"/>
      <c r="T395" s="164"/>
      <c r="U395" s="164"/>
      <c r="V395" s="166"/>
      <c r="X395" s="164"/>
      <c r="Y395" s="164"/>
      <c r="Z395" s="164"/>
      <c r="AA395" s="164"/>
      <c r="AB395" s="164"/>
      <c r="AC395" s="164"/>
      <c r="AD395" s="164"/>
      <c r="AE395" s="164"/>
      <c r="AF395" s="164"/>
      <c r="AG395" s="164"/>
      <c r="AH395" s="164"/>
      <c r="AI395" s="164"/>
    </row>
    <row r="396" spans="12:35">
      <c r="L396" s="165"/>
      <c r="T396" s="164"/>
      <c r="U396" s="164"/>
      <c r="V396" s="166"/>
      <c r="X396" s="164"/>
      <c r="Y396" s="164"/>
      <c r="Z396" s="164"/>
      <c r="AA396" s="164"/>
      <c r="AB396" s="164"/>
      <c r="AC396" s="164"/>
      <c r="AD396" s="164"/>
      <c r="AE396" s="164"/>
      <c r="AF396" s="164"/>
      <c r="AG396" s="164"/>
      <c r="AH396" s="164"/>
      <c r="AI396" s="164"/>
    </row>
    <row r="397" spans="12:35">
      <c r="L397" s="165"/>
      <c r="M397" s="167"/>
      <c r="N397" s="167"/>
      <c r="O397" s="167"/>
      <c r="P397" s="167"/>
      <c r="T397" s="164"/>
      <c r="U397" s="166"/>
      <c r="V397" s="166"/>
      <c r="X397" s="164"/>
      <c r="Y397" s="164"/>
      <c r="Z397" s="164"/>
      <c r="AA397" s="164"/>
      <c r="AB397" s="164"/>
      <c r="AC397" s="164"/>
      <c r="AD397" s="164"/>
      <c r="AE397" s="164"/>
      <c r="AF397" s="164"/>
      <c r="AG397" s="164"/>
      <c r="AH397" s="164"/>
      <c r="AI397" s="164"/>
    </row>
    <row r="398" spans="12:35">
      <c r="L398" s="165"/>
      <c r="M398" s="167"/>
      <c r="N398" s="167"/>
      <c r="O398" s="167"/>
      <c r="P398" s="167"/>
      <c r="T398" s="164"/>
      <c r="U398" s="166"/>
      <c r="V398" s="166"/>
      <c r="X398" s="164"/>
      <c r="Y398" s="164"/>
      <c r="Z398" s="164"/>
      <c r="AA398" s="164"/>
      <c r="AB398" s="164"/>
      <c r="AC398" s="164"/>
      <c r="AD398" s="164"/>
      <c r="AE398" s="164"/>
      <c r="AF398" s="164"/>
      <c r="AG398" s="164"/>
      <c r="AH398" s="164"/>
      <c r="AI398" s="164"/>
    </row>
    <row r="399" spans="12:35">
      <c r="L399" s="165"/>
      <c r="T399" s="164"/>
      <c r="U399" s="164"/>
      <c r="V399" s="164"/>
      <c r="X399" s="164"/>
      <c r="Y399" s="164"/>
      <c r="Z399" s="164"/>
      <c r="AA399" s="164"/>
      <c r="AB399" s="164"/>
      <c r="AC399" s="164"/>
      <c r="AD399" s="164"/>
      <c r="AE399" s="164"/>
      <c r="AF399" s="164"/>
      <c r="AG399" s="164"/>
      <c r="AH399" s="164"/>
      <c r="AI399" s="164"/>
    </row>
    <row r="400" spans="12:35">
      <c r="L400" s="165"/>
      <c r="T400" s="164"/>
      <c r="U400" s="164"/>
      <c r="V400" s="164"/>
      <c r="X400" s="164"/>
      <c r="Y400" s="164"/>
      <c r="Z400" s="164"/>
      <c r="AA400" s="164"/>
      <c r="AB400" s="164"/>
      <c r="AC400" s="164"/>
      <c r="AD400" s="164"/>
      <c r="AE400" s="164"/>
      <c r="AF400" s="164"/>
      <c r="AG400" s="164"/>
      <c r="AH400" s="164"/>
      <c r="AI400" s="164"/>
    </row>
    <row r="401" spans="12:35">
      <c r="L401" s="165"/>
      <c r="T401" s="164"/>
      <c r="U401" s="164"/>
      <c r="V401" s="164"/>
      <c r="X401" s="164"/>
      <c r="Y401" s="164"/>
      <c r="Z401" s="164"/>
      <c r="AA401" s="164"/>
      <c r="AB401" s="164"/>
      <c r="AC401" s="164"/>
      <c r="AD401" s="164"/>
      <c r="AE401" s="164"/>
      <c r="AF401" s="164"/>
      <c r="AG401" s="164"/>
      <c r="AH401" s="164"/>
      <c r="AI401" s="164"/>
    </row>
    <row r="402" spans="12:35">
      <c r="L402" s="165"/>
      <c r="T402" s="164"/>
      <c r="U402" s="164"/>
      <c r="V402" s="164"/>
      <c r="X402" s="164"/>
      <c r="Y402" s="164"/>
      <c r="Z402" s="164"/>
      <c r="AA402" s="164"/>
      <c r="AB402" s="164"/>
      <c r="AC402" s="164"/>
      <c r="AD402" s="164"/>
      <c r="AE402" s="164"/>
      <c r="AF402" s="164"/>
      <c r="AG402" s="164"/>
      <c r="AH402" s="164"/>
      <c r="AI402" s="164"/>
    </row>
    <row r="403" spans="12:35">
      <c r="L403" s="165"/>
      <c r="T403" s="164"/>
      <c r="U403" s="164"/>
      <c r="V403" s="164"/>
      <c r="X403" s="164"/>
      <c r="Y403" s="164"/>
      <c r="Z403" s="164"/>
      <c r="AA403" s="164"/>
      <c r="AB403" s="164"/>
      <c r="AC403" s="164"/>
      <c r="AD403" s="164"/>
      <c r="AE403" s="164"/>
      <c r="AF403" s="164"/>
      <c r="AG403" s="164"/>
      <c r="AH403" s="164"/>
      <c r="AI403" s="164"/>
    </row>
    <row r="404" spans="12:35">
      <c r="L404" s="165"/>
      <c r="T404" s="164"/>
      <c r="U404" s="164"/>
      <c r="V404" s="164"/>
      <c r="X404" s="164"/>
      <c r="Y404" s="164"/>
      <c r="Z404" s="164"/>
      <c r="AA404" s="164"/>
      <c r="AB404" s="164"/>
      <c r="AC404" s="164"/>
      <c r="AD404" s="164"/>
      <c r="AE404" s="164"/>
      <c r="AF404" s="164"/>
      <c r="AG404" s="164"/>
      <c r="AH404" s="164"/>
      <c r="AI404" s="164"/>
    </row>
    <row r="405" spans="12:35">
      <c r="L405" s="165"/>
      <c r="T405" s="164"/>
      <c r="U405" s="164"/>
      <c r="V405" s="164"/>
      <c r="X405" s="164"/>
      <c r="Y405" s="164"/>
      <c r="Z405" s="164"/>
      <c r="AA405" s="164"/>
      <c r="AB405" s="164"/>
      <c r="AC405" s="164"/>
      <c r="AD405" s="164"/>
      <c r="AE405" s="164"/>
      <c r="AF405" s="164"/>
      <c r="AG405" s="164"/>
      <c r="AH405" s="164"/>
      <c r="AI405" s="164"/>
    </row>
    <row r="406" spans="12:35">
      <c r="L406" s="165"/>
      <c r="T406" s="164"/>
      <c r="U406" s="164"/>
      <c r="V406" s="164"/>
      <c r="X406" s="164"/>
      <c r="Y406" s="164"/>
      <c r="Z406" s="164"/>
      <c r="AA406" s="164"/>
      <c r="AB406" s="164"/>
      <c r="AC406" s="164"/>
      <c r="AD406" s="164"/>
      <c r="AE406" s="164"/>
      <c r="AF406" s="164"/>
      <c r="AG406" s="164"/>
      <c r="AH406" s="164"/>
      <c r="AI406" s="164"/>
    </row>
    <row r="407" spans="12:35">
      <c r="L407" s="165"/>
      <c r="T407" s="164"/>
      <c r="U407" s="164"/>
      <c r="V407" s="164"/>
      <c r="X407" s="164"/>
      <c r="Y407" s="164"/>
      <c r="Z407" s="164"/>
      <c r="AA407" s="164"/>
      <c r="AB407" s="164"/>
      <c r="AC407" s="164"/>
      <c r="AD407" s="164"/>
      <c r="AE407" s="164"/>
      <c r="AF407" s="164"/>
      <c r="AG407" s="164"/>
      <c r="AH407" s="164"/>
      <c r="AI407" s="164"/>
    </row>
    <row r="408" spans="12:35">
      <c r="L408" s="165"/>
      <c r="T408" s="164"/>
      <c r="U408" s="164"/>
      <c r="V408" s="164"/>
      <c r="X408" s="164"/>
      <c r="Y408" s="164"/>
      <c r="Z408" s="164"/>
      <c r="AA408" s="164"/>
      <c r="AB408" s="164"/>
      <c r="AC408" s="164"/>
      <c r="AD408" s="164"/>
      <c r="AE408" s="164"/>
      <c r="AF408" s="164"/>
      <c r="AG408" s="164"/>
      <c r="AH408" s="164"/>
      <c r="AI408" s="164"/>
    </row>
    <row r="409" spans="12:35">
      <c r="L409" s="165"/>
      <c r="T409" s="164"/>
      <c r="U409" s="164"/>
      <c r="V409" s="164"/>
      <c r="X409" s="164"/>
      <c r="Y409" s="164"/>
      <c r="Z409" s="164"/>
      <c r="AA409" s="164"/>
      <c r="AB409" s="164"/>
      <c r="AC409" s="164"/>
      <c r="AD409" s="164"/>
      <c r="AE409" s="164"/>
      <c r="AF409" s="164"/>
      <c r="AG409" s="164"/>
      <c r="AH409" s="164"/>
      <c r="AI409" s="164"/>
    </row>
    <row r="410" spans="12:35">
      <c r="L410" s="165"/>
      <c r="T410" s="164"/>
      <c r="U410" s="164"/>
      <c r="V410" s="164"/>
      <c r="X410" s="164"/>
      <c r="Y410" s="164"/>
      <c r="Z410" s="164"/>
      <c r="AA410" s="164"/>
      <c r="AB410" s="164"/>
      <c r="AC410" s="164"/>
      <c r="AD410" s="164"/>
      <c r="AE410" s="164"/>
      <c r="AF410" s="164"/>
      <c r="AG410" s="164"/>
      <c r="AH410" s="164"/>
      <c r="AI410" s="164"/>
    </row>
    <row r="411" spans="12:35">
      <c r="L411" s="165"/>
      <c r="T411" s="164"/>
      <c r="U411" s="164"/>
      <c r="V411" s="164"/>
      <c r="X411" s="164"/>
      <c r="Y411" s="164"/>
      <c r="Z411" s="164"/>
      <c r="AA411" s="164"/>
      <c r="AB411" s="164"/>
      <c r="AC411" s="164"/>
      <c r="AD411" s="164"/>
      <c r="AE411" s="164"/>
      <c r="AF411" s="164"/>
      <c r="AG411" s="164"/>
      <c r="AH411" s="164"/>
      <c r="AI411" s="164"/>
    </row>
    <row r="412" spans="12:35">
      <c r="L412" s="165"/>
      <c r="T412" s="164"/>
      <c r="U412" s="164"/>
      <c r="V412" s="164"/>
      <c r="X412" s="164"/>
      <c r="Y412" s="164"/>
      <c r="Z412" s="164"/>
      <c r="AA412" s="164"/>
      <c r="AB412" s="164"/>
      <c r="AC412" s="164"/>
      <c r="AD412" s="164"/>
      <c r="AE412" s="164"/>
      <c r="AF412" s="164"/>
      <c r="AG412" s="164"/>
      <c r="AH412" s="164"/>
      <c r="AI412" s="164"/>
    </row>
    <row r="413" spans="12:35">
      <c r="L413" s="165"/>
      <c r="T413" s="164"/>
      <c r="U413" s="164"/>
      <c r="V413" s="164"/>
      <c r="X413" s="164"/>
      <c r="Y413" s="164"/>
      <c r="Z413" s="164"/>
      <c r="AA413" s="164"/>
      <c r="AB413" s="164"/>
      <c r="AC413" s="164"/>
      <c r="AD413" s="164"/>
      <c r="AE413" s="164"/>
      <c r="AF413" s="164"/>
      <c r="AG413" s="164"/>
      <c r="AH413" s="164"/>
      <c r="AI413" s="164"/>
    </row>
    <row r="414" spans="12:35">
      <c r="L414" s="165"/>
      <c r="T414" s="164"/>
      <c r="U414" s="164"/>
      <c r="V414" s="164"/>
      <c r="X414" s="164"/>
      <c r="Y414" s="164"/>
      <c r="Z414" s="164"/>
      <c r="AA414" s="164"/>
      <c r="AB414" s="164"/>
      <c r="AC414" s="164"/>
      <c r="AD414" s="164"/>
      <c r="AE414" s="164"/>
      <c r="AF414" s="164"/>
      <c r="AG414" s="164"/>
      <c r="AH414" s="164"/>
      <c r="AI414" s="164"/>
    </row>
    <row r="415" spans="12:35">
      <c r="L415" s="165"/>
      <c r="T415" s="164"/>
      <c r="U415" s="164"/>
      <c r="V415" s="164"/>
      <c r="X415" s="164"/>
      <c r="Y415" s="164"/>
      <c r="Z415" s="164"/>
      <c r="AA415" s="164"/>
      <c r="AB415" s="164"/>
      <c r="AC415" s="164"/>
      <c r="AD415" s="164"/>
      <c r="AE415" s="164"/>
      <c r="AF415" s="164"/>
      <c r="AG415" s="164"/>
      <c r="AH415" s="164"/>
      <c r="AI415" s="164"/>
    </row>
    <row r="416" spans="12:35">
      <c r="L416" s="165"/>
      <c r="T416" s="164"/>
      <c r="U416" s="164"/>
      <c r="V416" s="164"/>
      <c r="X416" s="164"/>
      <c r="Y416" s="164"/>
      <c r="Z416" s="164"/>
      <c r="AA416" s="164"/>
      <c r="AB416" s="164"/>
      <c r="AC416" s="164"/>
      <c r="AD416" s="164"/>
      <c r="AE416" s="164"/>
      <c r="AF416" s="164"/>
      <c r="AG416" s="164"/>
      <c r="AH416" s="164"/>
      <c r="AI416" s="164"/>
    </row>
    <row r="417" spans="12:35">
      <c r="L417" s="165"/>
      <c r="T417" s="164"/>
      <c r="U417" s="164"/>
      <c r="V417" s="164"/>
      <c r="X417" s="164"/>
      <c r="Y417" s="164"/>
      <c r="Z417" s="164"/>
      <c r="AA417" s="164"/>
      <c r="AB417" s="164"/>
      <c r="AC417" s="164"/>
      <c r="AD417" s="164"/>
      <c r="AE417" s="164"/>
      <c r="AF417" s="164"/>
      <c r="AG417" s="164"/>
      <c r="AH417" s="164"/>
      <c r="AI417" s="164"/>
    </row>
    <row r="418" spans="12:35">
      <c r="L418" s="165"/>
      <c r="T418" s="164"/>
      <c r="U418" s="164"/>
      <c r="V418" s="164"/>
      <c r="X418" s="164"/>
      <c r="Y418" s="164"/>
      <c r="Z418" s="164"/>
      <c r="AA418" s="164"/>
      <c r="AB418" s="164"/>
      <c r="AC418" s="164"/>
      <c r="AD418" s="164"/>
      <c r="AE418" s="164"/>
      <c r="AF418" s="164"/>
      <c r="AG418" s="164"/>
      <c r="AH418" s="164"/>
      <c r="AI418" s="164"/>
    </row>
    <row r="419" spans="12:35">
      <c r="L419" s="165"/>
      <c r="T419" s="164"/>
      <c r="U419" s="164"/>
      <c r="V419" s="164"/>
      <c r="X419" s="164"/>
      <c r="Y419" s="164"/>
      <c r="Z419" s="164"/>
      <c r="AA419" s="164"/>
      <c r="AB419" s="164"/>
      <c r="AC419" s="164"/>
      <c r="AD419" s="164"/>
      <c r="AE419" s="164"/>
      <c r="AF419" s="164"/>
      <c r="AG419" s="164"/>
      <c r="AH419" s="164"/>
      <c r="AI419" s="164"/>
    </row>
    <row r="420" spans="12:35">
      <c r="L420" s="165"/>
      <c r="T420" s="164"/>
      <c r="U420" s="164"/>
      <c r="V420" s="164"/>
      <c r="X420" s="164"/>
      <c r="Y420" s="164"/>
      <c r="Z420" s="164"/>
      <c r="AA420" s="164"/>
      <c r="AB420" s="164"/>
      <c r="AC420" s="164"/>
      <c r="AD420" s="164"/>
      <c r="AE420" s="164"/>
      <c r="AF420" s="164"/>
      <c r="AG420" s="164"/>
      <c r="AH420" s="164"/>
      <c r="AI420" s="164"/>
    </row>
    <row r="421" spans="12:35">
      <c r="L421" s="165"/>
      <c r="T421" s="164"/>
      <c r="U421" s="164"/>
      <c r="V421" s="164"/>
      <c r="X421" s="164"/>
      <c r="Y421" s="164"/>
      <c r="Z421" s="164"/>
      <c r="AA421" s="164"/>
      <c r="AB421" s="164"/>
      <c r="AC421" s="164"/>
      <c r="AD421" s="164"/>
      <c r="AE421" s="164"/>
      <c r="AF421" s="164"/>
      <c r="AG421" s="164"/>
      <c r="AH421" s="164"/>
      <c r="AI421" s="164"/>
    </row>
    <row r="422" spans="12:35">
      <c r="L422" s="165"/>
      <c r="T422" s="164"/>
      <c r="U422" s="164"/>
      <c r="V422" s="164"/>
      <c r="X422" s="164"/>
      <c r="Y422" s="164"/>
      <c r="Z422" s="164"/>
      <c r="AA422" s="164"/>
      <c r="AB422" s="164"/>
      <c r="AC422" s="164"/>
      <c r="AD422" s="164"/>
      <c r="AE422" s="164"/>
      <c r="AF422" s="164"/>
      <c r="AG422" s="164"/>
      <c r="AH422" s="164"/>
      <c r="AI422" s="164"/>
    </row>
    <row r="423" spans="12:35">
      <c r="L423" s="165"/>
      <c r="T423" s="164"/>
      <c r="U423" s="164"/>
      <c r="V423" s="164"/>
      <c r="X423" s="164"/>
      <c r="Y423" s="164"/>
      <c r="Z423" s="164"/>
      <c r="AA423" s="164"/>
      <c r="AB423" s="164"/>
      <c r="AC423" s="164"/>
      <c r="AD423" s="164"/>
      <c r="AE423" s="164"/>
      <c r="AF423" s="164"/>
      <c r="AG423" s="164"/>
      <c r="AH423" s="164"/>
      <c r="AI423" s="164"/>
    </row>
    <row r="424" spans="12:35">
      <c r="L424" s="165"/>
      <c r="T424" s="164"/>
      <c r="U424" s="164"/>
      <c r="V424" s="164"/>
      <c r="X424" s="164"/>
      <c r="Y424" s="164"/>
      <c r="Z424" s="164"/>
      <c r="AA424" s="164"/>
      <c r="AB424" s="164"/>
      <c r="AC424" s="164"/>
      <c r="AD424" s="164"/>
      <c r="AE424" s="164"/>
      <c r="AF424" s="164"/>
      <c r="AG424" s="164"/>
      <c r="AH424" s="164"/>
      <c r="AI424" s="164"/>
    </row>
    <row r="425" spans="12:35">
      <c r="L425" s="165"/>
      <c r="X425" s="164"/>
      <c r="Y425" s="164"/>
      <c r="Z425" s="164"/>
      <c r="AA425" s="164"/>
      <c r="AB425" s="164"/>
      <c r="AC425" s="164"/>
      <c r="AD425" s="164"/>
      <c r="AE425" s="164"/>
      <c r="AF425" s="164"/>
      <c r="AG425" s="164"/>
      <c r="AH425" s="164"/>
      <c r="AI425" s="164"/>
    </row>
    <row r="426" spans="12:35">
      <c r="L426" s="165"/>
      <c r="X426" s="164"/>
      <c r="Y426" s="164"/>
      <c r="Z426" s="164"/>
      <c r="AA426" s="164"/>
      <c r="AB426" s="164"/>
      <c r="AC426" s="164"/>
      <c r="AD426" s="164"/>
      <c r="AE426" s="164"/>
      <c r="AF426" s="164"/>
      <c r="AG426" s="164"/>
      <c r="AH426" s="164"/>
      <c r="AI426" s="164"/>
    </row>
    <row r="427" spans="12:35">
      <c r="L427" s="165"/>
      <c r="X427" s="164"/>
      <c r="Y427" s="164"/>
      <c r="Z427" s="164"/>
      <c r="AA427" s="164"/>
      <c r="AB427" s="164"/>
      <c r="AC427" s="164"/>
      <c r="AD427" s="164"/>
      <c r="AE427" s="164"/>
      <c r="AF427" s="164"/>
      <c r="AG427" s="164"/>
      <c r="AH427" s="164"/>
      <c r="AI427" s="164"/>
    </row>
    <row r="428" spans="12:35">
      <c r="L428" s="165"/>
      <c r="X428" s="164"/>
      <c r="Y428" s="164"/>
      <c r="Z428" s="164"/>
      <c r="AA428" s="164"/>
      <c r="AB428" s="164"/>
      <c r="AC428" s="164"/>
      <c r="AD428" s="164"/>
      <c r="AE428" s="164"/>
      <c r="AF428" s="164"/>
      <c r="AG428" s="164"/>
      <c r="AH428" s="164"/>
      <c r="AI428" s="164"/>
    </row>
    <row r="429" spans="12:35">
      <c r="L429" s="165"/>
      <c r="X429" s="164"/>
      <c r="Y429" s="164"/>
      <c r="Z429" s="164"/>
      <c r="AA429" s="164"/>
      <c r="AB429" s="164"/>
      <c r="AC429" s="164"/>
      <c r="AD429" s="164"/>
      <c r="AE429" s="164"/>
      <c r="AF429" s="164"/>
      <c r="AG429" s="164"/>
      <c r="AH429" s="164"/>
      <c r="AI429" s="164"/>
    </row>
    <row r="430" spans="12:35">
      <c r="L430" s="165"/>
      <c r="X430" s="164"/>
      <c r="Y430" s="164"/>
      <c r="Z430" s="164"/>
      <c r="AA430" s="164"/>
      <c r="AB430" s="164"/>
      <c r="AC430" s="164"/>
      <c r="AD430" s="164"/>
      <c r="AE430" s="164"/>
      <c r="AF430" s="164"/>
      <c r="AG430" s="164"/>
      <c r="AH430" s="164"/>
      <c r="AI430" s="164"/>
    </row>
    <row r="431" spans="12:35">
      <c r="L431" s="165"/>
      <c r="X431" s="164"/>
      <c r="Y431" s="164"/>
      <c r="Z431" s="164"/>
      <c r="AA431" s="164"/>
      <c r="AB431" s="164"/>
      <c r="AC431" s="164"/>
      <c r="AD431" s="164"/>
      <c r="AE431" s="164"/>
      <c r="AF431" s="164"/>
      <c r="AG431" s="164"/>
      <c r="AH431" s="164"/>
      <c r="AI431" s="164"/>
    </row>
    <row r="432" spans="12:35">
      <c r="L432" s="165"/>
      <c r="X432" s="164"/>
      <c r="Y432" s="164"/>
      <c r="Z432" s="164"/>
      <c r="AA432" s="164"/>
      <c r="AB432" s="164"/>
      <c r="AC432" s="164"/>
      <c r="AD432" s="164"/>
      <c r="AE432" s="164"/>
      <c r="AF432" s="164"/>
      <c r="AG432" s="164"/>
      <c r="AH432" s="164"/>
      <c r="AI432" s="164"/>
    </row>
    <row r="433" spans="12:35">
      <c r="L433" s="165"/>
      <c r="X433" s="164"/>
      <c r="Y433" s="164"/>
      <c r="Z433" s="164"/>
      <c r="AA433" s="164"/>
      <c r="AB433" s="164"/>
      <c r="AC433" s="164"/>
      <c r="AD433" s="164"/>
      <c r="AE433" s="164"/>
      <c r="AF433" s="164"/>
      <c r="AG433" s="164"/>
      <c r="AH433" s="164"/>
      <c r="AI433" s="164"/>
    </row>
    <row r="434" spans="12:35">
      <c r="L434" s="165"/>
      <c r="X434" s="164"/>
      <c r="Y434" s="164"/>
      <c r="Z434" s="164"/>
      <c r="AA434" s="164"/>
      <c r="AB434" s="164"/>
      <c r="AC434" s="164"/>
      <c r="AD434" s="164"/>
      <c r="AE434" s="164"/>
      <c r="AF434" s="164"/>
      <c r="AG434" s="164"/>
      <c r="AH434" s="164"/>
      <c r="AI434" s="164"/>
    </row>
    <row r="435" spans="12:35">
      <c r="L435" s="165"/>
      <c r="X435" s="164"/>
      <c r="Y435" s="164"/>
      <c r="Z435" s="164"/>
      <c r="AA435" s="164"/>
      <c r="AB435" s="164"/>
      <c r="AC435" s="164"/>
      <c r="AD435" s="164"/>
      <c r="AE435" s="164"/>
      <c r="AF435" s="164"/>
      <c r="AG435" s="164"/>
      <c r="AH435" s="164"/>
      <c r="AI435" s="164"/>
    </row>
    <row r="436" spans="12:35">
      <c r="L436" s="165"/>
      <c r="X436" s="164"/>
      <c r="Y436" s="164"/>
      <c r="Z436" s="164"/>
      <c r="AA436" s="164"/>
      <c r="AB436" s="164"/>
      <c r="AC436" s="164"/>
      <c r="AD436" s="164"/>
      <c r="AE436" s="164"/>
      <c r="AF436" s="164"/>
      <c r="AG436" s="164"/>
      <c r="AH436" s="164"/>
      <c r="AI436" s="164"/>
    </row>
    <row r="437" spans="12:35">
      <c r="L437" s="165"/>
      <c r="X437" s="164"/>
      <c r="Y437" s="164"/>
      <c r="Z437" s="164"/>
      <c r="AA437" s="164"/>
      <c r="AB437" s="164"/>
      <c r="AC437" s="164"/>
      <c r="AD437" s="164"/>
      <c r="AE437" s="164"/>
      <c r="AF437" s="164"/>
      <c r="AG437" s="164"/>
      <c r="AH437" s="164"/>
      <c r="AI437" s="164"/>
    </row>
    <row r="438" spans="12:35">
      <c r="L438" s="165"/>
      <c r="X438" s="164"/>
      <c r="Y438" s="164"/>
      <c r="Z438" s="164"/>
      <c r="AA438" s="164"/>
      <c r="AB438" s="164"/>
      <c r="AC438" s="164"/>
      <c r="AD438" s="164"/>
      <c r="AE438" s="164"/>
      <c r="AF438" s="164"/>
      <c r="AG438" s="164"/>
      <c r="AH438" s="164"/>
      <c r="AI438" s="164"/>
    </row>
    <row r="439" spans="12:35">
      <c r="L439" s="165"/>
      <c r="X439" s="164"/>
      <c r="Y439" s="164"/>
      <c r="Z439" s="164"/>
      <c r="AA439" s="164"/>
      <c r="AB439" s="164"/>
      <c r="AC439" s="164"/>
      <c r="AD439" s="164"/>
      <c r="AE439" s="164"/>
      <c r="AF439" s="164"/>
      <c r="AG439" s="164"/>
      <c r="AH439" s="164"/>
      <c r="AI439" s="164"/>
    </row>
    <row r="440" spans="12:35">
      <c r="L440" s="165"/>
      <c r="X440" s="164"/>
      <c r="Y440" s="164"/>
      <c r="Z440" s="164"/>
      <c r="AA440" s="164"/>
      <c r="AB440" s="164"/>
      <c r="AC440" s="164"/>
      <c r="AD440" s="164"/>
      <c r="AE440" s="164"/>
      <c r="AF440" s="164"/>
      <c r="AG440" s="164"/>
      <c r="AH440" s="164"/>
      <c r="AI440" s="164"/>
    </row>
    <row r="441" spans="12:35">
      <c r="L441" s="165"/>
      <c r="X441" s="164"/>
      <c r="Y441" s="164"/>
      <c r="Z441" s="164"/>
      <c r="AA441" s="164"/>
      <c r="AB441" s="164"/>
      <c r="AC441" s="164"/>
      <c r="AD441" s="164"/>
      <c r="AE441" s="164"/>
      <c r="AF441" s="164"/>
      <c r="AG441" s="164"/>
      <c r="AH441" s="164"/>
      <c r="AI441" s="164"/>
    </row>
    <row r="442" spans="12:35">
      <c r="L442" s="165"/>
      <c r="X442" s="164"/>
      <c r="Y442" s="164"/>
      <c r="Z442" s="164"/>
      <c r="AA442" s="164"/>
      <c r="AB442" s="164"/>
      <c r="AC442" s="164"/>
      <c r="AD442" s="164"/>
      <c r="AE442" s="164"/>
      <c r="AF442" s="164"/>
      <c r="AG442" s="164"/>
      <c r="AH442" s="164"/>
      <c r="AI442" s="164"/>
    </row>
    <row r="443" spans="12:35">
      <c r="L443" s="165"/>
      <c r="X443" s="164"/>
      <c r="Y443" s="164"/>
      <c r="Z443" s="164"/>
      <c r="AA443" s="164"/>
      <c r="AB443" s="164"/>
      <c r="AC443" s="164"/>
      <c r="AD443" s="164"/>
      <c r="AE443" s="164"/>
      <c r="AF443" s="164"/>
      <c r="AG443" s="164"/>
      <c r="AH443" s="164"/>
      <c r="AI443" s="164"/>
    </row>
    <row r="444" spans="12:35">
      <c r="L444" s="165"/>
      <c r="X444" s="164"/>
      <c r="Y444" s="164"/>
      <c r="Z444" s="164"/>
      <c r="AA444" s="164"/>
      <c r="AB444" s="164"/>
      <c r="AC444" s="164"/>
      <c r="AD444" s="164"/>
      <c r="AE444" s="164"/>
      <c r="AF444" s="164"/>
      <c r="AG444" s="164"/>
      <c r="AH444" s="164"/>
      <c r="AI444" s="164"/>
    </row>
    <row r="445" spans="12:35">
      <c r="X445" s="164"/>
      <c r="Y445" s="164"/>
      <c r="Z445" s="164"/>
      <c r="AA445" s="164"/>
      <c r="AB445" s="164"/>
      <c r="AC445" s="164"/>
      <c r="AD445" s="164"/>
      <c r="AE445" s="164"/>
      <c r="AF445" s="164"/>
      <c r="AG445" s="164"/>
      <c r="AH445" s="164"/>
      <c r="AI445" s="164"/>
    </row>
    <row r="446" spans="12:35">
      <c r="X446" s="164"/>
      <c r="Y446" s="164"/>
      <c r="Z446" s="164"/>
      <c r="AA446" s="164"/>
      <c r="AB446" s="164"/>
      <c r="AC446" s="164"/>
      <c r="AD446" s="164"/>
      <c r="AE446" s="164"/>
      <c r="AF446" s="164"/>
      <c r="AG446" s="164"/>
      <c r="AH446" s="164"/>
      <c r="AI446" s="164"/>
    </row>
    <row r="447" spans="12:35">
      <c r="X447" s="164"/>
      <c r="Y447" s="164"/>
      <c r="Z447" s="164"/>
      <c r="AA447" s="164"/>
      <c r="AB447" s="164"/>
      <c r="AC447" s="164"/>
      <c r="AD447" s="164"/>
      <c r="AE447" s="164"/>
      <c r="AF447" s="164"/>
      <c r="AG447" s="164"/>
      <c r="AH447" s="164"/>
      <c r="AI447" s="164"/>
    </row>
    <row r="448" spans="12:35">
      <c r="X448" s="164"/>
      <c r="Y448" s="164"/>
      <c r="Z448" s="164"/>
      <c r="AA448" s="164"/>
      <c r="AB448" s="164"/>
      <c r="AC448" s="164"/>
      <c r="AD448" s="164"/>
      <c r="AE448" s="164"/>
      <c r="AF448" s="164"/>
      <c r="AG448" s="164"/>
      <c r="AH448" s="164"/>
      <c r="AI448" s="164"/>
    </row>
    <row r="449" spans="24:35">
      <c r="X449" s="164"/>
      <c r="Y449" s="164"/>
      <c r="Z449" s="164"/>
      <c r="AA449" s="164"/>
      <c r="AB449" s="164"/>
      <c r="AC449" s="164"/>
      <c r="AD449" s="164"/>
      <c r="AE449" s="164"/>
      <c r="AF449" s="164"/>
      <c r="AG449" s="164"/>
      <c r="AH449" s="164"/>
      <c r="AI449" s="164"/>
    </row>
    <row r="450" spans="24:35">
      <c r="X450" s="164"/>
      <c r="Y450" s="164"/>
      <c r="Z450" s="164"/>
      <c r="AA450" s="164"/>
      <c r="AB450" s="164"/>
      <c r="AC450" s="164"/>
      <c r="AD450" s="164"/>
      <c r="AE450" s="164"/>
      <c r="AF450" s="164"/>
      <c r="AG450" s="164"/>
      <c r="AH450" s="164"/>
      <c r="AI450" s="164"/>
    </row>
    <row r="451" spans="24:35">
      <c r="X451" s="164"/>
      <c r="Y451" s="164"/>
      <c r="Z451" s="164"/>
      <c r="AA451" s="164"/>
      <c r="AB451" s="164"/>
      <c r="AC451" s="164"/>
      <c r="AD451" s="164"/>
      <c r="AE451" s="164"/>
      <c r="AF451" s="164"/>
      <c r="AG451" s="164"/>
      <c r="AH451" s="164"/>
      <c r="AI451" s="164"/>
    </row>
    <row r="452" spans="24:35">
      <c r="X452" s="164"/>
      <c r="Y452" s="164"/>
      <c r="Z452" s="164"/>
      <c r="AA452" s="164"/>
      <c r="AB452" s="164"/>
      <c r="AC452" s="164"/>
      <c r="AD452" s="164"/>
      <c r="AE452" s="164"/>
      <c r="AF452" s="164"/>
      <c r="AG452" s="164"/>
      <c r="AH452" s="164"/>
      <c r="AI452" s="164"/>
    </row>
    <row r="453" spans="24:35">
      <c r="X453" s="164"/>
      <c r="Y453" s="164"/>
      <c r="Z453" s="164"/>
      <c r="AA453" s="164"/>
      <c r="AB453" s="164"/>
      <c r="AC453" s="164"/>
      <c r="AD453" s="164"/>
      <c r="AE453" s="164"/>
      <c r="AF453" s="164"/>
      <c r="AG453" s="164"/>
      <c r="AH453" s="164"/>
      <c r="AI453" s="164"/>
    </row>
    <row r="454" spans="24:35">
      <c r="X454" s="164"/>
      <c r="Y454" s="164"/>
      <c r="Z454" s="164"/>
      <c r="AA454" s="164"/>
      <c r="AB454" s="164"/>
      <c r="AC454" s="164"/>
      <c r="AD454" s="164"/>
      <c r="AE454" s="164"/>
      <c r="AF454" s="164"/>
      <c r="AG454" s="164"/>
      <c r="AH454" s="164"/>
      <c r="AI454" s="164"/>
    </row>
    <row r="455" spans="24:35">
      <c r="X455" s="164"/>
      <c r="Y455" s="164"/>
      <c r="Z455" s="164"/>
      <c r="AA455" s="164"/>
      <c r="AB455" s="164"/>
      <c r="AC455" s="164"/>
      <c r="AD455" s="164"/>
      <c r="AE455" s="164"/>
      <c r="AF455" s="164"/>
      <c r="AG455" s="164"/>
      <c r="AH455" s="164"/>
      <c r="AI455" s="164"/>
    </row>
    <row r="456" spans="24:35">
      <c r="X456" s="164"/>
      <c r="Y456" s="164"/>
      <c r="Z456" s="164"/>
      <c r="AA456" s="164"/>
      <c r="AB456" s="164"/>
      <c r="AC456" s="164"/>
      <c r="AD456" s="164"/>
      <c r="AE456" s="164"/>
      <c r="AF456" s="164"/>
      <c r="AG456" s="164"/>
      <c r="AH456" s="164"/>
      <c r="AI456" s="164"/>
    </row>
    <row r="457" spans="24:35">
      <c r="X457" s="164"/>
      <c r="Y457" s="164"/>
      <c r="Z457" s="164"/>
      <c r="AA457" s="164"/>
      <c r="AB457" s="164"/>
      <c r="AC457" s="164"/>
      <c r="AD457" s="164"/>
      <c r="AE457" s="164"/>
      <c r="AF457" s="164"/>
      <c r="AG457" s="164"/>
      <c r="AH457" s="164"/>
      <c r="AI457" s="164"/>
    </row>
    <row r="458" spans="24:35">
      <c r="X458" s="164"/>
      <c r="Y458" s="164"/>
      <c r="Z458" s="164"/>
      <c r="AA458" s="164"/>
      <c r="AB458" s="164"/>
      <c r="AC458" s="164"/>
      <c r="AD458" s="164"/>
      <c r="AE458" s="164"/>
      <c r="AF458" s="164"/>
      <c r="AG458" s="164"/>
      <c r="AH458" s="164"/>
      <c r="AI458" s="164"/>
    </row>
    <row r="459" spans="24:35">
      <c r="X459" s="164"/>
      <c r="Y459" s="164"/>
      <c r="Z459" s="164"/>
      <c r="AA459" s="164"/>
      <c r="AB459" s="164"/>
      <c r="AC459" s="164"/>
      <c r="AD459" s="164"/>
      <c r="AE459" s="164"/>
      <c r="AF459" s="164"/>
      <c r="AG459" s="164"/>
      <c r="AH459" s="164"/>
      <c r="AI459" s="164"/>
    </row>
    <row r="460" spans="24:35">
      <c r="X460" s="164"/>
      <c r="Y460" s="164"/>
      <c r="Z460" s="164"/>
      <c r="AA460" s="164"/>
      <c r="AB460" s="164"/>
      <c r="AC460" s="164"/>
      <c r="AD460" s="164"/>
      <c r="AE460" s="164"/>
      <c r="AF460" s="164"/>
      <c r="AG460" s="164"/>
      <c r="AH460" s="164"/>
      <c r="AI460" s="164"/>
    </row>
    <row r="461" spans="24:35">
      <c r="X461" s="164"/>
      <c r="Y461" s="164"/>
      <c r="Z461" s="164"/>
      <c r="AA461" s="164"/>
      <c r="AB461" s="164"/>
      <c r="AC461" s="164"/>
      <c r="AD461" s="164"/>
      <c r="AE461" s="164"/>
      <c r="AF461" s="164"/>
      <c r="AG461" s="164"/>
      <c r="AH461" s="164"/>
      <c r="AI461" s="164"/>
    </row>
    <row r="462" spans="24:35">
      <c r="X462" s="164"/>
      <c r="Y462" s="164"/>
      <c r="Z462" s="164"/>
      <c r="AA462" s="164"/>
      <c r="AB462" s="164"/>
      <c r="AC462" s="164"/>
      <c r="AD462" s="164"/>
      <c r="AE462" s="164"/>
      <c r="AF462" s="164"/>
      <c r="AG462" s="164"/>
      <c r="AH462" s="164"/>
      <c r="AI462" s="164"/>
    </row>
    <row r="463" spans="24:35">
      <c r="X463" s="164"/>
      <c r="Y463" s="164"/>
      <c r="Z463" s="164"/>
      <c r="AA463" s="164"/>
      <c r="AB463" s="164"/>
      <c r="AC463" s="164"/>
      <c r="AD463" s="164"/>
      <c r="AE463" s="164"/>
      <c r="AF463" s="164"/>
      <c r="AG463" s="164"/>
      <c r="AH463" s="164"/>
      <c r="AI463" s="164"/>
    </row>
    <row r="464" spans="24:35">
      <c r="X464" s="164"/>
      <c r="Y464" s="164"/>
      <c r="Z464" s="164"/>
      <c r="AA464" s="164"/>
      <c r="AB464" s="164"/>
      <c r="AC464" s="164"/>
      <c r="AD464" s="164"/>
      <c r="AE464" s="164"/>
      <c r="AF464" s="164"/>
      <c r="AG464" s="164"/>
      <c r="AH464" s="164"/>
      <c r="AI464" s="164"/>
    </row>
    <row r="465" spans="24:35">
      <c r="X465" s="164"/>
      <c r="Y465" s="164"/>
      <c r="Z465" s="164"/>
      <c r="AA465" s="164"/>
      <c r="AB465" s="164"/>
      <c r="AC465" s="164"/>
      <c r="AD465" s="164"/>
      <c r="AE465" s="164"/>
      <c r="AF465" s="164"/>
      <c r="AG465" s="164"/>
      <c r="AH465" s="164"/>
      <c r="AI465" s="164"/>
    </row>
    <row r="466" spans="24:35">
      <c r="X466" s="164"/>
      <c r="Y466" s="164"/>
      <c r="Z466" s="164"/>
      <c r="AA466" s="164"/>
      <c r="AB466" s="164"/>
      <c r="AC466" s="164"/>
      <c r="AD466" s="164"/>
      <c r="AE466" s="164"/>
      <c r="AF466" s="164"/>
      <c r="AG466" s="164"/>
      <c r="AH466" s="164"/>
      <c r="AI466" s="164"/>
    </row>
    <row r="467" spans="24:35">
      <c r="X467" s="164"/>
      <c r="Y467" s="164"/>
      <c r="Z467" s="164"/>
      <c r="AA467" s="164"/>
      <c r="AB467" s="164"/>
      <c r="AC467" s="164"/>
      <c r="AD467" s="164"/>
      <c r="AE467" s="164"/>
      <c r="AF467" s="164"/>
      <c r="AG467" s="164"/>
      <c r="AH467" s="164"/>
      <c r="AI467" s="164"/>
    </row>
    <row r="468" spans="24:35">
      <c r="X468" s="164"/>
      <c r="Y468" s="164"/>
      <c r="Z468" s="164"/>
      <c r="AA468" s="164"/>
      <c r="AB468" s="164"/>
      <c r="AC468" s="164"/>
      <c r="AD468" s="164"/>
      <c r="AE468" s="164"/>
      <c r="AF468" s="164"/>
      <c r="AG468" s="164"/>
      <c r="AH468" s="164"/>
      <c r="AI468" s="164"/>
    </row>
    <row r="469" spans="24:35">
      <c r="X469" s="164"/>
      <c r="Y469" s="164"/>
      <c r="Z469" s="164"/>
      <c r="AA469" s="164"/>
      <c r="AB469" s="164"/>
      <c r="AC469" s="164"/>
      <c r="AD469" s="164"/>
      <c r="AE469" s="164"/>
      <c r="AF469" s="164"/>
      <c r="AG469" s="164"/>
      <c r="AH469" s="164"/>
      <c r="AI469" s="164"/>
    </row>
    <row r="470" spans="24:35">
      <c r="X470" s="164"/>
      <c r="Y470" s="164"/>
      <c r="Z470" s="164"/>
      <c r="AA470" s="164"/>
      <c r="AB470" s="164"/>
      <c r="AC470" s="164"/>
      <c r="AD470" s="164"/>
      <c r="AE470" s="164"/>
      <c r="AF470" s="164"/>
      <c r="AG470" s="164"/>
      <c r="AH470" s="164"/>
      <c r="AI470" s="164"/>
    </row>
    <row r="471" spans="24:35">
      <c r="X471" s="164"/>
      <c r="Y471" s="164"/>
      <c r="Z471" s="164"/>
      <c r="AA471" s="164"/>
      <c r="AB471" s="164"/>
      <c r="AC471" s="164"/>
      <c r="AD471" s="164"/>
      <c r="AE471" s="164"/>
      <c r="AF471" s="164"/>
      <c r="AG471" s="164"/>
      <c r="AH471" s="164"/>
      <c r="AI471" s="164"/>
    </row>
    <row r="472" spans="24:35">
      <c r="X472" s="164"/>
      <c r="Y472" s="164"/>
      <c r="Z472" s="164"/>
      <c r="AA472" s="164"/>
      <c r="AB472" s="164"/>
      <c r="AC472" s="164"/>
      <c r="AD472" s="164"/>
      <c r="AE472" s="164"/>
      <c r="AF472" s="164"/>
      <c r="AG472" s="164"/>
      <c r="AH472" s="164"/>
      <c r="AI472" s="164"/>
    </row>
    <row r="473" spans="24:35">
      <c r="X473" s="164"/>
      <c r="Y473" s="164"/>
      <c r="Z473" s="164"/>
      <c r="AA473" s="164"/>
      <c r="AB473" s="164"/>
      <c r="AC473" s="164"/>
      <c r="AD473" s="164"/>
      <c r="AE473" s="164"/>
      <c r="AF473" s="164"/>
      <c r="AG473" s="164"/>
      <c r="AH473" s="164"/>
      <c r="AI473" s="164"/>
    </row>
    <row r="474" spans="24:35">
      <c r="X474" s="164"/>
      <c r="Y474" s="164"/>
      <c r="Z474" s="164"/>
      <c r="AA474" s="164"/>
      <c r="AB474" s="164"/>
      <c r="AC474" s="164"/>
      <c r="AD474" s="164"/>
      <c r="AE474" s="164"/>
      <c r="AF474" s="164"/>
      <c r="AG474" s="164"/>
      <c r="AH474" s="164"/>
      <c r="AI474" s="164"/>
    </row>
    <row r="475" spans="24:35">
      <c r="X475" s="164"/>
      <c r="Y475" s="164"/>
      <c r="Z475" s="164"/>
      <c r="AA475" s="164"/>
      <c r="AB475" s="164"/>
      <c r="AC475" s="164"/>
      <c r="AD475" s="164"/>
      <c r="AE475" s="164"/>
      <c r="AF475" s="164"/>
      <c r="AG475" s="164"/>
      <c r="AH475" s="164"/>
      <c r="AI475" s="164"/>
    </row>
    <row r="476" spans="24:35">
      <c r="X476" s="164"/>
      <c r="Y476" s="164"/>
      <c r="Z476" s="164"/>
      <c r="AA476" s="164"/>
      <c r="AB476" s="164"/>
      <c r="AC476" s="164"/>
      <c r="AD476" s="164"/>
      <c r="AE476" s="164"/>
      <c r="AF476" s="164"/>
      <c r="AG476" s="164"/>
      <c r="AH476" s="164"/>
      <c r="AI476" s="164"/>
    </row>
    <row r="477" spans="24:35">
      <c r="X477" s="164"/>
      <c r="Y477" s="164"/>
      <c r="Z477" s="164"/>
      <c r="AA477" s="164"/>
      <c r="AB477" s="164"/>
      <c r="AC477" s="164"/>
      <c r="AD477" s="164"/>
      <c r="AE477" s="164"/>
      <c r="AF477" s="164"/>
      <c r="AG477" s="164"/>
      <c r="AH477" s="164"/>
      <c r="AI477" s="164"/>
    </row>
    <row r="478" spans="24:35">
      <c r="X478" s="164"/>
      <c r="Y478" s="164"/>
      <c r="Z478" s="164"/>
      <c r="AA478" s="164"/>
      <c r="AB478" s="164"/>
      <c r="AC478" s="164"/>
      <c r="AD478" s="164"/>
      <c r="AE478" s="164"/>
      <c r="AF478" s="164"/>
      <c r="AG478" s="164"/>
      <c r="AH478" s="164"/>
      <c r="AI478" s="164"/>
    </row>
    <row r="479" spans="24:35">
      <c r="X479" s="164"/>
      <c r="Y479" s="164"/>
      <c r="Z479" s="164"/>
      <c r="AA479" s="164"/>
      <c r="AB479" s="164"/>
      <c r="AC479" s="164"/>
      <c r="AD479" s="164"/>
      <c r="AE479" s="164"/>
      <c r="AF479" s="164"/>
      <c r="AG479" s="164"/>
      <c r="AH479" s="164"/>
      <c r="AI479" s="164"/>
    </row>
    <row r="480" spans="24:35">
      <c r="X480" s="164"/>
      <c r="Y480" s="164"/>
      <c r="Z480" s="164"/>
      <c r="AA480" s="164"/>
      <c r="AB480" s="164"/>
      <c r="AC480" s="164"/>
      <c r="AD480" s="164"/>
      <c r="AE480" s="164"/>
      <c r="AF480" s="164"/>
      <c r="AG480" s="164"/>
      <c r="AH480" s="164"/>
      <c r="AI480" s="164"/>
    </row>
    <row r="481" spans="24:35">
      <c r="X481" s="164"/>
      <c r="Y481" s="164"/>
      <c r="Z481" s="164"/>
      <c r="AA481" s="164"/>
      <c r="AB481" s="164"/>
      <c r="AC481" s="164"/>
      <c r="AD481" s="164"/>
      <c r="AE481" s="164"/>
      <c r="AF481" s="164"/>
      <c r="AG481" s="164"/>
      <c r="AH481" s="164"/>
      <c r="AI481" s="164"/>
    </row>
    <row r="482" spans="24:35">
      <c r="X482" s="164"/>
      <c r="Y482" s="164"/>
      <c r="Z482" s="164"/>
      <c r="AA482" s="164"/>
      <c r="AB482" s="164"/>
      <c r="AC482" s="164"/>
      <c r="AD482" s="164"/>
      <c r="AE482" s="164"/>
      <c r="AF482" s="164"/>
      <c r="AG482" s="164"/>
      <c r="AH482" s="164"/>
      <c r="AI482" s="164"/>
    </row>
    <row r="483" spans="24:35">
      <c r="X483" s="164"/>
      <c r="Y483" s="164"/>
      <c r="Z483" s="164"/>
      <c r="AA483" s="164"/>
      <c r="AB483" s="164"/>
      <c r="AC483" s="164"/>
      <c r="AD483" s="164"/>
      <c r="AE483" s="164"/>
      <c r="AF483" s="164"/>
      <c r="AG483" s="164"/>
      <c r="AH483" s="164"/>
      <c r="AI483" s="164"/>
    </row>
    <row r="484" spans="24:35">
      <c r="X484" s="164"/>
      <c r="Y484" s="164"/>
      <c r="Z484" s="164"/>
      <c r="AA484" s="164"/>
      <c r="AB484" s="164"/>
      <c r="AC484" s="164"/>
      <c r="AD484" s="164"/>
      <c r="AE484" s="164"/>
      <c r="AF484" s="164"/>
      <c r="AG484" s="164"/>
      <c r="AH484" s="164"/>
      <c r="AI484" s="164"/>
    </row>
    <row r="485" spans="24:35">
      <c r="X485" s="164"/>
      <c r="Y485" s="164"/>
      <c r="Z485" s="164"/>
      <c r="AA485" s="164"/>
      <c r="AB485" s="164"/>
      <c r="AC485" s="164"/>
      <c r="AD485" s="164"/>
      <c r="AE485" s="164"/>
      <c r="AF485" s="164"/>
      <c r="AG485" s="164"/>
      <c r="AH485" s="164"/>
      <c r="AI485" s="164"/>
    </row>
    <row r="486" spans="24:35">
      <c r="X486" s="164"/>
      <c r="Y486" s="164"/>
      <c r="Z486" s="164"/>
      <c r="AA486" s="164"/>
      <c r="AB486" s="164"/>
      <c r="AC486" s="164"/>
      <c r="AD486" s="164"/>
      <c r="AE486" s="164"/>
      <c r="AF486" s="164"/>
      <c r="AG486" s="164"/>
      <c r="AH486" s="164"/>
      <c r="AI486" s="164"/>
    </row>
    <row r="487" spans="24:35">
      <c r="X487" s="164"/>
      <c r="Y487" s="164"/>
      <c r="Z487" s="164"/>
      <c r="AA487" s="164"/>
      <c r="AB487" s="164"/>
      <c r="AC487" s="164"/>
      <c r="AD487" s="164"/>
      <c r="AE487" s="164"/>
      <c r="AF487" s="164"/>
      <c r="AG487" s="164"/>
      <c r="AH487" s="164"/>
      <c r="AI487" s="164"/>
    </row>
    <row r="488" spans="24:35">
      <c r="X488" s="164"/>
      <c r="Y488" s="164"/>
      <c r="Z488" s="164"/>
      <c r="AA488" s="164"/>
      <c r="AB488" s="164"/>
      <c r="AC488" s="164"/>
      <c r="AD488" s="164"/>
      <c r="AE488" s="164"/>
      <c r="AF488" s="164"/>
      <c r="AG488" s="164"/>
      <c r="AH488" s="164"/>
      <c r="AI488" s="164"/>
    </row>
    <row r="489" spans="24:35">
      <c r="X489" s="164"/>
      <c r="Y489" s="164"/>
      <c r="Z489" s="164"/>
      <c r="AA489" s="164"/>
      <c r="AB489" s="164"/>
      <c r="AC489" s="164"/>
      <c r="AD489" s="164"/>
      <c r="AE489" s="164"/>
      <c r="AF489" s="164"/>
      <c r="AG489" s="164"/>
      <c r="AH489" s="164"/>
      <c r="AI489" s="164"/>
    </row>
    <row r="490" spans="24:35">
      <c r="X490" s="164"/>
      <c r="Y490" s="164"/>
      <c r="Z490" s="164"/>
      <c r="AA490" s="164"/>
      <c r="AB490" s="164"/>
      <c r="AC490" s="164"/>
      <c r="AD490" s="164"/>
      <c r="AE490" s="164"/>
      <c r="AF490" s="164"/>
      <c r="AG490" s="164"/>
      <c r="AH490" s="164"/>
      <c r="AI490" s="164"/>
    </row>
    <row r="491" spans="24:35">
      <c r="X491" s="164"/>
      <c r="Y491" s="164"/>
      <c r="Z491" s="164"/>
      <c r="AA491" s="164"/>
      <c r="AB491" s="164"/>
      <c r="AC491" s="164"/>
      <c r="AD491" s="164"/>
      <c r="AE491" s="164"/>
      <c r="AF491" s="164"/>
      <c r="AG491" s="164"/>
      <c r="AH491" s="164"/>
      <c r="AI491" s="164"/>
    </row>
    <row r="492" spans="24:35">
      <c r="X492" s="164"/>
      <c r="Y492" s="164"/>
      <c r="Z492" s="164"/>
      <c r="AA492" s="164"/>
      <c r="AB492" s="164"/>
      <c r="AC492" s="164"/>
      <c r="AD492" s="164"/>
      <c r="AE492" s="164"/>
      <c r="AF492" s="164"/>
      <c r="AG492" s="164"/>
      <c r="AH492" s="164"/>
      <c r="AI492" s="164"/>
    </row>
    <row r="493" spans="24:35">
      <c r="X493" s="164"/>
      <c r="Y493" s="164"/>
      <c r="Z493" s="164"/>
      <c r="AA493" s="164"/>
      <c r="AB493" s="164"/>
      <c r="AC493" s="164"/>
      <c r="AD493" s="164"/>
      <c r="AE493" s="164"/>
      <c r="AF493" s="164"/>
      <c r="AG493" s="164"/>
      <c r="AH493" s="164"/>
      <c r="AI493" s="164"/>
    </row>
    <row r="494" spans="24:35">
      <c r="X494" s="164"/>
      <c r="Y494" s="164"/>
      <c r="Z494" s="164"/>
      <c r="AA494" s="164"/>
      <c r="AB494" s="164"/>
      <c r="AC494" s="164"/>
      <c r="AD494" s="164"/>
      <c r="AE494" s="164"/>
      <c r="AF494" s="164"/>
      <c r="AG494" s="164"/>
      <c r="AH494" s="164"/>
      <c r="AI494" s="164"/>
    </row>
    <row r="495" spans="24:35">
      <c r="X495" s="164"/>
      <c r="Y495" s="164"/>
      <c r="Z495" s="164"/>
      <c r="AA495" s="164"/>
      <c r="AB495" s="164"/>
      <c r="AC495" s="164"/>
      <c r="AD495" s="164"/>
      <c r="AE495" s="164"/>
      <c r="AF495" s="164"/>
      <c r="AG495" s="164"/>
      <c r="AH495" s="164"/>
      <c r="AI495" s="164"/>
    </row>
    <row r="496" spans="24:35">
      <c r="X496" s="164"/>
      <c r="Y496" s="164"/>
      <c r="Z496" s="164"/>
      <c r="AA496" s="164"/>
      <c r="AB496" s="164"/>
      <c r="AC496" s="164"/>
      <c r="AD496" s="164"/>
      <c r="AE496" s="164"/>
      <c r="AF496" s="164"/>
      <c r="AG496" s="164"/>
      <c r="AH496" s="164"/>
      <c r="AI496" s="164"/>
    </row>
    <row r="497" spans="24:35">
      <c r="X497" s="164"/>
      <c r="Y497" s="164"/>
      <c r="Z497" s="164"/>
      <c r="AA497" s="164"/>
      <c r="AB497" s="164"/>
      <c r="AC497" s="164"/>
      <c r="AD497" s="164"/>
      <c r="AE497" s="164"/>
      <c r="AF497" s="164"/>
      <c r="AG497" s="164"/>
      <c r="AH497" s="164"/>
      <c r="AI497" s="164"/>
    </row>
    <row r="498" spans="24:35">
      <c r="X498" s="164"/>
      <c r="Y498" s="164"/>
      <c r="Z498" s="164"/>
      <c r="AA498" s="164"/>
      <c r="AB498" s="164"/>
      <c r="AC498" s="164"/>
      <c r="AD498" s="164"/>
      <c r="AE498" s="164"/>
      <c r="AF498" s="164"/>
      <c r="AG498" s="164"/>
      <c r="AH498" s="164"/>
      <c r="AI498" s="164"/>
    </row>
    <row r="499" spans="24:35">
      <c r="X499" s="164"/>
      <c r="Y499" s="164"/>
      <c r="Z499" s="164"/>
      <c r="AA499" s="164"/>
      <c r="AB499" s="164"/>
      <c r="AC499" s="164"/>
      <c r="AD499" s="164"/>
      <c r="AE499" s="164"/>
      <c r="AF499" s="164"/>
      <c r="AG499" s="164"/>
      <c r="AH499" s="164"/>
      <c r="AI499" s="164"/>
    </row>
    <row r="500" spans="24:35">
      <c r="X500" s="164"/>
      <c r="Y500" s="164"/>
      <c r="Z500" s="164"/>
      <c r="AA500" s="164"/>
      <c r="AB500" s="164"/>
      <c r="AC500" s="164"/>
      <c r="AD500" s="164"/>
      <c r="AE500" s="164"/>
      <c r="AF500" s="164"/>
      <c r="AG500" s="164"/>
      <c r="AH500" s="164"/>
      <c r="AI500" s="164"/>
    </row>
    <row r="501" spans="24:35">
      <c r="X501" s="164"/>
      <c r="Y501" s="164"/>
      <c r="Z501" s="164"/>
      <c r="AA501" s="164"/>
      <c r="AB501" s="164"/>
      <c r="AC501" s="164"/>
      <c r="AD501" s="164"/>
      <c r="AE501" s="164"/>
      <c r="AF501" s="164"/>
      <c r="AG501" s="164"/>
      <c r="AH501" s="164"/>
      <c r="AI501" s="164"/>
    </row>
    <row r="502" spans="24:35">
      <c r="X502" s="164"/>
      <c r="Y502" s="164"/>
      <c r="Z502" s="164"/>
      <c r="AA502" s="164"/>
      <c r="AB502" s="164"/>
      <c r="AC502" s="164"/>
      <c r="AD502" s="164"/>
      <c r="AE502" s="164"/>
      <c r="AF502" s="164"/>
      <c r="AG502" s="164"/>
      <c r="AH502" s="164"/>
      <c r="AI502" s="164"/>
    </row>
    <row r="503" spans="24:35">
      <c r="X503" s="164"/>
      <c r="Y503" s="164"/>
      <c r="Z503" s="164"/>
      <c r="AA503" s="164"/>
      <c r="AB503" s="164"/>
      <c r="AC503" s="164"/>
      <c r="AD503" s="164"/>
      <c r="AE503" s="164"/>
      <c r="AF503" s="164"/>
      <c r="AG503" s="164"/>
      <c r="AH503" s="164"/>
      <c r="AI503" s="164"/>
    </row>
    <row r="504" spans="24:35">
      <c r="X504" s="164"/>
      <c r="Y504" s="164"/>
      <c r="Z504" s="164"/>
      <c r="AA504" s="164"/>
      <c r="AB504" s="164"/>
      <c r="AC504" s="164"/>
      <c r="AD504" s="164"/>
      <c r="AE504" s="164"/>
      <c r="AF504" s="164"/>
      <c r="AG504" s="164"/>
      <c r="AH504" s="164"/>
      <c r="AI504" s="164"/>
    </row>
    <row r="505" spans="24:35">
      <c r="X505" s="164"/>
      <c r="Y505" s="164"/>
      <c r="Z505" s="164"/>
      <c r="AA505" s="164"/>
      <c r="AB505" s="164"/>
      <c r="AC505" s="164"/>
      <c r="AD505" s="164"/>
      <c r="AE505" s="164"/>
      <c r="AF505" s="164"/>
      <c r="AG505" s="164"/>
      <c r="AH505" s="164"/>
      <c r="AI505" s="164"/>
    </row>
    <row r="506" spans="24:35">
      <c r="X506" s="164"/>
      <c r="Y506" s="164"/>
      <c r="Z506" s="164"/>
      <c r="AA506" s="164"/>
      <c r="AB506" s="164"/>
      <c r="AC506" s="164"/>
      <c r="AD506" s="164"/>
      <c r="AE506" s="164"/>
      <c r="AF506" s="164"/>
      <c r="AG506" s="164"/>
      <c r="AH506" s="164"/>
      <c r="AI506" s="164"/>
    </row>
    <row r="507" spans="24:35">
      <c r="X507" s="164"/>
      <c r="Y507" s="164"/>
      <c r="Z507" s="164"/>
      <c r="AA507" s="164"/>
      <c r="AB507" s="164"/>
      <c r="AC507" s="164"/>
      <c r="AD507" s="164"/>
      <c r="AE507" s="164"/>
      <c r="AF507" s="164"/>
      <c r="AG507" s="164"/>
      <c r="AH507" s="164"/>
      <c r="AI507" s="164"/>
    </row>
    <row r="508" spans="24:35">
      <c r="X508" s="164"/>
      <c r="Y508" s="164"/>
      <c r="Z508" s="164"/>
      <c r="AA508" s="164"/>
      <c r="AB508" s="164"/>
      <c r="AC508" s="164"/>
      <c r="AD508" s="164"/>
      <c r="AE508" s="164"/>
      <c r="AF508" s="164"/>
      <c r="AG508" s="164"/>
      <c r="AH508" s="164"/>
      <c r="AI508" s="164"/>
    </row>
    <row r="509" spans="24:35">
      <c r="X509" s="164"/>
      <c r="Y509" s="164"/>
      <c r="Z509" s="164"/>
      <c r="AA509" s="164"/>
      <c r="AB509" s="164"/>
      <c r="AC509" s="164"/>
      <c r="AD509" s="164"/>
      <c r="AE509" s="164"/>
      <c r="AF509" s="164"/>
      <c r="AG509" s="164"/>
      <c r="AH509" s="164"/>
      <c r="AI509" s="164"/>
    </row>
    <row r="510" spans="24:35">
      <c r="X510" s="164"/>
      <c r="Y510" s="164"/>
      <c r="Z510" s="164"/>
      <c r="AA510" s="164"/>
      <c r="AB510" s="164"/>
      <c r="AC510" s="164"/>
      <c r="AD510" s="164"/>
      <c r="AE510" s="164"/>
      <c r="AF510" s="164"/>
      <c r="AG510" s="164"/>
      <c r="AH510" s="164"/>
      <c r="AI510" s="164"/>
    </row>
    <row r="511" spans="24:35">
      <c r="X511" s="164"/>
      <c r="Y511" s="164"/>
      <c r="Z511" s="164"/>
      <c r="AA511" s="164"/>
      <c r="AB511" s="164"/>
      <c r="AC511" s="164"/>
      <c r="AD511" s="164"/>
      <c r="AE511" s="164"/>
      <c r="AF511" s="164"/>
      <c r="AG511" s="164"/>
      <c r="AH511" s="164"/>
      <c r="AI511" s="164"/>
    </row>
    <row r="512" spans="24:35">
      <c r="X512" s="164"/>
      <c r="Y512" s="164"/>
      <c r="Z512" s="164"/>
      <c r="AA512" s="164"/>
      <c r="AB512" s="164"/>
      <c r="AC512" s="164"/>
      <c r="AD512" s="164"/>
      <c r="AE512" s="164"/>
      <c r="AF512" s="164"/>
      <c r="AG512" s="164"/>
      <c r="AH512" s="164"/>
      <c r="AI512" s="164"/>
    </row>
    <row r="513" spans="24:35">
      <c r="X513" s="164"/>
      <c r="Y513" s="164"/>
      <c r="Z513" s="164"/>
      <c r="AA513" s="164"/>
      <c r="AB513" s="164"/>
      <c r="AC513" s="164"/>
      <c r="AD513" s="164"/>
      <c r="AE513" s="164"/>
      <c r="AF513" s="164"/>
      <c r="AG513" s="164"/>
      <c r="AH513" s="164"/>
      <c r="AI513" s="164"/>
    </row>
    <row r="514" spans="24:35">
      <c r="X514" s="164"/>
      <c r="Y514" s="164"/>
      <c r="Z514" s="164"/>
      <c r="AA514" s="164"/>
      <c r="AB514" s="164"/>
      <c r="AC514" s="164"/>
      <c r="AD514" s="164"/>
      <c r="AE514" s="164"/>
      <c r="AF514" s="164"/>
      <c r="AG514" s="164"/>
      <c r="AH514" s="164"/>
      <c r="AI514" s="164"/>
    </row>
    <row r="515" spans="24:35">
      <c r="X515" s="164"/>
      <c r="Y515" s="164"/>
      <c r="Z515" s="164"/>
      <c r="AA515" s="164"/>
      <c r="AB515" s="164"/>
      <c r="AC515" s="164"/>
      <c r="AD515" s="164"/>
      <c r="AE515" s="164"/>
      <c r="AF515" s="164"/>
      <c r="AG515" s="164"/>
      <c r="AH515" s="164"/>
      <c r="AI515" s="164"/>
    </row>
    <row r="516" spans="24:35">
      <c r="X516" s="164"/>
      <c r="Y516" s="164"/>
      <c r="Z516" s="164"/>
      <c r="AA516" s="164"/>
      <c r="AB516" s="164"/>
      <c r="AC516" s="164"/>
      <c r="AD516" s="164"/>
      <c r="AE516" s="164"/>
      <c r="AF516" s="164"/>
      <c r="AG516" s="164"/>
      <c r="AH516" s="164"/>
      <c r="AI516" s="164"/>
    </row>
    <row r="517" spans="24:35">
      <c r="X517" s="164"/>
      <c r="Y517" s="164"/>
      <c r="Z517" s="164"/>
      <c r="AA517" s="164"/>
      <c r="AB517" s="164"/>
      <c r="AC517" s="164"/>
      <c r="AD517" s="164"/>
      <c r="AE517" s="164"/>
      <c r="AF517" s="164"/>
      <c r="AG517" s="164"/>
      <c r="AH517" s="164"/>
      <c r="AI517" s="164"/>
    </row>
    <row r="518" spans="24:35">
      <c r="X518" s="164"/>
      <c r="Y518" s="164"/>
      <c r="Z518" s="164"/>
      <c r="AA518" s="164"/>
      <c r="AB518" s="164"/>
      <c r="AC518" s="164"/>
      <c r="AD518" s="164"/>
      <c r="AE518" s="164"/>
      <c r="AF518" s="164"/>
      <c r="AG518" s="164"/>
      <c r="AH518" s="164"/>
      <c r="AI518" s="164"/>
    </row>
    <row r="519" spans="24:35">
      <c r="X519" s="164"/>
      <c r="Y519" s="164"/>
      <c r="Z519" s="164"/>
      <c r="AA519" s="164"/>
      <c r="AB519" s="164"/>
      <c r="AC519" s="164"/>
      <c r="AD519" s="164"/>
      <c r="AE519" s="164"/>
      <c r="AF519" s="164"/>
      <c r="AG519" s="164"/>
      <c r="AH519" s="164"/>
      <c r="AI519" s="164"/>
    </row>
    <row r="520" spans="24:35">
      <c r="X520" s="164"/>
      <c r="Y520" s="164"/>
      <c r="Z520" s="164"/>
      <c r="AA520" s="164"/>
      <c r="AB520" s="164"/>
      <c r="AC520" s="164"/>
      <c r="AD520" s="164"/>
      <c r="AE520" s="164"/>
      <c r="AF520" s="164"/>
      <c r="AG520" s="164"/>
      <c r="AH520" s="164"/>
      <c r="AI520" s="164"/>
    </row>
    <row r="521" spans="24:35">
      <c r="X521" s="164"/>
      <c r="Y521" s="164"/>
      <c r="Z521" s="164"/>
      <c r="AA521" s="164"/>
      <c r="AB521" s="164"/>
      <c r="AC521" s="164"/>
      <c r="AD521" s="164"/>
      <c r="AE521" s="164"/>
      <c r="AF521" s="164"/>
      <c r="AG521" s="164"/>
      <c r="AH521" s="164"/>
      <c r="AI521" s="164"/>
    </row>
    <row r="522" spans="24:35">
      <c r="X522" s="164"/>
      <c r="Y522" s="164"/>
      <c r="Z522" s="164"/>
      <c r="AA522" s="164"/>
      <c r="AB522" s="164"/>
      <c r="AC522" s="164"/>
      <c r="AD522" s="164"/>
      <c r="AE522" s="164"/>
      <c r="AF522" s="164"/>
      <c r="AG522" s="164"/>
      <c r="AH522" s="164"/>
      <c r="AI522" s="164"/>
    </row>
    <row r="523" spans="24:35">
      <c r="X523" s="164"/>
      <c r="Y523" s="164"/>
      <c r="Z523" s="164"/>
      <c r="AA523" s="164"/>
      <c r="AB523" s="164"/>
      <c r="AC523" s="164"/>
      <c r="AD523" s="164"/>
      <c r="AE523" s="164"/>
      <c r="AF523" s="164"/>
      <c r="AG523" s="164"/>
      <c r="AH523" s="164"/>
      <c r="AI523" s="164"/>
    </row>
    <row r="524" spans="24:35">
      <c r="X524" s="164"/>
      <c r="Y524" s="164"/>
      <c r="Z524" s="164"/>
      <c r="AA524" s="164"/>
      <c r="AB524" s="164"/>
      <c r="AC524" s="164"/>
      <c r="AD524" s="164"/>
      <c r="AE524" s="164"/>
      <c r="AF524" s="164"/>
      <c r="AG524" s="164"/>
      <c r="AH524" s="164"/>
      <c r="AI524" s="164"/>
    </row>
    <row r="525" spans="24:35">
      <c r="X525" s="164"/>
      <c r="Y525" s="164"/>
      <c r="Z525" s="164"/>
      <c r="AA525" s="164"/>
      <c r="AB525" s="164"/>
      <c r="AC525" s="164"/>
      <c r="AD525" s="164"/>
      <c r="AE525" s="164"/>
      <c r="AF525" s="164"/>
      <c r="AG525" s="164"/>
      <c r="AH525" s="164"/>
      <c r="AI525" s="164"/>
    </row>
    <row r="526" spans="24:35">
      <c r="X526" s="164"/>
      <c r="Y526" s="164"/>
      <c r="Z526" s="164"/>
      <c r="AA526" s="164"/>
      <c r="AB526" s="164"/>
      <c r="AC526" s="164"/>
      <c r="AD526" s="164"/>
      <c r="AE526" s="164"/>
      <c r="AF526" s="164"/>
      <c r="AG526" s="164"/>
      <c r="AH526" s="164"/>
      <c r="AI526" s="164"/>
    </row>
    <row r="527" spans="24:35">
      <c r="X527" s="164"/>
      <c r="Y527" s="164"/>
      <c r="Z527" s="164"/>
      <c r="AA527" s="164"/>
      <c r="AB527" s="164"/>
      <c r="AC527" s="164"/>
      <c r="AD527" s="164"/>
      <c r="AE527" s="164"/>
      <c r="AF527" s="164"/>
      <c r="AG527" s="164"/>
      <c r="AH527" s="164"/>
      <c r="AI527" s="164"/>
    </row>
    <row r="528" spans="24:35">
      <c r="X528" s="164"/>
      <c r="Y528" s="164"/>
      <c r="Z528" s="164"/>
      <c r="AA528" s="164"/>
      <c r="AB528" s="164"/>
      <c r="AC528" s="164"/>
      <c r="AD528" s="164"/>
      <c r="AE528" s="164"/>
      <c r="AF528" s="164"/>
      <c r="AG528" s="164"/>
      <c r="AH528" s="164"/>
      <c r="AI528" s="164"/>
    </row>
    <row r="529" spans="24:35">
      <c r="X529" s="164"/>
      <c r="Y529" s="164"/>
      <c r="Z529" s="164"/>
      <c r="AA529" s="164"/>
      <c r="AB529" s="164"/>
      <c r="AC529" s="164"/>
      <c r="AD529" s="164"/>
      <c r="AE529" s="164"/>
      <c r="AF529" s="164"/>
      <c r="AG529" s="164"/>
      <c r="AH529" s="164"/>
      <c r="AI529" s="164"/>
    </row>
    <row r="530" spans="24:35">
      <c r="X530" s="164"/>
      <c r="Y530" s="164"/>
      <c r="Z530" s="164"/>
      <c r="AA530" s="164"/>
      <c r="AB530" s="164"/>
      <c r="AC530" s="164"/>
      <c r="AD530" s="164"/>
      <c r="AE530" s="164"/>
      <c r="AF530" s="164"/>
      <c r="AG530" s="164"/>
      <c r="AH530" s="164"/>
      <c r="AI530" s="164"/>
    </row>
    <row r="531" spans="24:35">
      <c r="X531" s="164"/>
      <c r="Y531" s="164"/>
      <c r="Z531" s="164"/>
      <c r="AA531" s="164"/>
      <c r="AB531" s="164"/>
      <c r="AC531" s="164"/>
      <c r="AD531" s="164"/>
      <c r="AE531" s="164"/>
      <c r="AF531" s="164"/>
      <c r="AG531" s="164"/>
      <c r="AH531" s="164"/>
      <c r="AI531" s="164"/>
    </row>
    <row r="532" spans="24:35">
      <c r="X532" s="164"/>
      <c r="Y532" s="164"/>
      <c r="Z532" s="164"/>
      <c r="AA532" s="164"/>
      <c r="AB532" s="164"/>
      <c r="AC532" s="164"/>
      <c r="AD532" s="164"/>
      <c r="AE532" s="164"/>
      <c r="AF532" s="164"/>
      <c r="AG532" s="164"/>
      <c r="AH532" s="164"/>
      <c r="AI532" s="164"/>
    </row>
    <row r="533" spans="24:35">
      <c r="X533" s="164"/>
      <c r="Y533" s="164"/>
      <c r="Z533" s="164"/>
      <c r="AA533" s="164"/>
      <c r="AB533" s="164"/>
      <c r="AC533" s="164"/>
      <c r="AD533" s="164"/>
      <c r="AE533" s="164"/>
      <c r="AF533" s="164"/>
      <c r="AG533" s="164"/>
      <c r="AH533" s="164"/>
      <c r="AI533" s="164"/>
    </row>
    <row r="534" spans="24:35">
      <c r="X534" s="164"/>
      <c r="Y534" s="164"/>
      <c r="Z534" s="164"/>
      <c r="AA534" s="164"/>
      <c r="AB534" s="164"/>
      <c r="AC534" s="164"/>
      <c r="AD534" s="164"/>
      <c r="AE534" s="164"/>
      <c r="AF534" s="164"/>
      <c r="AG534" s="164"/>
      <c r="AH534" s="164"/>
      <c r="AI534" s="164"/>
    </row>
    <row r="535" spans="24:35">
      <c r="X535" s="164"/>
      <c r="Y535" s="164"/>
      <c r="Z535" s="164"/>
      <c r="AA535" s="164"/>
      <c r="AB535" s="164"/>
      <c r="AC535" s="164"/>
      <c r="AD535" s="164"/>
      <c r="AE535" s="164"/>
      <c r="AF535" s="164"/>
      <c r="AG535" s="164"/>
      <c r="AH535" s="164"/>
      <c r="AI535" s="164"/>
    </row>
    <row r="536" spans="24:35">
      <c r="X536" s="164"/>
      <c r="Y536" s="164"/>
      <c r="Z536" s="164"/>
      <c r="AA536" s="164"/>
      <c r="AB536" s="164"/>
      <c r="AC536" s="164"/>
      <c r="AD536" s="164"/>
      <c r="AE536" s="164"/>
      <c r="AF536" s="164"/>
      <c r="AG536" s="164"/>
      <c r="AH536" s="164"/>
      <c r="AI536" s="164"/>
    </row>
    <row r="537" spans="24:35">
      <c r="X537" s="164"/>
      <c r="Y537" s="164"/>
      <c r="Z537" s="164"/>
      <c r="AA537" s="164"/>
      <c r="AB537" s="164"/>
      <c r="AC537" s="164"/>
      <c r="AD537" s="164"/>
      <c r="AE537" s="164"/>
      <c r="AF537" s="164"/>
      <c r="AG537" s="164"/>
      <c r="AH537" s="164"/>
      <c r="AI537" s="164"/>
    </row>
    <row r="538" spans="24:35">
      <c r="X538" s="164"/>
      <c r="Y538" s="164"/>
      <c r="Z538" s="164"/>
      <c r="AA538" s="164"/>
      <c r="AB538" s="164"/>
      <c r="AC538" s="164"/>
      <c r="AD538" s="164"/>
      <c r="AE538" s="164"/>
      <c r="AF538" s="164"/>
      <c r="AG538" s="164"/>
      <c r="AH538" s="164"/>
      <c r="AI538" s="164"/>
    </row>
    <row r="539" spans="24:35">
      <c r="X539" s="164"/>
      <c r="Y539" s="164"/>
      <c r="Z539" s="164"/>
      <c r="AA539" s="164"/>
      <c r="AB539" s="164"/>
      <c r="AC539" s="164"/>
      <c r="AD539" s="164"/>
      <c r="AE539" s="164"/>
      <c r="AF539" s="164"/>
      <c r="AG539" s="164"/>
      <c r="AH539" s="164"/>
      <c r="AI539" s="164"/>
    </row>
    <row r="540" spans="24:35">
      <c r="X540" s="164"/>
      <c r="Y540" s="164"/>
      <c r="Z540" s="164"/>
      <c r="AA540" s="164"/>
      <c r="AB540" s="164"/>
      <c r="AC540" s="164"/>
      <c r="AD540" s="164"/>
      <c r="AE540" s="164"/>
      <c r="AF540" s="164"/>
      <c r="AG540" s="164"/>
      <c r="AH540" s="164"/>
      <c r="AI540" s="164"/>
    </row>
    <row r="541" spans="24:35">
      <c r="X541" s="164"/>
      <c r="Y541" s="164"/>
      <c r="Z541" s="164"/>
      <c r="AA541" s="164"/>
      <c r="AB541" s="164"/>
      <c r="AC541" s="164"/>
      <c r="AD541" s="164"/>
      <c r="AE541" s="164"/>
      <c r="AF541" s="164"/>
      <c r="AG541" s="164"/>
      <c r="AH541" s="164"/>
      <c r="AI541" s="164"/>
    </row>
    <row r="542" spans="24:35">
      <c r="X542" s="164"/>
      <c r="Y542" s="164"/>
      <c r="Z542" s="164"/>
      <c r="AA542" s="164"/>
      <c r="AB542" s="164"/>
      <c r="AC542" s="164"/>
      <c r="AD542" s="164"/>
      <c r="AE542" s="164"/>
      <c r="AF542" s="164"/>
      <c r="AG542" s="164"/>
      <c r="AH542" s="164"/>
      <c r="AI542" s="164"/>
    </row>
    <row r="543" spans="24:35">
      <c r="X543" s="164"/>
      <c r="Y543" s="164"/>
      <c r="Z543" s="164"/>
      <c r="AA543" s="164"/>
      <c r="AB543" s="164"/>
      <c r="AC543" s="164"/>
      <c r="AD543" s="164"/>
      <c r="AE543" s="164"/>
      <c r="AF543" s="164"/>
      <c r="AG543" s="164"/>
      <c r="AH543" s="164"/>
      <c r="AI543" s="164"/>
    </row>
    <row r="544" spans="24:35">
      <c r="X544" s="164"/>
      <c r="Y544" s="164"/>
      <c r="Z544" s="164"/>
      <c r="AA544" s="164"/>
      <c r="AB544" s="164"/>
      <c r="AC544" s="164"/>
      <c r="AD544" s="164"/>
      <c r="AE544" s="164"/>
      <c r="AF544" s="164"/>
      <c r="AG544" s="164"/>
      <c r="AH544" s="164"/>
      <c r="AI544" s="164"/>
    </row>
    <row r="545" spans="24:35">
      <c r="X545" s="164"/>
      <c r="Y545" s="164"/>
      <c r="Z545" s="164"/>
      <c r="AA545" s="164"/>
      <c r="AB545" s="164"/>
      <c r="AC545" s="164"/>
      <c r="AD545" s="164"/>
      <c r="AE545" s="164"/>
      <c r="AF545" s="164"/>
      <c r="AG545" s="164"/>
      <c r="AH545" s="164"/>
      <c r="AI545" s="164"/>
    </row>
    <row r="546" spans="24:35">
      <c r="X546" s="164"/>
      <c r="Y546" s="164"/>
      <c r="Z546" s="164"/>
      <c r="AA546" s="164"/>
      <c r="AB546" s="164"/>
      <c r="AC546" s="164"/>
      <c r="AD546" s="164"/>
      <c r="AE546" s="164"/>
      <c r="AF546" s="164"/>
      <c r="AG546" s="164"/>
      <c r="AH546" s="164"/>
      <c r="AI546" s="164"/>
    </row>
    <row r="547" spans="24:35">
      <c r="X547" s="164"/>
      <c r="Y547" s="164"/>
      <c r="Z547" s="164"/>
      <c r="AA547" s="164"/>
      <c r="AB547" s="164"/>
      <c r="AC547" s="164"/>
      <c r="AD547" s="164"/>
      <c r="AE547" s="164"/>
      <c r="AF547" s="164"/>
      <c r="AG547" s="164"/>
      <c r="AH547" s="164"/>
      <c r="AI547" s="164"/>
    </row>
    <row r="548" spans="24:35">
      <c r="X548" s="164"/>
      <c r="Y548" s="164"/>
      <c r="Z548" s="164"/>
      <c r="AA548" s="164"/>
      <c r="AB548" s="164"/>
      <c r="AC548" s="164"/>
      <c r="AD548" s="164"/>
      <c r="AE548" s="164"/>
      <c r="AF548" s="164"/>
      <c r="AG548" s="164"/>
      <c r="AH548" s="164"/>
      <c r="AI548" s="164"/>
    </row>
    <row r="549" spans="24:35">
      <c r="X549" s="164"/>
      <c r="Y549" s="164"/>
      <c r="Z549" s="164"/>
      <c r="AA549" s="164"/>
      <c r="AB549" s="164"/>
      <c r="AC549" s="164"/>
      <c r="AD549" s="164"/>
      <c r="AE549" s="164"/>
      <c r="AF549" s="164"/>
      <c r="AG549" s="164"/>
      <c r="AH549" s="164"/>
      <c r="AI549" s="164"/>
    </row>
    <row r="550" spans="24:35">
      <c r="X550" s="164"/>
      <c r="Y550" s="164"/>
      <c r="Z550" s="164"/>
      <c r="AA550" s="164"/>
      <c r="AB550" s="164"/>
      <c r="AC550" s="164"/>
      <c r="AD550" s="164"/>
      <c r="AE550" s="164"/>
      <c r="AF550" s="164"/>
      <c r="AG550" s="164"/>
      <c r="AH550" s="164"/>
      <c r="AI550" s="164"/>
    </row>
    <row r="551" spans="24:35">
      <c r="X551" s="164"/>
      <c r="Y551" s="164"/>
      <c r="Z551" s="164"/>
      <c r="AA551" s="164"/>
      <c r="AB551" s="164"/>
      <c r="AC551" s="164"/>
      <c r="AD551" s="164"/>
      <c r="AE551" s="164"/>
      <c r="AF551" s="164"/>
      <c r="AG551" s="164"/>
      <c r="AH551" s="164"/>
      <c r="AI551" s="164"/>
    </row>
    <row r="552" spans="24:35">
      <c r="X552" s="164"/>
      <c r="Y552" s="164"/>
      <c r="Z552" s="164"/>
      <c r="AA552" s="164"/>
      <c r="AB552" s="164"/>
      <c r="AC552" s="164"/>
      <c r="AD552" s="164"/>
      <c r="AE552" s="164"/>
      <c r="AF552" s="164"/>
      <c r="AG552" s="164"/>
      <c r="AH552" s="164"/>
      <c r="AI552" s="164"/>
    </row>
    <row r="553" spans="24:35">
      <c r="X553" s="164"/>
      <c r="Y553" s="164"/>
      <c r="Z553" s="164"/>
      <c r="AA553" s="164"/>
      <c r="AB553" s="164"/>
      <c r="AC553" s="164"/>
      <c r="AD553" s="164"/>
      <c r="AE553" s="164"/>
      <c r="AF553" s="164"/>
      <c r="AG553" s="164"/>
      <c r="AH553" s="164"/>
      <c r="AI553" s="164"/>
    </row>
    <row r="554" spans="24:35">
      <c r="X554" s="164"/>
      <c r="Y554" s="164"/>
      <c r="Z554" s="164"/>
      <c r="AA554" s="164"/>
      <c r="AB554" s="164"/>
      <c r="AC554" s="164"/>
      <c r="AD554" s="164"/>
      <c r="AE554" s="164"/>
      <c r="AF554" s="164"/>
      <c r="AG554" s="164"/>
      <c r="AH554" s="164"/>
      <c r="AI554" s="164"/>
    </row>
    <row r="555" spans="24:35">
      <c r="X555" s="164"/>
      <c r="Y555" s="164"/>
      <c r="Z555" s="164"/>
      <c r="AA555" s="164"/>
      <c r="AB555" s="164"/>
      <c r="AC555" s="164"/>
      <c r="AD555" s="164"/>
      <c r="AE555" s="164"/>
      <c r="AF555" s="164"/>
      <c r="AG555" s="164"/>
      <c r="AH555" s="164"/>
      <c r="AI555" s="164"/>
    </row>
    <row r="556" spans="24:35">
      <c r="X556" s="164"/>
      <c r="Y556" s="164"/>
      <c r="Z556" s="164"/>
      <c r="AA556" s="164"/>
      <c r="AB556" s="164"/>
      <c r="AC556" s="164"/>
      <c r="AD556" s="164"/>
      <c r="AE556" s="164"/>
      <c r="AF556" s="164"/>
      <c r="AG556" s="164"/>
      <c r="AH556" s="164"/>
      <c r="AI556" s="164"/>
    </row>
    <row r="557" spans="24:35">
      <c r="X557" s="164"/>
      <c r="Y557" s="164"/>
      <c r="Z557" s="164"/>
      <c r="AA557" s="164"/>
      <c r="AB557" s="164"/>
      <c r="AC557" s="164"/>
      <c r="AD557" s="164"/>
      <c r="AE557" s="164"/>
      <c r="AF557" s="164"/>
      <c r="AG557" s="164"/>
      <c r="AH557" s="164"/>
      <c r="AI557" s="164"/>
    </row>
    <row r="558" spans="24:35">
      <c r="X558" s="164"/>
      <c r="Y558" s="164"/>
      <c r="Z558" s="164"/>
      <c r="AA558" s="164"/>
      <c r="AB558" s="164"/>
      <c r="AC558" s="164"/>
      <c r="AD558" s="164"/>
      <c r="AE558" s="164"/>
      <c r="AF558" s="164"/>
      <c r="AG558" s="164"/>
      <c r="AH558" s="164"/>
      <c r="AI558" s="164"/>
    </row>
    <row r="559" spans="24:35">
      <c r="X559" s="164"/>
      <c r="Y559" s="164"/>
      <c r="Z559" s="164"/>
      <c r="AA559" s="164"/>
      <c r="AB559" s="164"/>
      <c r="AC559" s="164"/>
      <c r="AD559" s="164"/>
      <c r="AE559" s="164"/>
      <c r="AF559" s="164"/>
      <c r="AG559" s="164"/>
      <c r="AH559" s="164"/>
      <c r="AI559" s="164"/>
    </row>
    <row r="560" spans="24:35">
      <c r="X560" s="164"/>
      <c r="Y560" s="164"/>
      <c r="Z560" s="164"/>
      <c r="AA560" s="164"/>
      <c r="AB560" s="164"/>
      <c r="AC560" s="164"/>
      <c r="AD560" s="164"/>
      <c r="AE560" s="164"/>
      <c r="AF560" s="164"/>
      <c r="AG560" s="164"/>
      <c r="AH560" s="164"/>
      <c r="AI560" s="164"/>
    </row>
    <row r="561" spans="24:35">
      <c r="X561" s="164"/>
      <c r="Y561" s="164"/>
      <c r="Z561" s="164"/>
      <c r="AA561" s="164"/>
      <c r="AB561" s="164"/>
      <c r="AC561" s="164"/>
      <c r="AD561" s="164"/>
      <c r="AE561" s="164"/>
      <c r="AF561" s="164"/>
      <c r="AG561" s="164"/>
      <c r="AH561" s="164"/>
      <c r="AI561" s="164"/>
    </row>
    <row r="562" spans="24:35">
      <c r="X562" s="164"/>
      <c r="Y562" s="164"/>
      <c r="Z562" s="164"/>
      <c r="AA562" s="164"/>
      <c r="AB562" s="164"/>
      <c r="AC562" s="164"/>
      <c r="AD562" s="164"/>
      <c r="AE562" s="164"/>
      <c r="AF562" s="164"/>
      <c r="AG562" s="164"/>
      <c r="AH562" s="164"/>
      <c r="AI562" s="164"/>
    </row>
    <row r="563" spans="24:35">
      <c r="X563" s="164"/>
      <c r="Y563" s="164"/>
      <c r="Z563" s="164"/>
      <c r="AA563" s="164"/>
      <c r="AB563" s="164"/>
      <c r="AC563" s="164"/>
      <c r="AD563" s="164"/>
      <c r="AE563" s="164"/>
      <c r="AF563" s="164"/>
      <c r="AG563" s="164"/>
      <c r="AH563" s="164"/>
      <c r="AI563" s="164"/>
    </row>
    <row r="564" spans="24:35">
      <c r="X564" s="164"/>
      <c r="Y564" s="164"/>
      <c r="Z564" s="164"/>
      <c r="AA564" s="164"/>
      <c r="AB564" s="164"/>
      <c r="AC564" s="164"/>
      <c r="AD564" s="164"/>
      <c r="AE564" s="164"/>
      <c r="AF564" s="164"/>
      <c r="AG564" s="164"/>
      <c r="AH564" s="164"/>
      <c r="AI564" s="164"/>
    </row>
    <row r="565" spans="24:35">
      <c r="X565" s="164"/>
      <c r="Y565" s="164"/>
      <c r="Z565" s="164"/>
      <c r="AA565" s="164"/>
      <c r="AB565" s="164"/>
      <c r="AC565" s="164"/>
      <c r="AD565" s="164"/>
      <c r="AE565" s="164"/>
      <c r="AF565" s="164"/>
      <c r="AG565" s="164"/>
      <c r="AH565" s="164"/>
      <c r="AI565" s="164"/>
    </row>
    <row r="566" spans="24:35">
      <c r="X566" s="164"/>
      <c r="Y566" s="164"/>
      <c r="Z566" s="164"/>
      <c r="AA566" s="164"/>
      <c r="AB566" s="164"/>
      <c r="AC566" s="164"/>
      <c r="AD566" s="164"/>
      <c r="AE566" s="164"/>
      <c r="AF566" s="164"/>
      <c r="AG566" s="164"/>
      <c r="AH566" s="164"/>
      <c r="AI566" s="164"/>
    </row>
    <row r="567" spans="24:35">
      <c r="X567" s="164"/>
      <c r="Y567" s="164"/>
      <c r="Z567" s="164"/>
      <c r="AA567" s="164"/>
      <c r="AB567" s="164"/>
      <c r="AC567" s="164"/>
      <c r="AD567" s="164"/>
      <c r="AE567" s="164"/>
      <c r="AF567" s="164"/>
      <c r="AG567" s="164"/>
      <c r="AH567" s="164"/>
      <c r="AI567" s="164"/>
    </row>
    <row r="568" spans="24:35">
      <c r="X568" s="164"/>
      <c r="Y568" s="164"/>
      <c r="Z568" s="164"/>
      <c r="AA568" s="164"/>
      <c r="AB568" s="164"/>
      <c r="AC568" s="164"/>
      <c r="AD568" s="164"/>
      <c r="AE568" s="164"/>
      <c r="AF568" s="164"/>
      <c r="AG568" s="164"/>
      <c r="AH568" s="164"/>
      <c r="AI568" s="164"/>
    </row>
    <row r="569" spans="24:35">
      <c r="X569" s="164"/>
      <c r="Y569" s="164"/>
      <c r="Z569" s="164"/>
      <c r="AA569" s="164"/>
      <c r="AB569" s="164"/>
      <c r="AC569" s="164"/>
      <c r="AD569" s="164"/>
      <c r="AE569" s="164"/>
      <c r="AF569" s="164"/>
      <c r="AG569" s="164"/>
      <c r="AH569" s="164"/>
      <c r="AI569" s="164"/>
    </row>
    <row r="570" spans="24:35">
      <c r="X570" s="164"/>
      <c r="Y570" s="164"/>
      <c r="Z570" s="164"/>
      <c r="AA570" s="164"/>
      <c r="AB570" s="164"/>
      <c r="AC570" s="164"/>
      <c r="AD570" s="164"/>
      <c r="AE570" s="164"/>
      <c r="AF570" s="164"/>
      <c r="AG570" s="164"/>
      <c r="AH570" s="164"/>
      <c r="AI570" s="164"/>
    </row>
    <row r="571" spans="24:35">
      <c r="X571" s="164"/>
      <c r="Y571" s="164"/>
      <c r="Z571" s="164"/>
      <c r="AA571" s="164"/>
      <c r="AB571" s="164"/>
      <c r="AC571" s="164"/>
      <c r="AD571" s="164"/>
      <c r="AE571" s="164"/>
      <c r="AF571" s="164"/>
      <c r="AG571" s="164"/>
      <c r="AH571" s="164"/>
      <c r="AI571" s="164"/>
    </row>
    <row r="572" spans="24:35">
      <c r="X572" s="164"/>
      <c r="Y572" s="164"/>
      <c r="Z572" s="164"/>
      <c r="AA572" s="164"/>
      <c r="AB572" s="164"/>
      <c r="AC572" s="164"/>
      <c r="AD572" s="164"/>
      <c r="AE572" s="164"/>
      <c r="AF572" s="164"/>
      <c r="AG572" s="164"/>
      <c r="AH572" s="164"/>
      <c r="AI572" s="164"/>
    </row>
    <row r="573" spans="24:35">
      <c r="X573" s="164"/>
      <c r="Y573" s="164"/>
      <c r="Z573" s="164"/>
      <c r="AA573" s="164"/>
      <c r="AB573" s="164"/>
      <c r="AC573" s="164"/>
      <c r="AD573" s="164"/>
      <c r="AE573" s="164"/>
      <c r="AF573" s="164"/>
      <c r="AG573" s="164"/>
      <c r="AH573" s="164"/>
      <c r="AI573" s="164"/>
    </row>
    <row r="574" spans="24:35">
      <c r="X574" s="164"/>
      <c r="Y574" s="164"/>
      <c r="Z574" s="164"/>
      <c r="AA574" s="164"/>
      <c r="AB574" s="164"/>
      <c r="AC574" s="164"/>
      <c r="AD574" s="164"/>
      <c r="AE574" s="164"/>
      <c r="AF574" s="164"/>
      <c r="AG574" s="164"/>
      <c r="AH574" s="164"/>
      <c r="AI574" s="164"/>
    </row>
    <row r="575" spans="24:35">
      <c r="X575" s="164"/>
      <c r="Y575" s="164"/>
      <c r="Z575" s="164"/>
      <c r="AA575" s="164"/>
      <c r="AB575" s="164"/>
      <c r="AC575" s="164"/>
      <c r="AD575" s="164"/>
      <c r="AE575" s="164"/>
      <c r="AF575" s="164"/>
      <c r="AG575" s="164"/>
      <c r="AH575" s="164"/>
      <c r="AI575" s="164"/>
    </row>
    <row r="576" spans="24:35">
      <c r="X576" s="164"/>
      <c r="Y576" s="164"/>
      <c r="Z576" s="164"/>
      <c r="AA576" s="164"/>
      <c r="AB576" s="164"/>
      <c r="AC576" s="164"/>
      <c r="AD576" s="164"/>
      <c r="AE576" s="164"/>
      <c r="AF576" s="164"/>
      <c r="AG576" s="164"/>
      <c r="AH576" s="164"/>
      <c r="AI576" s="164"/>
    </row>
    <row r="577" spans="24:35">
      <c r="X577" s="164"/>
      <c r="Y577" s="164"/>
      <c r="Z577" s="164"/>
      <c r="AA577" s="164"/>
      <c r="AB577" s="164"/>
      <c r="AC577" s="164"/>
      <c r="AD577" s="164"/>
      <c r="AE577" s="164"/>
      <c r="AF577" s="164"/>
      <c r="AG577" s="164"/>
      <c r="AH577" s="164"/>
      <c r="AI577" s="164"/>
    </row>
    <row r="578" spans="24:35">
      <c r="X578" s="164"/>
      <c r="Y578" s="164"/>
      <c r="Z578" s="164"/>
      <c r="AA578" s="164"/>
      <c r="AB578" s="164"/>
      <c r="AC578" s="164"/>
      <c r="AD578" s="164"/>
      <c r="AE578" s="164"/>
      <c r="AF578" s="164"/>
      <c r="AG578" s="164"/>
      <c r="AH578" s="164"/>
      <c r="AI578" s="164"/>
    </row>
    <row r="579" spans="24:35">
      <c r="X579" s="164"/>
      <c r="Y579" s="164"/>
      <c r="Z579" s="164"/>
      <c r="AA579" s="164"/>
      <c r="AB579" s="164"/>
      <c r="AC579" s="164"/>
      <c r="AD579" s="164"/>
      <c r="AE579" s="164"/>
      <c r="AF579" s="164"/>
      <c r="AG579" s="164"/>
      <c r="AH579" s="164"/>
      <c r="AI579" s="164"/>
    </row>
    <row r="580" spans="24:35">
      <c r="X580" s="164"/>
      <c r="Y580" s="164"/>
      <c r="Z580" s="164"/>
      <c r="AA580" s="164"/>
      <c r="AB580" s="164"/>
      <c r="AC580" s="164"/>
      <c r="AD580" s="164"/>
      <c r="AE580" s="164"/>
      <c r="AF580" s="164"/>
      <c r="AG580" s="164"/>
      <c r="AH580" s="164"/>
      <c r="AI580" s="164"/>
    </row>
    <row r="581" spans="24:35">
      <c r="X581" s="164"/>
      <c r="Y581" s="164"/>
      <c r="Z581" s="164"/>
      <c r="AA581" s="164"/>
      <c r="AB581" s="164"/>
      <c r="AC581" s="164"/>
      <c r="AD581" s="164"/>
      <c r="AE581" s="164"/>
      <c r="AF581" s="164"/>
      <c r="AG581" s="164"/>
      <c r="AH581" s="164"/>
      <c r="AI581" s="164"/>
    </row>
    <row r="582" spans="24:35">
      <c r="X582" s="164"/>
      <c r="Y582" s="164"/>
      <c r="Z582" s="164"/>
      <c r="AA582" s="164"/>
      <c r="AB582" s="164"/>
      <c r="AC582" s="164"/>
      <c r="AD582" s="164"/>
      <c r="AE582" s="164"/>
      <c r="AF582" s="164"/>
      <c r="AG582" s="164"/>
      <c r="AH582" s="164"/>
      <c r="AI582" s="164"/>
    </row>
    <row r="583" spans="24:35">
      <c r="X583" s="164"/>
      <c r="Y583" s="164"/>
      <c r="Z583" s="164"/>
      <c r="AA583" s="164"/>
      <c r="AB583" s="164"/>
      <c r="AC583" s="164"/>
      <c r="AD583" s="164"/>
      <c r="AE583" s="164"/>
      <c r="AF583" s="164"/>
      <c r="AG583" s="164"/>
      <c r="AH583" s="164"/>
      <c r="AI583" s="164"/>
    </row>
    <row r="584" spans="24:35">
      <c r="X584" s="164"/>
      <c r="Y584" s="164"/>
      <c r="Z584" s="164"/>
      <c r="AA584" s="164"/>
      <c r="AB584" s="164"/>
      <c r="AC584" s="164"/>
      <c r="AD584" s="164"/>
      <c r="AE584" s="164"/>
      <c r="AF584" s="164"/>
      <c r="AG584" s="164"/>
      <c r="AH584" s="164"/>
      <c r="AI584" s="164"/>
    </row>
    <row r="585" spans="24:35">
      <c r="X585" s="164"/>
      <c r="Y585" s="164"/>
      <c r="Z585" s="164"/>
      <c r="AA585" s="164"/>
      <c r="AB585" s="164"/>
      <c r="AC585" s="164"/>
      <c r="AD585" s="164"/>
      <c r="AE585" s="164"/>
      <c r="AF585" s="164"/>
      <c r="AG585" s="164"/>
      <c r="AH585" s="164"/>
      <c r="AI585" s="164"/>
    </row>
    <row r="586" spans="24:35">
      <c r="X586" s="164"/>
      <c r="Y586" s="164"/>
      <c r="Z586" s="164"/>
      <c r="AA586" s="164"/>
      <c r="AB586" s="164"/>
      <c r="AC586" s="164"/>
      <c r="AD586" s="164"/>
      <c r="AE586" s="164"/>
      <c r="AF586" s="164"/>
      <c r="AG586" s="164"/>
      <c r="AH586" s="164"/>
      <c r="AI586" s="164"/>
    </row>
    <row r="587" spans="24:35">
      <c r="X587" s="164"/>
      <c r="Y587" s="164"/>
      <c r="Z587" s="164"/>
      <c r="AA587" s="164"/>
      <c r="AB587" s="164"/>
      <c r="AC587" s="164"/>
      <c r="AD587" s="164"/>
      <c r="AE587" s="164"/>
      <c r="AF587" s="164"/>
      <c r="AG587" s="164"/>
      <c r="AH587" s="164"/>
      <c r="AI587" s="164"/>
    </row>
    <row r="588" spans="24:35">
      <c r="X588" s="164"/>
      <c r="Y588" s="164"/>
      <c r="Z588" s="164"/>
      <c r="AA588" s="164"/>
      <c r="AB588" s="164"/>
      <c r="AC588" s="164"/>
      <c r="AD588" s="164"/>
      <c r="AE588" s="164"/>
      <c r="AF588" s="164"/>
      <c r="AG588" s="164"/>
      <c r="AH588" s="164"/>
      <c r="AI588" s="164"/>
    </row>
    <row r="589" spans="24:35">
      <c r="X589" s="164"/>
      <c r="Y589" s="164"/>
      <c r="Z589" s="164"/>
      <c r="AA589" s="164"/>
      <c r="AB589" s="164"/>
      <c r="AC589" s="164"/>
      <c r="AD589" s="164"/>
      <c r="AE589" s="164"/>
      <c r="AF589" s="164"/>
      <c r="AG589" s="164"/>
      <c r="AH589" s="164"/>
      <c r="AI589" s="164"/>
    </row>
    <row r="590" spans="24:35">
      <c r="X590" s="164"/>
      <c r="Y590" s="164"/>
      <c r="Z590" s="164"/>
      <c r="AA590" s="164"/>
      <c r="AB590" s="164"/>
      <c r="AC590" s="164"/>
      <c r="AD590" s="164"/>
      <c r="AE590" s="164"/>
      <c r="AF590" s="164"/>
      <c r="AG590" s="164"/>
      <c r="AH590" s="164"/>
      <c r="AI590" s="164"/>
    </row>
    <row r="591" spans="24:35">
      <c r="X591" s="164"/>
      <c r="Y591" s="164"/>
      <c r="Z591" s="164"/>
      <c r="AA591" s="164"/>
      <c r="AB591" s="164"/>
      <c r="AC591" s="164"/>
      <c r="AD591" s="164"/>
      <c r="AE591" s="164"/>
      <c r="AF591" s="164"/>
      <c r="AG591" s="164"/>
      <c r="AH591" s="164"/>
      <c r="AI591" s="164"/>
    </row>
    <row r="592" spans="24:35">
      <c r="X592" s="164"/>
      <c r="Y592" s="164"/>
      <c r="Z592" s="164"/>
      <c r="AA592" s="164"/>
      <c r="AB592" s="164"/>
      <c r="AC592" s="164"/>
      <c r="AD592" s="164"/>
      <c r="AE592" s="164"/>
      <c r="AF592" s="164"/>
      <c r="AG592" s="164"/>
      <c r="AH592" s="164"/>
      <c r="AI592" s="164"/>
    </row>
    <row r="593" spans="24:35">
      <c r="X593" s="164"/>
      <c r="Y593" s="164"/>
      <c r="Z593" s="164"/>
      <c r="AA593" s="164"/>
      <c r="AB593" s="164"/>
      <c r="AC593" s="164"/>
      <c r="AD593" s="164"/>
      <c r="AE593" s="164"/>
      <c r="AF593" s="164"/>
      <c r="AG593" s="164"/>
      <c r="AH593" s="164"/>
      <c r="AI593" s="164"/>
    </row>
    <row r="594" spans="24:35">
      <c r="X594" s="164"/>
      <c r="Y594" s="164"/>
      <c r="Z594" s="164"/>
      <c r="AA594" s="164"/>
      <c r="AB594" s="164"/>
      <c r="AC594" s="164"/>
      <c r="AD594" s="164"/>
      <c r="AE594" s="164"/>
      <c r="AF594" s="164"/>
      <c r="AG594" s="164"/>
      <c r="AH594" s="164"/>
      <c r="AI594" s="164"/>
    </row>
    <row r="595" spans="24:35">
      <c r="X595" s="164"/>
      <c r="Y595" s="164"/>
      <c r="Z595" s="164"/>
      <c r="AA595" s="164"/>
      <c r="AB595" s="164"/>
      <c r="AC595" s="164"/>
      <c r="AD595" s="164"/>
      <c r="AE595" s="164"/>
      <c r="AF595" s="164"/>
      <c r="AG595" s="164"/>
      <c r="AH595" s="164"/>
      <c r="AI595" s="164"/>
    </row>
    <row r="596" spans="24:35">
      <c r="X596" s="164"/>
      <c r="Y596" s="164"/>
      <c r="Z596" s="164"/>
      <c r="AA596" s="164"/>
      <c r="AB596" s="164"/>
      <c r="AC596" s="164"/>
      <c r="AD596" s="164"/>
      <c r="AE596" s="164"/>
      <c r="AF596" s="164"/>
      <c r="AG596" s="164"/>
      <c r="AH596" s="164"/>
      <c r="AI596" s="164"/>
    </row>
    <row r="597" spans="24:35">
      <c r="X597" s="164"/>
      <c r="Y597" s="164"/>
      <c r="Z597" s="164"/>
      <c r="AA597" s="164"/>
      <c r="AB597" s="164"/>
      <c r="AC597" s="164"/>
      <c r="AD597" s="164"/>
      <c r="AE597" s="164"/>
      <c r="AF597" s="164"/>
      <c r="AG597" s="164"/>
      <c r="AH597" s="164"/>
      <c r="AI597" s="164"/>
    </row>
    <row r="598" spans="24:35">
      <c r="X598" s="164"/>
      <c r="Y598" s="164"/>
      <c r="Z598" s="164"/>
      <c r="AA598" s="164"/>
      <c r="AB598" s="164"/>
      <c r="AC598" s="164"/>
      <c r="AD598" s="164"/>
      <c r="AE598" s="164"/>
      <c r="AF598" s="164"/>
      <c r="AG598" s="164"/>
      <c r="AH598" s="164"/>
      <c r="AI598" s="164"/>
    </row>
    <row r="599" spans="24:35">
      <c r="X599" s="164"/>
      <c r="Y599" s="164"/>
      <c r="Z599" s="164"/>
      <c r="AA599" s="164"/>
      <c r="AB599" s="164"/>
      <c r="AC599" s="164"/>
      <c r="AD599" s="164"/>
      <c r="AE599" s="164"/>
      <c r="AF599" s="164"/>
      <c r="AG599" s="164"/>
      <c r="AH599" s="164"/>
      <c r="AI599" s="164"/>
    </row>
    <row r="600" spans="24:35">
      <c r="X600" s="164"/>
      <c r="Y600" s="164"/>
      <c r="Z600" s="164"/>
      <c r="AA600" s="164"/>
      <c r="AB600" s="164"/>
      <c r="AC600" s="164"/>
      <c r="AD600" s="164"/>
      <c r="AE600" s="164"/>
      <c r="AF600" s="164"/>
      <c r="AG600" s="164"/>
      <c r="AH600" s="164"/>
      <c r="AI600" s="164"/>
    </row>
    <row r="601" spans="24:35">
      <c r="X601" s="164"/>
      <c r="Y601" s="164"/>
      <c r="Z601" s="164"/>
      <c r="AA601" s="164"/>
      <c r="AB601" s="164"/>
      <c r="AC601" s="164"/>
      <c r="AD601" s="164"/>
      <c r="AE601" s="164"/>
      <c r="AF601" s="164"/>
      <c r="AG601" s="164"/>
      <c r="AH601" s="164"/>
      <c r="AI601" s="164"/>
    </row>
    <row r="602" spans="24:35">
      <c r="X602" s="164"/>
      <c r="Y602" s="164"/>
      <c r="Z602" s="164"/>
      <c r="AA602" s="164"/>
      <c r="AB602" s="164"/>
      <c r="AC602" s="164"/>
      <c r="AD602" s="164"/>
      <c r="AE602" s="164"/>
      <c r="AF602" s="164"/>
      <c r="AG602" s="164"/>
      <c r="AH602" s="164"/>
      <c r="AI602" s="164"/>
    </row>
    <row r="603" spans="24:35">
      <c r="X603" s="164"/>
      <c r="Y603" s="164"/>
      <c r="Z603" s="164"/>
      <c r="AA603" s="164"/>
      <c r="AB603" s="164"/>
      <c r="AC603" s="164"/>
      <c r="AD603" s="164"/>
      <c r="AE603" s="164"/>
      <c r="AF603" s="164"/>
      <c r="AG603" s="164"/>
      <c r="AH603" s="164"/>
      <c r="AI603" s="164"/>
    </row>
    <row r="604" spans="24:35">
      <c r="X604" s="164"/>
      <c r="Y604" s="164"/>
      <c r="Z604" s="164"/>
      <c r="AA604" s="164"/>
      <c r="AB604" s="164"/>
      <c r="AC604" s="164"/>
      <c r="AD604" s="164"/>
      <c r="AE604" s="164"/>
      <c r="AF604" s="164"/>
      <c r="AG604" s="164"/>
      <c r="AH604" s="164"/>
      <c r="AI604" s="164"/>
    </row>
    <row r="605" spans="24:35">
      <c r="X605" s="164"/>
      <c r="Y605" s="164"/>
      <c r="Z605" s="164"/>
      <c r="AA605" s="164"/>
      <c r="AB605" s="164"/>
      <c r="AC605" s="164"/>
      <c r="AD605" s="164"/>
      <c r="AE605" s="164"/>
      <c r="AF605" s="164"/>
      <c r="AG605" s="164"/>
      <c r="AH605" s="164"/>
      <c r="AI605" s="164"/>
    </row>
    <row r="606" spans="24:35">
      <c r="X606" s="164"/>
      <c r="Y606" s="164"/>
      <c r="Z606" s="164"/>
      <c r="AA606" s="164"/>
      <c r="AB606" s="164"/>
      <c r="AC606" s="164"/>
      <c r="AD606" s="164"/>
      <c r="AE606" s="164"/>
      <c r="AF606" s="164"/>
      <c r="AG606" s="164"/>
      <c r="AH606" s="164"/>
      <c r="AI606" s="164"/>
    </row>
    <row r="607" spans="24:35">
      <c r="X607" s="164"/>
      <c r="Y607" s="164"/>
      <c r="Z607" s="164"/>
      <c r="AA607" s="164"/>
      <c r="AB607" s="164"/>
      <c r="AC607" s="164"/>
      <c r="AD607" s="164"/>
      <c r="AE607" s="164"/>
      <c r="AF607" s="164"/>
      <c r="AG607" s="164"/>
      <c r="AH607" s="164"/>
      <c r="AI607" s="164"/>
    </row>
    <row r="608" spans="24:35">
      <c r="X608" s="164"/>
      <c r="Y608" s="164"/>
      <c r="Z608" s="164"/>
      <c r="AA608" s="164"/>
      <c r="AB608" s="164"/>
      <c r="AC608" s="164"/>
      <c r="AD608" s="164"/>
      <c r="AE608" s="164"/>
      <c r="AF608" s="164"/>
      <c r="AG608" s="164"/>
      <c r="AH608" s="164"/>
      <c r="AI608" s="164"/>
    </row>
    <row r="609" spans="24:35">
      <c r="X609" s="164"/>
      <c r="Y609" s="164"/>
      <c r="Z609" s="164"/>
      <c r="AA609" s="164"/>
      <c r="AB609" s="164"/>
      <c r="AC609" s="164"/>
      <c r="AD609" s="164"/>
      <c r="AE609" s="164"/>
      <c r="AF609" s="164"/>
      <c r="AG609" s="164"/>
      <c r="AH609" s="164"/>
      <c r="AI609" s="164"/>
    </row>
    <row r="610" spans="24:35">
      <c r="X610" s="164"/>
      <c r="Y610" s="164"/>
      <c r="Z610" s="164"/>
      <c r="AA610" s="164"/>
      <c r="AB610" s="164"/>
      <c r="AC610" s="164"/>
      <c r="AD610" s="164"/>
      <c r="AE610" s="164"/>
      <c r="AF610" s="164"/>
      <c r="AG610" s="164"/>
      <c r="AH610" s="164"/>
      <c r="AI610" s="164"/>
    </row>
    <row r="611" spans="24:35">
      <c r="X611" s="164"/>
      <c r="Y611" s="164"/>
      <c r="Z611" s="164"/>
      <c r="AA611" s="164"/>
      <c r="AB611" s="164"/>
      <c r="AC611" s="164"/>
      <c r="AD611" s="164"/>
      <c r="AE611" s="164"/>
      <c r="AF611" s="164"/>
      <c r="AG611" s="164"/>
      <c r="AH611" s="164"/>
      <c r="AI611" s="164"/>
    </row>
    <row r="612" spans="24:35">
      <c r="X612" s="164"/>
      <c r="Y612" s="164"/>
      <c r="Z612" s="164"/>
      <c r="AA612" s="164"/>
      <c r="AB612" s="164"/>
      <c r="AC612" s="164"/>
      <c r="AD612" s="164"/>
      <c r="AE612" s="164"/>
      <c r="AF612" s="164"/>
      <c r="AG612" s="164"/>
      <c r="AH612" s="164"/>
      <c r="AI612" s="164"/>
    </row>
    <row r="613" spans="24:35">
      <c r="X613" s="164"/>
      <c r="Y613" s="164"/>
      <c r="Z613" s="164"/>
      <c r="AA613" s="164"/>
      <c r="AB613" s="164"/>
      <c r="AC613" s="164"/>
      <c r="AD613" s="164"/>
      <c r="AE613" s="164"/>
      <c r="AF613" s="164"/>
      <c r="AG613" s="164"/>
      <c r="AH613" s="164"/>
      <c r="AI613" s="164"/>
    </row>
    <row r="614" spans="24:35">
      <c r="X614" s="164"/>
      <c r="Y614" s="164"/>
      <c r="Z614" s="164"/>
      <c r="AA614" s="164"/>
      <c r="AB614" s="164"/>
      <c r="AC614" s="164"/>
      <c r="AD614" s="164"/>
      <c r="AE614" s="164"/>
      <c r="AF614" s="164"/>
      <c r="AG614" s="164"/>
      <c r="AH614" s="164"/>
      <c r="AI614" s="164"/>
    </row>
    <row r="615" spans="24:35">
      <c r="X615" s="164"/>
      <c r="Y615" s="164"/>
      <c r="Z615" s="164"/>
      <c r="AA615" s="164"/>
      <c r="AB615" s="164"/>
      <c r="AC615" s="164"/>
      <c r="AD615" s="164"/>
      <c r="AE615" s="164"/>
      <c r="AF615" s="164"/>
      <c r="AG615" s="164"/>
      <c r="AH615" s="164"/>
      <c r="AI615" s="164"/>
    </row>
    <row r="616" spans="24:35">
      <c r="X616" s="164"/>
      <c r="Y616" s="164"/>
      <c r="Z616" s="164"/>
      <c r="AA616" s="164"/>
      <c r="AB616" s="164"/>
      <c r="AC616" s="164"/>
      <c r="AD616" s="164"/>
      <c r="AE616" s="164"/>
      <c r="AF616" s="164"/>
      <c r="AG616" s="164"/>
      <c r="AH616" s="164"/>
      <c r="AI616" s="164"/>
    </row>
    <row r="617" spans="24:35">
      <c r="X617" s="164"/>
      <c r="Y617" s="164"/>
      <c r="Z617" s="164"/>
      <c r="AA617" s="164"/>
      <c r="AB617" s="164"/>
      <c r="AC617" s="164"/>
      <c r="AD617" s="164"/>
      <c r="AE617" s="164"/>
      <c r="AF617" s="164"/>
      <c r="AG617" s="164"/>
      <c r="AH617" s="164"/>
      <c r="AI617" s="164"/>
    </row>
    <row r="618" spans="24:35">
      <c r="X618" s="164"/>
      <c r="Y618" s="164"/>
      <c r="Z618" s="164"/>
      <c r="AA618" s="164"/>
      <c r="AB618" s="164"/>
      <c r="AC618" s="164"/>
      <c r="AD618" s="164"/>
      <c r="AE618" s="164"/>
      <c r="AF618" s="164"/>
      <c r="AG618" s="164"/>
      <c r="AH618" s="164"/>
      <c r="AI618" s="164"/>
    </row>
    <row r="619" spans="24:35">
      <c r="X619" s="164"/>
      <c r="Y619" s="164"/>
      <c r="Z619" s="164"/>
      <c r="AA619" s="164"/>
      <c r="AB619" s="164"/>
      <c r="AC619" s="164"/>
      <c r="AD619" s="164"/>
      <c r="AE619" s="164"/>
      <c r="AF619" s="164"/>
      <c r="AG619" s="164"/>
      <c r="AH619" s="164"/>
      <c r="AI619" s="164"/>
    </row>
    <row r="620" spans="24:35">
      <c r="X620" s="164"/>
      <c r="Y620" s="164"/>
      <c r="Z620" s="164"/>
      <c r="AA620" s="164"/>
      <c r="AB620" s="164"/>
      <c r="AC620" s="164"/>
      <c r="AD620" s="164"/>
      <c r="AE620" s="164"/>
      <c r="AF620" s="164"/>
      <c r="AG620" s="164"/>
      <c r="AH620" s="164"/>
      <c r="AI620" s="164"/>
    </row>
    <row r="621" spans="24:35">
      <c r="X621" s="164"/>
      <c r="Y621" s="164"/>
      <c r="Z621" s="164"/>
      <c r="AA621" s="164"/>
      <c r="AB621" s="164"/>
      <c r="AC621" s="164"/>
      <c r="AD621" s="164"/>
      <c r="AE621" s="164"/>
      <c r="AF621" s="164"/>
      <c r="AG621" s="164"/>
      <c r="AH621" s="164"/>
      <c r="AI621" s="164"/>
    </row>
    <row r="622" spans="24:35">
      <c r="X622" s="164"/>
      <c r="Y622" s="164"/>
      <c r="Z622" s="164"/>
      <c r="AA622" s="164"/>
      <c r="AB622" s="164"/>
      <c r="AC622" s="164"/>
      <c r="AD622" s="164"/>
      <c r="AE622" s="164"/>
      <c r="AF622" s="164"/>
      <c r="AG622" s="164"/>
      <c r="AH622" s="164"/>
      <c r="AI622" s="164"/>
    </row>
    <row r="623" spans="24:35">
      <c r="X623" s="164"/>
      <c r="Y623" s="164"/>
      <c r="Z623" s="164"/>
      <c r="AA623" s="164"/>
      <c r="AB623" s="164"/>
      <c r="AC623" s="164"/>
      <c r="AD623" s="164"/>
      <c r="AE623" s="164"/>
      <c r="AF623" s="164"/>
      <c r="AG623" s="164"/>
      <c r="AH623" s="164"/>
      <c r="AI623" s="164"/>
    </row>
    <row r="624" spans="24:35">
      <c r="X624" s="164"/>
      <c r="Y624" s="164"/>
      <c r="Z624" s="164"/>
      <c r="AA624" s="164"/>
      <c r="AB624" s="164"/>
      <c r="AC624" s="164"/>
      <c r="AD624" s="164"/>
      <c r="AE624" s="164"/>
      <c r="AF624" s="164"/>
      <c r="AG624" s="164"/>
      <c r="AH624" s="164"/>
      <c r="AI624" s="164"/>
    </row>
    <row r="625" spans="24:35">
      <c r="X625" s="164"/>
      <c r="Y625" s="164"/>
      <c r="Z625" s="164"/>
      <c r="AA625" s="164"/>
      <c r="AB625" s="164"/>
      <c r="AC625" s="164"/>
      <c r="AD625" s="164"/>
      <c r="AE625" s="164"/>
      <c r="AF625" s="164"/>
      <c r="AG625" s="164"/>
      <c r="AH625" s="164"/>
      <c r="AI625" s="164"/>
    </row>
    <row r="626" spans="24:35">
      <c r="X626" s="164"/>
      <c r="Y626" s="164"/>
      <c r="Z626" s="164"/>
      <c r="AA626" s="164"/>
      <c r="AB626" s="164"/>
      <c r="AC626" s="164"/>
      <c r="AD626" s="164"/>
      <c r="AE626" s="164"/>
      <c r="AF626" s="164"/>
      <c r="AG626" s="164"/>
      <c r="AH626" s="164"/>
      <c r="AI626" s="164"/>
    </row>
    <row r="627" spans="24:35">
      <c r="X627" s="164"/>
      <c r="Y627" s="164"/>
      <c r="Z627" s="164"/>
      <c r="AA627" s="164"/>
      <c r="AB627" s="164"/>
      <c r="AC627" s="164"/>
      <c r="AD627" s="164"/>
      <c r="AE627" s="164"/>
      <c r="AF627" s="164"/>
      <c r="AG627" s="164"/>
      <c r="AH627" s="164"/>
      <c r="AI627" s="164"/>
    </row>
    <row r="628" spans="24:35">
      <c r="X628" s="164"/>
      <c r="Y628" s="164"/>
      <c r="Z628" s="164"/>
      <c r="AA628" s="164"/>
      <c r="AB628" s="164"/>
      <c r="AC628" s="164"/>
      <c r="AD628" s="164"/>
      <c r="AE628" s="164"/>
      <c r="AF628" s="164"/>
      <c r="AG628" s="164"/>
      <c r="AH628" s="164"/>
      <c r="AI628" s="164"/>
    </row>
    <row r="629" spans="24:35">
      <c r="X629" s="164"/>
      <c r="Y629" s="164"/>
      <c r="Z629" s="164"/>
      <c r="AA629" s="164"/>
      <c r="AB629" s="164"/>
      <c r="AC629" s="164"/>
      <c r="AD629" s="164"/>
      <c r="AE629" s="164"/>
      <c r="AF629" s="164"/>
      <c r="AG629" s="164"/>
      <c r="AH629" s="164"/>
      <c r="AI629" s="164"/>
    </row>
    <row r="630" spans="24:35">
      <c r="X630" s="164"/>
      <c r="Y630" s="164"/>
      <c r="Z630" s="164"/>
      <c r="AA630" s="164"/>
      <c r="AB630" s="164"/>
      <c r="AC630" s="164"/>
      <c r="AD630" s="164"/>
      <c r="AE630" s="164"/>
      <c r="AF630" s="164"/>
      <c r="AG630" s="164"/>
      <c r="AH630" s="164"/>
      <c r="AI630" s="164"/>
    </row>
    <row r="631" spans="24:35">
      <c r="X631" s="164"/>
      <c r="Y631" s="164"/>
      <c r="Z631" s="164"/>
      <c r="AA631" s="164"/>
      <c r="AB631" s="164"/>
      <c r="AC631" s="164"/>
      <c r="AD631" s="164"/>
      <c r="AE631" s="164"/>
      <c r="AF631" s="164"/>
      <c r="AG631" s="164"/>
      <c r="AH631" s="164"/>
      <c r="AI631" s="164"/>
    </row>
    <row r="632" spans="24:35">
      <c r="X632" s="164"/>
      <c r="Y632" s="164"/>
      <c r="Z632" s="164"/>
      <c r="AA632" s="164"/>
      <c r="AB632" s="164"/>
      <c r="AC632" s="164"/>
      <c r="AD632" s="164"/>
      <c r="AE632" s="164"/>
      <c r="AF632" s="164"/>
      <c r="AG632" s="164"/>
      <c r="AH632" s="164"/>
      <c r="AI632" s="164"/>
    </row>
    <row r="633" spans="24:35">
      <c r="X633" s="164"/>
      <c r="Y633" s="164"/>
      <c r="Z633" s="164"/>
      <c r="AA633" s="164"/>
      <c r="AB633" s="164"/>
      <c r="AC633" s="164"/>
      <c r="AD633" s="164"/>
      <c r="AE633" s="164"/>
      <c r="AF633" s="164"/>
      <c r="AG633" s="164"/>
      <c r="AH633" s="164"/>
      <c r="AI633" s="164"/>
    </row>
    <row r="634" spans="24:35">
      <c r="X634" s="164"/>
      <c r="Y634" s="164"/>
      <c r="Z634" s="164"/>
      <c r="AA634" s="164"/>
      <c r="AB634" s="164"/>
      <c r="AC634" s="164"/>
      <c r="AD634" s="164"/>
      <c r="AE634" s="164"/>
      <c r="AF634" s="164"/>
      <c r="AG634" s="164"/>
      <c r="AH634" s="164"/>
      <c r="AI634" s="164"/>
    </row>
    <row r="635" spans="24:35">
      <c r="X635" s="164"/>
      <c r="Y635" s="164"/>
      <c r="Z635" s="164"/>
      <c r="AA635" s="164"/>
      <c r="AB635" s="164"/>
      <c r="AC635" s="164"/>
      <c r="AD635" s="164"/>
      <c r="AE635" s="164"/>
      <c r="AF635" s="164"/>
      <c r="AG635" s="164"/>
      <c r="AH635" s="164"/>
      <c r="AI635" s="164"/>
    </row>
    <row r="636" spans="24:35">
      <c r="X636" s="164"/>
      <c r="Y636" s="164"/>
      <c r="Z636" s="164"/>
      <c r="AA636" s="164"/>
      <c r="AB636" s="164"/>
      <c r="AC636" s="164"/>
      <c r="AD636" s="164"/>
      <c r="AE636" s="164"/>
      <c r="AF636" s="164"/>
      <c r="AG636" s="164"/>
      <c r="AH636" s="164"/>
      <c r="AI636" s="164"/>
    </row>
    <row r="637" spans="24:35">
      <c r="X637" s="164"/>
      <c r="Y637" s="164"/>
      <c r="Z637" s="164"/>
      <c r="AA637" s="164"/>
      <c r="AB637" s="164"/>
      <c r="AC637" s="164"/>
      <c r="AD637" s="164"/>
      <c r="AE637" s="164"/>
      <c r="AF637" s="164"/>
      <c r="AG637" s="164"/>
      <c r="AH637" s="164"/>
      <c r="AI637" s="164"/>
    </row>
    <row r="638" spans="24:35">
      <c r="X638" s="164"/>
      <c r="Y638" s="164"/>
      <c r="Z638" s="164"/>
      <c r="AA638" s="164"/>
      <c r="AB638" s="164"/>
      <c r="AC638" s="164"/>
      <c r="AD638" s="164"/>
      <c r="AE638" s="164"/>
      <c r="AF638" s="164"/>
      <c r="AG638" s="164"/>
      <c r="AH638" s="164"/>
      <c r="AI638" s="164"/>
    </row>
    <row r="639" spans="24:35">
      <c r="X639" s="164"/>
      <c r="Y639" s="164"/>
      <c r="Z639" s="164"/>
      <c r="AA639" s="164"/>
      <c r="AB639" s="164"/>
      <c r="AC639" s="164"/>
      <c r="AD639" s="164"/>
      <c r="AE639" s="164"/>
      <c r="AF639" s="164"/>
      <c r="AG639" s="164"/>
      <c r="AH639" s="164"/>
      <c r="AI639" s="164"/>
    </row>
    <row r="640" spans="24:35">
      <c r="X640" s="164"/>
      <c r="Y640" s="164"/>
      <c r="Z640" s="164"/>
      <c r="AA640" s="164"/>
      <c r="AB640" s="164"/>
      <c r="AC640" s="164"/>
      <c r="AD640" s="164"/>
      <c r="AE640" s="164"/>
      <c r="AF640" s="164"/>
      <c r="AG640" s="164"/>
      <c r="AH640" s="164"/>
      <c r="AI640" s="164"/>
    </row>
    <row r="641" spans="24:35">
      <c r="X641" s="164"/>
      <c r="Y641" s="164"/>
      <c r="Z641" s="164"/>
      <c r="AA641" s="164"/>
      <c r="AB641" s="164"/>
      <c r="AC641" s="164"/>
      <c r="AD641" s="164"/>
      <c r="AE641" s="164"/>
      <c r="AF641" s="164"/>
      <c r="AG641" s="164"/>
      <c r="AH641" s="164"/>
      <c r="AI641" s="164"/>
    </row>
    <row r="642" spans="24:35">
      <c r="X642" s="164"/>
      <c r="Y642" s="164"/>
      <c r="Z642" s="164"/>
      <c r="AA642" s="164"/>
      <c r="AB642" s="164"/>
      <c r="AC642" s="164"/>
      <c r="AD642" s="164"/>
      <c r="AE642" s="164"/>
      <c r="AF642" s="164"/>
      <c r="AG642" s="164"/>
      <c r="AH642" s="164"/>
      <c r="AI642" s="164"/>
    </row>
    <row r="643" spans="24:35">
      <c r="X643" s="164"/>
      <c r="Y643" s="164"/>
      <c r="Z643" s="164"/>
      <c r="AA643" s="164"/>
      <c r="AB643" s="164"/>
      <c r="AC643" s="164"/>
      <c r="AD643" s="164"/>
      <c r="AE643" s="164"/>
      <c r="AF643" s="164"/>
      <c r="AG643" s="164"/>
      <c r="AH643" s="164"/>
      <c r="AI643" s="164"/>
    </row>
    <row r="644" spans="24:35">
      <c r="X644" s="164"/>
      <c r="Y644" s="164"/>
      <c r="Z644" s="164"/>
      <c r="AA644" s="164"/>
      <c r="AB644" s="164"/>
      <c r="AC644" s="164"/>
      <c r="AD644" s="164"/>
      <c r="AE644" s="164"/>
      <c r="AF644" s="164"/>
      <c r="AG644" s="164"/>
      <c r="AH644" s="164"/>
      <c r="AI644" s="164"/>
    </row>
    <row r="645" spans="24:35">
      <c r="X645" s="164"/>
      <c r="Y645" s="164"/>
      <c r="Z645" s="164"/>
      <c r="AA645" s="164"/>
      <c r="AB645" s="164"/>
      <c r="AC645" s="164"/>
      <c r="AD645" s="164"/>
      <c r="AE645" s="164"/>
      <c r="AF645" s="164"/>
      <c r="AG645" s="164"/>
      <c r="AH645" s="164"/>
      <c r="AI645" s="164"/>
    </row>
    <row r="646" spans="24:35">
      <c r="X646" s="164"/>
      <c r="Y646" s="164"/>
      <c r="Z646" s="164"/>
      <c r="AA646" s="164"/>
      <c r="AB646" s="164"/>
      <c r="AC646" s="164"/>
      <c r="AD646" s="164"/>
      <c r="AE646" s="164"/>
      <c r="AF646" s="164"/>
      <c r="AG646" s="164"/>
      <c r="AH646" s="164"/>
      <c r="AI646" s="164"/>
    </row>
    <row r="647" spans="24:35">
      <c r="X647" s="164"/>
      <c r="Y647" s="164"/>
      <c r="Z647" s="164"/>
      <c r="AA647" s="164"/>
      <c r="AB647" s="164"/>
      <c r="AC647" s="164"/>
      <c r="AD647" s="164"/>
      <c r="AE647" s="164"/>
      <c r="AF647" s="164"/>
      <c r="AG647" s="164"/>
      <c r="AH647" s="164"/>
      <c r="AI647" s="164"/>
    </row>
    <row r="648" spans="24:35">
      <c r="X648" s="164"/>
      <c r="Y648" s="164"/>
      <c r="Z648" s="164"/>
      <c r="AA648" s="164"/>
      <c r="AB648" s="164"/>
      <c r="AC648" s="164"/>
      <c r="AD648" s="164"/>
      <c r="AE648" s="164"/>
      <c r="AF648" s="164"/>
      <c r="AG648" s="164"/>
      <c r="AH648" s="164"/>
      <c r="AI648" s="164"/>
    </row>
    <row r="649" spans="24:35">
      <c r="X649" s="164"/>
      <c r="Y649" s="164"/>
      <c r="Z649" s="164"/>
      <c r="AA649" s="164"/>
      <c r="AB649" s="164"/>
      <c r="AC649" s="164"/>
      <c r="AD649" s="164"/>
      <c r="AE649" s="164"/>
      <c r="AF649" s="164"/>
      <c r="AG649" s="164"/>
      <c r="AH649" s="164"/>
      <c r="AI649" s="164"/>
    </row>
    <row r="650" spans="24:35">
      <c r="X650" s="164"/>
      <c r="Y650" s="164"/>
      <c r="Z650" s="164"/>
      <c r="AA650" s="164"/>
      <c r="AB650" s="164"/>
      <c r="AC650" s="164"/>
      <c r="AD650" s="164"/>
      <c r="AE650" s="164"/>
      <c r="AF650" s="164"/>
      <c r="AG650" s="164"/>
      <c r="AH650" s="164"/>
      <c r="AI650" s="164"/>
    </row>
    <row r="651" spans="24:35">
      <c r="X651" s="164"/>
      <c r="Y651" s="164"/>
      <c r="Z651" s="164"/>
      <c r="AA651" s="164"/>
      <c r="AB651" s="164"/>
      <c r="AC651" s="164"/>
      <c r="AD651" s="164"/>
      <c r="AE651" s="164"/>
      <c r="AF651" s="164"/>
      <c r="AG651" s="164"/>
      <c r="AH651" s="164"/>
      <c r="AI651" s="164"/>
    </row>
    <row r="652" spans="24:35">
      <c r="X652" s="164"/>
      <c r="Y652" s="164"/>
      <c r="Z652" s="164"/>
      <c r="AA652" s="164"/>
      <c r="AB652" s="164"/>
      <c r="AC652" s="164"/>
      <c r="AD652" s="164"/>
      <c r="AE652" s="164"/>
      <c r="AF652" s="164"/>
      <c r="AG652" s="164"/>
      <c r="AH652" s="164"/>
      <c r="AI652" s="164"/>
    </row>
    <row r="653" spans="24:35">
      <c r="X653" s="164"/>
      <c r="Y653" s="164"/>
      <c r="Z653" s="164"/>
      <c r="AA653" s="164"/>
      <c r="AB653" s="164"/>
      <c r="AC653" s="164"/>
      <c r="AD653" s="164"/>
      <c r="AE653" s="164"/>
      <c r="AF653" s="164"/>
      <c r="AG653" s="164"/>
      <c r="AH653" s="164"/>
      <c r="AI653" s="164"/>
    </row>
    <row r="654" spans="24:35">
      <c r="X654" s="164"/>
      <c r="Y654" s="164"/>
      <c r="Z654" s="164"/>
      <c r="AA654" s="164"/>
      <c r="AB654" s="164"/>
      <c r="AC654" s="164"/>
      <c r="AD654" s="164"/>
      <c r="AE654" s="164"/>
      <c r="AF654" s="164"/>
      <c r="AG654" s="164"/>
      <c r="AH654" s="164"/>
      <c r="AI654" s="164"/>
    </row>
    <row r="655" spans="24:35">
      <c r="X655" s="164"/>
      <c r="Y655" s="164"/>
      <c r="Z655" s="164"/>
      <c r="AA655" s="164"/>
      <c r="AB655" s="164"/>
      <c r="AC655" s="164"/>
      <c r="AD655" s="164"/>
      <c r="AE655" s="164"/>
      <c r="AF655" s="164"/>
      <c r="AG655" s="164"/>
      <c r="AH655" s="164"/>
      <c r="AI655" s="164"/>
    </row>
    <row r="656" spans="24:35">
      <c r="X656" s="164"/>
      <c r="Y656" s="164"/>
      <c r="Z656" s="164"/>
      <c r="AA656" s="164"/>
      <c r="AB656" s="164"/>
      <c r="AC656" s="164"/>
      <c r="AD656" s="164"/>
      <c r="AE656" s="164"/>
      <c r="AF656" s="164"/>
      <c r="AG656" s="164"/>
      <c r="AH656" s="164"/>
      <c r="AI656" s="164"/>
    </row>
    <row r="657" spans="24:35">
      <c r="X657" s="164"/>
      <c r="Y657" s="164"/>
      <c r="Z657" s="164"/>
      <c r="AA657" s="164"/>
      <c r="AB657" s="164"/>
      <c r="AC657" s="164"/>
      <c r="AD657" s="164"/>
      <c r="AE657" s="164"/>
      <c r="AF657" s="164"/>
      <c r="AG657" s="164"/>
      <c r="AH657" s="164"/>
      <c r="AI657" s="164"/>
    </row>
    <row r="658" spans="24:35">
      <c r="X658" s="164"/>
      <c r="Y658" s="164"/>
      <c r="Z658" s="164"/>
      <c r="AA658" s="164"/>
      <c r="AB658" s="164"/>
      <c r="AC658" s="164"/>
      <c r="AD658" s="164"/>
      <c r="AE658" s="164"/>
      <c r="AF658" s="164"/>
      <c r="AG658" s="164"/>
      <c r="AH658" s="164"/>
      <c r="AI658" s="164"/>
    </row>
    <row r="659" spans="24:35">
      <c r="X659" s="164"/>
      <c r="Y659" s="164"/>
      <c r="Z659" s="164"/>
      <c r="AA659" s="164"/>
      <c r="AB659" s="164"/>
      <c r="AC659" s="164"/>
      <c r="AD659" s="164"/>
      <c r="AE659" s="164"/>
      <c r="AF659" s="164"/>
      <c r="AG659" s="164"/>
      <c r="AH659" s="164"/>
      <c r="AI659" s="164"/>
    </row>
    <row r="660" spans="24:35">
      <c r="X660" s="164"/>
      <c r="Y660" s="164"/>
      <c r="Z660" s="164"/>
      <c r="AA660" s="164"/>
      <c r="AB660" s="164"/>
      <c r="AC660" s="164"/>
      <c r="AD660" s="164"/>
      <c r="AE660" s="164"/>
      <c r="AF660" s="164"/>
      <c r="AG660" s="164"/>
      <c r="AH660" s="164"/>
      <c r="AI660" s="164"/>
    </row>
    <row r="661" spans="24:35">
      <c r="X661" s="164"/>
      <c r="Y661" s="164"/>
      <c r="Z661" s="164"/>
      <c r="AA661" s="164"/>
      <c r="AB661" s="164"/>
      <c r="AC661" s="164"/>
      <c r="AD661" s="164"/>
      <c r="AE661" s="164"/>
      <c r="AF661" s="164"/>
      <c r="AG661" s="164"/>
      <c r="AH661" s="164"/>
      <c r="AI661" s="164"/>
    </row>
    <row r="662" spans="24:35">
      <c r="X662" s="164"/>
      <c r="Y662" s="164"/>
      <c r="Z662" s="164"/>
      <c r="AA662" s="164"/>
      <c r="AB662" s="164"/>
      <c r="AC662" s="164"/>
      <c r="AD662" s="164"/>
      <c r="AE662" s="164"/>
      <c r="AF662" s="164"/>
      <c r="AG662" s="164"/>
      <c r="AH662" s="164"/>
      <c r="AI662" s="164"/>
    </row>
    <row r="663" spans="24:35">
      <c r="X663" s="164"/>
      <c r="Y663" s="164"/>
      <c r="Z663" s="164"/>
      <c r="AA663" s="164"/>
      <c r="AB663" s="164"/>
      <c r="AC663" s="164"/>
      <c r="AD663" s="164"/>
      <c r="AE663" s="164"/>
      <c r="AF663" s="164"/>
      <c r="AG663" s="164"/>
      <c r="AH663" s="164"/>
      <c r="AI663" s="164"/>
    </row>
    <row r="664" spans="24:35">
      <c r="X664" s="164"/>
      <c r="Y664" s="164"/>
      <c r="Z664" s="164"/>
      <c r="AA664" s="164"/>
      <c r="AB664" s="164"/>
      <c r="AC664" s="164"/>
      <c r="AD664" s="164"/>
      <c r="AE664" s="164"/>
      <c r="AF664" s="164"/>
      <c r="AG664" s="164"/>
      <c r="AH664" s="164"/>
      <c r="AI664" s="164"/>
    </row>
    <row r="665" spans="24:35">
      <c r="X665" s="164"/>
      <c r="Y665" s="164"/>
      <c r="Z665" s="164"/>
      <c r="AA665" s="164"/>
      <c r="AB665" s="164"/>
      <c r="AC665" s="164"/>
      <c r="AD665" s="164"/>
      <c r="AE665" s="164"/>
      <c r="AF665" s="164"/>
      <c r="AG665" s="164"/>
      <c r="AH665" s="164"/>
      <c r="AI665" s="164"/>
    </row>
    <row r="666" spans="24:35">
      <c r="X666" s="164"/>
      <c r="Y666" s="164"/>
      <c r="Z666" s="164"/>
      <c r="AA666" s="164"/>
      <c r="AB666" s="164"/>
      <c r="AC666" s="164"/>
      <c r="AD666" s="164"/>
      <c r="AE666" s="164"/>
      <c r="AF666" s="164"/>
      <c r="AG666" s="164"/>
      <c r="AH666" s="164"/>
      <c r="AI666" s="164"/>
    </row>
    <row r="667" spans="24:35">
      <c r="X667" s="164"/>
      <c r="Y667" s="164"/>
      <c r="Z667" s="164"/>
      <c r="AA667" s="164"/>
      <c r="AB667" s="164"/>
      <c r="AC667" s="164"/>
      <c r="AD667" s="164"/>
      <c r="AE667" s="164"/>
      <c r="AF667" s="164"/>
      <c r="AG667" s="164"/>
      <c r="AH667" s="164"/>
      <c r="AI667" s="164"/>
    </row>
    <row r="668" spans="24:35">
      <c r="X668" s="164"/>
      <c r="Y668" s="164"/>
      <c r="Z668" s="164"/>
      <c r="AA668" s="164"/>
      <c r="AB668" s="164"/>
      <c r="AC668" s="164"/>
      <c r="AD668" s="164"/>
      <c r="AE668" s="164"/>
      <c r="AF668" s="164"/>
      <c r="AG668" s="164"/>
      <c r="AH668" s="164"/>
      <c r="AI668" s="164"/>
    </row>
    <row r="669" spans="24:35">
      <c r="X669" s="164"/>
      <c r="Y669" s="164"/>
      <c r="Z669" s="164"/>
      <c r="AA669" s="164"/>
      <c r="AB669" s="164"/>
      <c r="AC669" s="164"/>
      <c r="AD669" s="164"/>
      <c r="AE669" s="164"/>
      <c r="AF669" s="164"/>
      <c r="AG669" s="164"/>
      <c r="AH669" s="164"/>
      <c r="AI669" s="164"/>
    </row>
    <row r="670" spans="24:35">
      <c r="X670" s="164"/>
      <c r="Y670" s="164"/>
      <c r="Z670" s="164"/>
      <c r="AA670" s="164"/>
      <c r="AB670" s="164"/>
      <c r="AC670" s="164"/>
      <c r="AD670" s="164"/>
      <c r="AE670" s="164"/>
      <c r="AF670" s="164"/>
      <c r="AG670" s="164"/>
      <c r="AH670" s="164"/>
      <c r="AI670" s="164"/>
    </row>
    <row r="671" spans="24:35">
      <c r="X671" s="164"/>
      <c r="Y671" s="164"/>
      <c r="Z671" s="164"/>
      <c r="AA671" s="164"/>
      <c r="AB671" s="164"/>
      <c r="AC671" s="164"/>
      <c r="AD671" s="164"/>
      <c r="AE671" s="164"/>
      <c r="AF671" s="164"/>
      <c r="AG671" s="164"/>
      <c r="AH671" s="164"/>
      <c r="AI671" s="164"/>
    </row>
    <row r="672" spans="24:35">
      <c r="X672" s="164"/>
      <c r="Y672" s="164"/>
      <c r="Z672" s="164"/>
      <c r="AA672" s="164"/>
      <c r="AB672" s="164"/>
      <c r="AC672" s="164"/>
      <c r="AD672" s="164"/>
      <c r="AE672" s="164"/>
      <c r="AF672" s="164"/>
      <c r="AG672" s="164"/>
      <c r="AH672" s="164"/>
      <c r="AI672" s="164"/>
    </row>
    <row r="673" spans="24:35">
      <c r="X673" s="164"/>
      <c r="Y673" s="164"/>
      <c r="Z673" s="164"/>
      <c r="AA673" s="164"/>
      <c r="AB673" s="164"/>
      <c r="AC673" s="164"/>
      <c r="AD673" s="164"/>
      <c r="AE673" s="164"/>
      <c r="AF673" s="164"/>
      <c r="AG673" s="164"/>
      <c r="AH673" s="164"/>
      <c r="AI673" s="164"/>
    </row>
    <row r="674" spans="24:35">
      <c r="X674" s="164"/>
      <c r="Y674" s="164"/>
      <c r="Z674" s="164"/>
      <c r="AA674" s="164"/>
      <c r="AB674" s="164"/>
      <c r="AC674" s="164"/>
      <c r="AD674" s="164"/>
      <c r="AE674" s="164"/>
      <c r="AF674" s="164"/>
      <c r="AG674" s="164"/>
      <c r="AH674" s="164"/>
      <c r="AI674" s="164"/>
    </row>
    <row r="675" spans="24:35">
      <c r="X675" s="164"/>
      <c r="Y675" s="164"/>
      <c r="Z675" s="164"/>
      <c r="AA675" s="164"/>
      <c r="AB675" s="164"/>
      <c r="AC675" s="164"/>
      <c r="AD675" s="164"/>
      <c r="AE675" s="164"/>
      <c r="AF675" s="164"/>
      <c r="AG675" s="164"/>
      <c r="AH675" s="164"/>
      <c r="AI675" s="164"/>
    </row>
    <row r="676" spans="24:35">
      <c r="X676" s="164"/>
      <c r="Y676" s="164"/>
      <c r="Z676" s="164"/>
      <c r="AA676" s="164"/>
      <c r="AB676" s="164"/>
      <c r="AC676" s="164"/>
      <c r="AD676" s="164"/>
      <c r="AE676" s="164"/>
      <c r="AF676" s="164"/>
      <c r="AG676" s="164"/>
      <c r="AH676" s="164"/>
      <c r="AI676" s="164"/>
    </row>
    <row r="677" spans="24:35">
      <c r="X677" s="164"/>
      <c r="Y677" s="164"/>
      <c r="Z677" s="164"/>
      <c r="AA677" s="164"/>
      <c r="AB677" s="164"/>
      <c r="AC677" s="164"/>
      <c r="AD677" s="164"/>
      <c r="AE677" s="164"/>
      <c r="AF677" s="164"/>
      <c r="AG677" s="164"/>
      <c r="AH677" s="164"/>
      <c r="AI677" s="164"/>
    </row>
    <row r="678" spans="24:35">
      <c r="X678" s="164"/>
      <c r="Y678" s="164"/>
      <c r="Z678" s="164"/>
      <c r="AA678" s="164"/>
      <c r="AB678" s="164"/>
      <c r="AC678" s="164"/>
      <c r="AD678" s="164"/>
      <c r="AE678" s="164"/>
      <c r="AF678" s="164"/>
      <c r="AG678" s="164"/>
      <c r="AH678" s="164"/>
      <c r="AI678" s="164"/>
    </row>
    <row r="679" spans="24:35">
      <c r="X679" s="164"/>
      <c r="Y679" s="164"/>
      <c r="Z679" s="164"/>
      <c r="AA679" s="164"/>
      <c r="AB679" s="164"/>
      <c r="AC679" s="164"/>
      <c r="AD679" s="164"/>
      <c r="AE679" s="164"/>
      <c r="AF679" s="164"/>
      <c r="AG679" s="164"/>
      <c r="AH679" s="164"/>
      <c r="AI679" s="164"/>
    </row>
    <row r="680" spans="24:35">
      <c r="X680" s="164"/>
      <c r="Y680" s="164"/>
      <c r="Z680" s="164"/>
      <c r="AA680" s="164"/>
      <c r="AB680" s="164"/>
      <c r="AC680" s="164"/>
      <c r="AD680" s="164"/>
      <c r="AE680" s="164"/>
      <c r="AF680" s="164"/>
      <c r="AG680" s="164"/>
      <c r="AH680" s="164"/>
      <c r="AI680" s="164"/>
    </row>
    <row r="681" spans="24:35">
      <c r="X681" s="164"/>
      <c r="Y681" s="164"/>
      <c r="Z681" s="164"/>
      <c r="AA681" s="164"/>
      <c r="AB681" s="164"/>
      <c r="AC681" s="164"/>
      <c r="AD681" s="164"/>
      <c r="AE681" s="164"/>
      <c r="AF681" s="164"/>
      <c r="AG681" s="164"/>
      <c r="AH681" s="164"/>
      <c r="AI681" s="164"/>
    </row>
    <row r="682" spans="24:35">
      <c r="X682" s="164"/>
      <c r="Y682" s="164"/>
      <c r="Z682" s="164"/>
      <c r="AA682" s="164"/>
      <c r="AB682" s="164"/>
      <c r="AC682" s="164"/>
      <c r="AD682" s="164"/>
      <c r="AE682" s="164"/>
      <c r="AF682" s="164"/>
      <c r="AG682" s="164"/>
      <c r="AH682" s="164"/>
      <c r="AI682" s="164"/>
    </row>
    <row r="683" spans="24:35">
      <c r="X683" s="164"/>
      <c r="Y683" s="164"/>
      <c r="Z683" s="164"/>
      <c r="AA683" s="164"/>
      <c r="AB683" s="164"/>
      <c r="AC683" s="164"/>
      <c r="AD683" s="164"/>
      <c r="AE683" s="164"/>
      <c r="AF683" s="164"/>
      <c r="AG683" s="164"/>
      <c r="AH683" s="164"/>
      <c r="AI683" s="164"/>
    </row>
    <row r="684" spans="24:35">
      <c r="X684" s="164"/>
      <c r="Y684" s="164"/>
      <c r="Z684" s="164"/>
      <c r="AA684" s="164"/>
      <c r="AB684" s="164"/>
      <c r="AC684" s="164"/>
      <c r="AD684" s="164"/>
      <c r="AE684" s="164"/>
      <c r="AF684" s="164"/>
      <c r="AG684" s="164"/>
      <c r="AH684" s="164"/>
      <c r="AI684" s="164"/>
    </row>
    <row r="685" spans="24:35">
      <c r="X685" s="164"/>
      <c r="Y685" s="164"/>
      <c r="Z685" s="164"/>
      <c r="AA685" s="164"/>
      <c r="AB685" s="164"/>
      <c r="AC685" s="164"/>
      <c r="AD685" s="164"/>
      <c r="AE685" s="164"/>
      <c r="AF685" s="164"/>
      <c r="AG685" s="164"/>
      <c r="AH685" s="164"/>
      <c r="AI685" s="164"/>
    </row>
    <row r="686" spans="24:35">
      <c r="X686" s="164"/>
      <c r="Y686" s="164"/>
      <c r="Z686" s="164"/>
      <c r="AA686" s="164"/>
      <c r="AB686" s="164"/>
      <c r="AC686" s="164"/>
      <c r="AD686" s="164"/>
      <c r="AE686" s="164"/>
      <c r="AF686" s="164"/>
      <c r="AG686" s="164"/>
      <c r="AH686" s="164"/>
      <c r="AI686" s="164"/>
    </row>
    <row r="687" spans="24:35">
      <c r="X687" s="164"/>
      <c r="Y687" s="164"/>
      <c r="Z687" s="164"/>
      <c r="AA687" s="164"/>
      <c r="AB687" s="164"/>
      <c r="AC687" s="164"/>
      <c r="AD687" s="164"/>
      <c r="AE687" s="164"/>
      <c r="AF687" s="164"/>
      <c r="AG687" s="164"/>
      <c r="AH687" s="164"/>
      <c r="AI687" s="164"/>
    </row>
    <row r="688" spans="24:35">
      <c r="X688" s="164"/>
      <c r="Y688" s="164"/>
      <c r="Z688" s="164"/>
      <c r="AA688" s="164"/>
      <c r="AB688" s="164"/>
      <c r="AC688" s="164"/>
      <c r="AD688" s="164"/>
      <c r="AE688" s="164"/>
      <c r="AF688" s="164"/>
      <c r="AG688" s="164"/>
      <c r="AH688" s="164"/>
      <c r="AI688" s="164"/>
    </row>
    <row r="689" spans="24:35">
      <c r="X689" s="164"/>
      <c r="Y689" s="164"/>
      <c r="Z689" s="164"/>
      <c r="AA689" s="164"/>
      <c r="AB689" s="164"/>
      <c r="AC689" s="164"/>
      <c r="AD689" s="164"/>
      <c r="AE689" s="164"/>
      <c r="AF689" s="164"/>
      <c r="AG689" s="164"/>
      <c r="AH689" s="164"/>
      <c r="AI689" s="164"/>
    </row>
    <row r="690" spans="24:35">
      <c r="X690" s="164"/>
      <c r="Y690" s="164"/>
      <c r="Z690" s="164"/>
      <c r="AA690" s="164"/>
      <c r="AB690" s="164"/>
      <c r="AC690" s="164"/>
      <c r="AD690" s="164"/>
      <c r="AE690" s="164"/>
      <c r="AF690" s="164"/>
      <c r="AG690" s="164"/>
      <c r="AH690" s="164"/>
      <c r="AI690" s="164"/>
    </row>
    <row r="691" spans="24:35">
      <c r="X691" s="164"/>
      <c r="Y691" s="164"/>
      <c r="Z691" s="164"/>
      <c r="AA691" s="164"/>
      <c r="AB691" s="164"/>
      <c r="AC691" s="164"/>
      <c r="AD691" s="164"/>
      <c r="AE691" s="164"/>
      <c r="AF691" s="164"/>
      <c r="AG691" s="164"/>
      <c r="AH691" s="164"/>
      <c r="AI691" s="164"/>
    </row>
    <row r="692" spans="24:35">
      <c r="X692" s="164"/>
      <c r="Y692" s="164"/>
      <c r="Z692" s="164"/>
      <c r="AA692" s="164"/>
      <c r="AB692" s="164"/>
      <c r="AC692" s="164"/>
      <c r="AD692" s="164"/>
      <c r="AE692" s="164"/>
      <c r="AF692" s="164"/>
      <c r="AG692" s="164"/>
      <c r="AH692" s="164"/>
      <c r="AI692" s="164"/>
    </row>
    <row r="693" spans="24:35">
      <c r="X693" s="164"/>
      <c r="Y693" s="164"/>
      <c r="Z693" s="164"/>
      <c r="AA693" s="164"/>
      <c r="AB693" s="164"/>
      <c r="AC693" s="164"/>
      <c r="AD693" s="164"/>
      <c r="AE693" s="164"/>
      <c r="AF693" s="164"/>
      <c r="AG693" s="164"/>
      <c r="AH693" s="164"/>
      <c r="AI693" s="164"/>
    </row>
    <row r="694" spans="24:35">
      <c r="X694" s="164"/>
      <c r="Y694" s="164"/>
      <c r="Z694" s="164"/>
      <c r="AA694" s="164"/>
      <c r="AB694" s="164"/>
      <c r="AC694" s="164"/>
      <c r="AD694" s="164"/>
      <c r="AE694" s="164"/>
      <c r="AF694" s="164"/>
      <c r="AG694" s="164"/>
      <c r="AH694" s="164"/>
      <c r="AI694" s="164"/>
    </row>
    <row r="695" spans="24:35">
      <c r="X695" s="164"/>
      <c r="Y695" s="164"/>
      <c r="Z695" s="164"/>
      <c r="AA695" s="164"/>
      <c r="AB695" s="164"/>
      <c r="AC695" s="164"/>
      <c r="AD695" s="164"/>
      <c r="AE695" s="164"/>
      <c r="AF695" s="164"/>
      <c r="AG695" s="164"/>
      <c r="AH695" s="164"/>
      <c r="AI695" s="164"/>
    </row>
    <row r="696" spans="24:35">
      <c r="X696" s="164"/>
      <c r="Y696" s="164"/>
      <c r="Z696" s="164"/>
      <c r="AA696" s="164"/>
      <c r="AB696" s="164"/>
      <c r="AC696" s="164"/>
      <c r="AD696" s="164"/>
      <c r="AE696" s="164"/>
      <c r="AF696" s="164"/>
      <c r="AG696" s="164"/>
      <c r="AH696" s="164"/>
      <c r="AI696" s="164"/>
    </row>
    <row r="697" spans="24:35">
      <c r="X697" s="164"/>
      <c r="Y697" s="164"/>
      <c r="Z697" s="164"/>
      <c r="AA697" s="164"/>
      <c r="AB697" s="164"/>
      <c r="AC697" s="164"/>
      <c r="AD697" s="164"/>
      <c r="AE697" s="164"/>
      <c r="AF697" s="164"/>
      <c r="AG697" s="164"/>
      <c r="AH697" s="164"/>
      <c r="AI697" s="164"/>
    </row>
    <row r="698" spans="24:35">
      <c r="X698" s="164"/>
      <c r="Y698" s="164"/>
      <c r="Z698" s="164"/>
      <c r="AA698" s="164"/>
      <c r="AB698" s="164"/>
      <c r="AC698" s="164"/>
      <c r="AD698" s="164"/>
      <c r="AE698" s="164"/>
      <c r="AF698" s="164"/>
      <c r="AG698" s="164"/>
      <c r="AH698" s="164"/>
      <c r="AI698" s="164"/>
    </row>
    <row r="699" spans="24:35">
      <c r="X699" s="164"/>
      <c r="Y699" s="164"/>
      <c r="Z699" s="164"/>
      <c r="AA699" s="164"/>
      <c r="AB699" s="164"/>
      <c r="AC699" s="164"/>
      <c r="AD699" s="164"/>
      <c r="AE699" s="164"/>
      <c r="AF699" s="164"/>
      <c r="AG699" s="164"/>
      <c r="AH699" s="164"/>
      <c r="AI699" s="164"/>
    </row>
    <row r="700" spans="24:35">
      <c r="X700" s="164"/>
      <c r="Y700" s="164"/>
      <c r="Z700" s="164"/>
      <c r="AA700" s="164"/>
      <c r="AB700" s="164"/>
      <c r="AC700" s="164"/>
      <c r="AD700" s="164"/>
      <c r="AE700" s="164"/>
      <c r="AF700" s="164"/>
      <c r="AG700" s="164"/>
      <c r="AH700" s="164"/>
      <c r="AI700" s="164"/>
    </row>
    <row r="701" spans="24:35">
      <c r="X701" s="164"/>
      <c r="Y701" s="164"/>
      <c r="Z701" s="164"/>
      <c r="AA701" s="164"/>
      <c r="AB701" s="164"/>
      <c r="AC701" s="164"/>
      <c r="AD701" s="164"/>
      <c r="AE701" s="164"/>
      <c r="AF701" s="164"/>
      <c r="AG701" s="164"/>
      <c r="AH701" s="164"/>
      <c r="AI701" s="164"/>
    </row>
    <row r="702" spans="24:35">
      <c r="X702" s="164"/>
      <c r="Y702" s="164"/>
      <c r="Z702" s="164"/>
      <c r="AA702" s="164"/>
      <c r="AB702" s="164"/>
      <c r="AC702" s="164"/>
      <c r="AD702" s="164"/>
      <c r="AE702" s="164"/>
      <c r="AF702" s="164"/>
      <c r="AG702" s="164"/>
      <c r="AH702" s="164"/>
      <c r="AI702" s="164"/>
    </row>
    <row r="703" spans="24:35">
      <c r="X703" s="164"/>
      <c r="Y703" s="164"/>
      <c r="Z703" s="164"/>
      <c r="AA703" s="164"/>
      <c r="AB703" s="164"/>
      <c r="AC703" s="164"/>
      <c r="AD703" s="164"/>
      <c r="AE703" s="164"/>
      <c r="AF703" s="164"/>
      <c r="AG703" s="164"/>
      <c r="AH703" s="164"/>
      <c r="AI703" s="164"/>
    </row>
    <row r="704" spans="24:35">
      <c r="X704" s="164"/>
      <c r="Y704" s="164"/>
      <c r="Z704" s="164"/>
      <c r="AA704" s="164"/>
      <c r="AB704" s="164"/>
      <c r="AC704" s="164"/>
      <c r="AD704" s="164"/>
      <c r="AE704" s="164"/>
      <c r="AF704" s="164"/>
      <c r="AG704" s="164"/>
      <c r="AH704" s="164"/>
      <c r="AI704" s="164"/>
    </row>
    <row r="705" spans="24:35">
      <c r="X705" s="164"/>
      <c r="Y705" s="164"/>
      <c r="Z705" s="164"/>
      <c r="AA705" s="164"/>
      <c r="AB705" s="164"/>
      <c r="AC705" s="164"/>
      <c r="AD705" s="164"/>
      <c r="AE705" s="164"/>
      <c r="AF705" s="164"/>
      <c r="AG705" s="164"/>
      <c r="AH705" s="164"/>
      <c r="AI705" s="164"/>
    </row>
    <row r="706" spans="24:35">
      <c r="X706" s="164"/>
      <c r="Y706" s="164"/>
      <c r="Z706" s="164"/>
      <c r="AA706" s="164"/>
      <c r="AB706" s="164"/>
      <c r="AC706" s="164"/>
      <c r="AD706" s="164"/>
      <c r="AE706" s="164"/>
      <c r="AF706" s="164"/>
      <c r="AG706" s="164"/>
      <c r="AH706" s="164"/>
      <c r="AI706" s="164"/>
    </row>
    <row r="707" spans="24:35">
      <c r="X707" s="164"/>
      <c r="Y707" s="164"/>
      <c r="Z707" s="164"/>
      <c r="AA707" s="164"/>
      <c r="AB707" s="164"/>
      <c r="AC707" s="164"/>
      <c r="AD707" s="164"/>
      <c r="AE707" s="164"/>
      <c r="AF707" s="164"/>
      <c r="AG707" s="164"/>
      <c r="AH707" s="164"/>
      <c r="AI707" s="164"/>
    </row>
    <row r="708" spans="24:35">
      <c r="X708" s="164"/>
      <c r="Y708" s="164"/>
      <c r="Z708" s="164"/>
      <c r="AA708" s="164"/>
      <c r="AB708" s="164"/>
      <c r="AC708" s="164"/>
      <c r="AD708" s="164"/>
      <c r="AE708" s="164"/>
      <c r="AF708" s="164"/>
      <c r="AG708" s="164"/>
      <c r="AH708" s="164"/>
      <c r="AI708" s="164"/>
    </row>
    <row r="709" spans="24:35">
      <c r="X709" s="164"/>
      <c r="Y709" s="164"/>
      <c r="Z709" s="164"/>
      <c r="AA709" s="164"/>
      <c r="AB709" s="164"/>
      <c r="AC709" s="164"/>
      <c r="AD709" s="164"/>
      <c r="AE709" s="164"/>
      <c r="AF709" s="164"/>
      <c r="AG709" s="164"/>
      <c r="AH709" s="164"/>
      <c r="AI709" s="164"/>
    </row>
    <row r="710" spans="24:35">
      <c r="X710" s="164"/>
      <c r="Y710" s="164"/>
      <c r="Z710" s="164"/>
      <c r="AA710" s="164"/>
      <c r="AB710" s="164"/>
      <c r="AC710" s="164"/>
      <c r="AD710" s="164"/>
      <c r="AE710" s="164"/>
      <c r="AF710" s="164"/>
      <c r="AG710" s="164"/>
      <c r="AH710" s="164"/>
      <c r="AI710" s="164"/>
    </row>
    <row r="711" spans="24:35">
      <c r="X711" s="164"/>
      <c r="Y711" s="164"/>
      <c r="Z711" s="164"/>
      <c r="AA711" s="164"/>
      <c r="AB711" s="164"/>
      <c r="AC711" s="164"/>
      <c r="AD711" s="164"/>
      <c r="AE711" s="164"/>
      <c r="AF711" s="164"/>
      <c r="AG711" s="164"/>
      <c r="AH711" s="164"/>
      <c r="AI711" s="164"/>
    </row>
    <row r="712" spans="24:35">
      <c r="X712" s="164"/>
      <c r="Y712" s="164"/>
      <c r="Z712" s="164"/>
      <c r="AA712" s="164"/>
      <c r="AB712" s="164"/>
      <c r="AC712" s="164"/>
      <c r="AD712" s="164"/>
      <c r="AE712" s="164"/>
      <c r="AF712" s="164"/>
      <c r="AG712" s="164"/>
      <c r="AH712" s="164"/>
      <c r="AI712" s="164"/>
    </row>
    <row r="713" spans="24:35">
      <c r="X713" s="164"/>
      <c r="Y713" s="164"/>
      <c r="Z713" s="164"/>
      <c r="AA713" s="164"/>
      <c r="AB713" s="164"/>
      <c r="AC713" s="164"/>
      <c r="AD713" s="164"/>
      <c r="AE713" s="164"/>
      <c r="AF713" s="164"/>
      <c r="AG713" s="164"/>
      <c r="AH713" s="164"/>
      <c r="AI713" s="164"/>
    </row>
    <row r="714" spans="24:35">
      <c r="X714" s="164"/>
      <c r="Y714" s="164"/>
      <c r="Z714" s="164"/>
      <c r="AA714" s="164"/>
      <c r="AB714" s="164"/>
      <c r="AC714" s="164"/>
      <c r="AD714" s="164"/>
      <c r="AE714" s="164"/>
      <c r="AF714" s="164"/>
      <c r="AG714" s="164"/>
      <c r="AH714" s="164"/>
      <c r="AI714" s="164"/>
    </row>
    <row r="715" spans="24:35">
      <c r="X715" s="164"/>
      <c r="Y715" s="164"/>
      <c r="Z715" s="164"/>
      <c r="AA715" s="164"/>
      <c r="AB715" s="164"/>
      <c r="AC715" s="164"/>
      <c r="AD715" s="164"/>
      <c r="AE715" s="164"/>
      <c r="AF715" s="164"/>
      <c r="AG715" s="164"/>
      <c r="AH715" s="164"/>
      <c r="AI715" s="164"/>
    </row>
    <row r="716" spans="24:35">
      <c r="X716" s="164"/>
      <c r="Y716" s="164"/>
      <c r="Z716" s="164"/>
      <c r="AA716" s="164"/>
      <c r="AB716" s="164"/>
      <c r="AC716" s="164"/>
      <c r="AD716" s="164"/>
      <c r="AE716" s="164"/>
      <c r="AF716" s="164"/>
      <c r="AG716" s="164"/>
      <c r="AH716" s="164"/>
      <c r="AI716" s="164"/>
    </row>
    <row r="717" spans="24:35">
      <c r="X717" s="164"/>
      <c r="Y717" s="164"/>
      <c r="Z717" s="164"/>
      <c r="AA717" s="164"/>
      <c r="AB717" s="164"/>
      <c r="AC717" s="164"/>
      <c r="AD717" s="164"/>
      <c r="AE717" s="164"/>
      <c r="AF717" s="164"/>
      <c r="AG717" s="164"/>
      <c r="AH717" s="164"/>
      <c r="AI717" s="164"/>
    </row>
    <row r="718" spans="24:35">
      <c r="X718" s="164"/>
      <c r="Y718" s="164"/>
      <c r="Z718" s="164"/>
      <c r="AA718" s="164"/>
      <c r="AB718" s="164"/>
      <c r="AC718" s="164"/>
      <c r="AD718" s="164"/>
      <c r="AE718" s="164"/>
      <c r="AF718" s="164"/>
      <c r="AG718" s="164"/>
      <c r="AH718" s="164"/>
      <c r="AI718" s="164"/>
    </row>
    <row r="719" spans="24:35">
      <c r="X719" s="164"/>
      <c r="Y719" s="164"/>
      <c r="Z719" s="164"/>
      <c r="AA719" s="164"/>
      <c r="AB719" s="164"/>
      <c r="AC719" s="164"/>
      <c r="AD719" s="164"/>
      <c r="AE719" s="164"/>
      <c r="AF719" s="164"/>
      <c r="AG719" s="164"/>
      <c r="AH719" s="164"/>
      <c r="AI719" s="164"/>
    </row>
    <row r="720" spans="24:35">
      <c r="X720" s="164"/>
      <c r="Y720" s="164"/>
      <c r="Z720" s="164"/>
      <c r="AA720" s="164"/>
      <c r="AB720" s="164"/>
      <c r="AC720" s="164"/>
      <c r="AD720" s="164"/>
      <c r="AE720" s="164"/>
      <c r="AF720" s="164"/>
      <c r="AG720" s="164"/>
      <c r="AH720" s="164"/>
      <c r="AI720" s="164"/>
    </row>
    <row r="721" spans="24:35">
      <c r="X721" s="164"/>
      <c r="Y721" s="164"/>
      <c r="Z721" s="164"/>
      <c r="AA721" s="164"/>
      <c r="AB721" s="164"/>
      <c r="AC721" s="164"/>
      <c r="AD721" s="164"/>
      <c r="AE721" s="164"/>
      <c r="AF721" s="164"/>
      <c r="AG721" s="164"/>
      <c r="AH721" s="164"/>
      <c r="AI721" s="164"/>
    </row>
    <row r="722" spans="24:35">
      <c r="X722" s="164"/>
      <c r="Y722" s="164"/>
      <c r="Z722" s="164"/>
      <c r="AA722" s="164"/>
      <c r="AB722" s="164"/>
      <c r="AC722" s="164"/>
      <c r="AD722" s="164"/>
      <c r="AE722" s="164"/>
      <c r="AF722" s="164"/>
      <c r="AG722" s="164"/>
      <c r="AH722" s="164"/>
      <c r="AI722" s="164"/>
    </row>
    <row r="723" spans="24:35">
      <c r="X723" s="164"/>
      <c r="Y723" s="164"/>
      <c r="Z723" s="164"/>
      <c r="AA723" s="164"/>
      <c r="AB723" s="164"/>
      <c r="AC723" s="164"/>
      <c r="AD723" s="164"/>
      <c r="AE723" s="164"/>
      <c r="AF723" s="164"/>
      <c r="AG723" s="164"/>
      <c r="AH723" s="164"/>
      <c r="AI723" s="164"/>
    </row>
    <row r="724" spans="24:35">
      <c r="X724" s="164"/>
      <c r="Y724" s="164"/>
      <c r="Z724" s="164"/>
      <c r="AA724" s="164"/>
      <c r="AB724" s="164"/>
      <c r="AC724" s="164"/>
      <c r="AD724" s="164"/>
      <c r="AE724" s="164"/>
      <c r="AF724" s="164"/>
      <c r="AG724" s="164"/>
      <c r="AH724" s="164"/>
      <c r="AI724" s="164"/>
    </row>
    <row r="725" spans="24:35">
      <c r="X725" s="164"/>
      <c r="Y725" s="164"/>
      <c r="Z725" s="164"/>
      <c r="AA725" s="164"/>
      <c r="AB725" s="164"/>
      <c r="AC725" s="164"/>
      <c r="AD725" s="164"/>
      <c r="AE725" s="164"/>
      <c r="AF725" s="164"/>
      <c r="AG725" s="164"/>
      <c r="AH725" s="164"/>
      <c r="AI725" s="164"/>
    </row>
    <row r="726" spans="24:35">
      <c r="X726" s="164"/>
      <c r="Y726" s="164"/>
      <c r="Z726" s="164"/>
      <c r="AA726" s="164"/>
      <c r="AB726" s="164"/>
      <c r="AC726" s="164"/>
      <c r="AD726" s="164"/>
      <c r="AE726" s="164"/>
      <c r="AF726" s="164"/>
      <c r="AG726" s="164"/>
      <c r="AH726" s="164"/>
      <c r="AI726" s="164"/>
    </row>
    <row r="727" spans="24:35">
      <c r="X727" s="164"/>
      <c r="Y727" s="164"/>
      <c r="Z727" s="164"/>
      <c r="AA727" s="164"/>
      <c r="AB727" s="164"/>
      <c r="AC727" s="164"/>
      <c r="AD727" s="164"/>
      <c r="AE727" s="164"/>
      <c r="AF727" s="164"/>
      <c r="AG727" s="164"/>
      <c r="AH727" s="164"/>
      <c r="AI727" s="164"/>
    </row>
    <row r="728" spans="24:35">
      <c r="X728" s="164"/>
      <c r="Y728" s="164"/>
      <c r="Z728" s="164"/>
      <c r="AA728" s="164"/>
      <c r="AB728" s="164"/>
      <c r="AC728" s="164"/>
      <c r="AD728" s="164"/>
      <c r="AE728" s="164"/>
      <c r="AF728" s="164"/>
      <c r="AG728" s="164"/>
      <c r="AH728" s="164"/>
      <c r="AI728" s="164"/>
    </row>
    <row r="729" spans="24:35">
      <c r="X729" s="164"/>
      <c r="Y729" s="164"/>
      <c r="Z729" s="164"/>
      <c r="AA729" s="164"/>
      <c r="AB729" s="164"/>
      <c r="AC729" s="164"/>
      <c r="AD729" s="164"/>
      <c r="AE729" s="164"/>
      <c r="AF729" s="164"/>
      <c r="AG729" s="164"/>
      <c r="AH729" s="164"/>
      <c r="AI729" s="164"/>
    </row>
    <row r="730" spans="24:35">
      <c r="X730" s="164"/>
      <c r="Y730" s="164"/>
      <c r="Z730" s="164"/>
      <c r="AA730" s="164"/>
      <c r="AB730" s="164"/>
      <c r="AC730" s="164"/>
      <c r="AD730" s="164"/>
      <c r="AE730" s="164"/>
      <c r="AF730" s="164"/>
      <c r="AG730" s="164"/>
      <c r="AH730" s="164"/>
      <c r="AI730" s="164"/>
    </row>
    <row r="731" spans="24:35">
      <c r="X731" s="164"/>
      <c r="Y731" s="164"/>
      <c r="Z731" s="164"/>
      <c r="AA731" s="164"/>
      <c r="AB731" s="164"/>
      <c r="AC731" s="164"/>
      <c r="AD731" s="164"/>
      <c r="AE731" s="164"/>
      <c r="AF731" s="164"/>
      <c r="AG731" s="164"/>
      <c r="AH731" s="164"/>
      <c r="AI731" s="164"/>
    </row>
    <row r="732" spans="24:35">
      <c r="X732" s="164"/>
      <c r="Y732" s="164"/>
      <c r="Z732" s="164"/>
      <c r="AA732" s="164"/>
      <c r="AB732" s="164"/>
      <c r="AC732" s="164"/>
      <c r="AD732" s="164"/>
      <c r="AE732" s="164"/>
      <c r="AF732" s="164"/>
      <c r="AG732" s="164"/>
      <c r="AH732" s="164"/>
      <c r="AI732" s="164"/>
    </row>
    <row r="733" spans="24:35">
      <c r="X733" s="164"/>
      <c r="Y733" s="164"/>
      <c r="Z733" s="164"/>
      <c r="AA733" s="164"/>
      <c r="AB733" s="164"/>
      <c r="AC733" s="164"/>
      <c r="AD733" s="164"/>
      <c r="AE733" s="164"/>
      <c r="AF733" s="164"/>
      <c r="AG733" s="164"/>
      <c r="AH733" s="164"/>
      <c r="AI733" s="164"/>
    </row>
    <row r="734" spans="24:35">
      <c r="X734" s="164"/>
      <c r="Y734" s="164"/>
      <c r="Z734" s="164"/>
      <c r="AA734" s="164"/>
      <c r="AB734" s="164"/>
      <c r="AC734" s="164"/>
      <c r="AD734" s="164"/>
      <c r="AE734" s="164"/>
      <c r="AF734" s="164"/>
      <c r="AG734" s="164"/>
      <c r="AH734" s="164"/>
      <c r="AI734" s="164"/>
    </row>
    <row r="735" spans="24:35">
      <c r="X735" s="164"/>
      <c r="Y735" s="164"/>
      <c r="Z735" s="164"/>
      <c r="AA735" s="164"/>
      <c r="AB735" s="164"/>
      <c r="AC735" s="164"/>
      <c r="AD735" s="164"/>
      <c r="AE735" s="164"/>
      <c r="AF735" s="164"/>
      <c r="AG735" s="164"/>
      <c r="AH735" s="164"/>
      <c r="AI735" s="164"/>
    </row>
    <row r="736" spans="24:35">
      <c r="X736" s="164"/>
      <c r="Y736" s="164"/>
      <c r="Z736" s="164"/>
      <c r="AA736" s="164"/>
      <c r="AB736" s="164"/>
      <c r="AC736" s="164"/>
      <c r="AD736" s="164"/>
      <c r="AE736" s="164"/>
      <c r="AF736" s="164"/>
      <c r="AG736" s="164"/>
      <c r="AH736" s="164"/>
      <c r="AI736" s="164"/>
    </row>
    <row r="737" spans="24:35">
      <c r="X737" s="164"/>
      <c r="Y737" s="164"/>
      <c r="Z737" s="164"/>
      <c r="AA737" s="164"/>
      <c r="AB737" s="164"/>
      <c r="AC737" s="164"/>
      <c r="AD737" s="164"/>
      <c r="AE737" s="164"/>
      <c r="AF737" s="164"/>
      <c r="AG737" s="164"/>
      <c r="AH737" s="164"/>
      <c r="AI737" s="164"/>
    </row>
    <row r="738" spans="24:35">
      <c r="X738" s="164"/>
      <c r="Y738" s="164"/>
      <c r="Z738" s="164"/>
      <c r="AA738" s="164"/>
      <c r="AB738" s="164"/>
      <c r="AC738" s="164"/>
      <c r="AD738" s="164"/>
      <c r="AE738" s="164"/>
      <c r="AF738" s="164"/>
      <c r="AG738" s="164"/>
      <c r="AH738" s="164"/>
      <c r="AI738" s="164"/>
    </row>
    <row r="739" spans="24:35">
      <c r="X739" s="164"/>
      <c r="Y739" s="164"/>
      <c r="Z739" s="164"/>
      <c r="AA739" s="164"/>
      <c r="AB739" s="164"/>
      <c r="AC739" s="164"/>
      <c r="AD739" s="164"/>
      <c r="AE739" s="164"/>
      <c r="AF739" s="164"/>
      <c r="AG739" s="164"/>
      <c r="AH739" s="164"/>
      <c r="AI739" s="164"/>
    </row>
    <row r="740" spans="24:35">
      <c r="X740" s="164"/>
      <c r="Y740" s="164"/>
      <c r="Z740" s="164"/>
      <c r="AA740" s="164"/>
      <c r="AB740" s="164"/>
      <c r="AC740" s="164"/>
      <c r="AD740" s="164"/>
      <c r="AE740" s="164"/>
      <c r="AF740" s="164"/>
      <c r="AG740" s="164"/>
      <c r="AH740" s="164"/>
      <c r="AI740" s="164"/>
    </row>
    <row r="741" spans="24:35">
      <c r="X741" s="164"/>
      <c r="Y741" s="164"/>
      <c r="Z741" s="164"/>
      <c r="AA741" s="164"/>
      <c r="AB741" s="164"/>
      <c r="AC741" s="164"/>
      <c r="AD741" s="164"/>
      <c r="AE741" s="164"/>
      <c r="AF741" s="164"/>
      <c r="AG741" s="164"/>
      <c r="AH741" s="164"/>
      <c r="AI741" s="164"/>
    </row>
    <row r="742" spans="24:35">
      <c r="X742" s="164"/>
      <c r="Y742" s="164"/>
      <c r="Z742" s="164"/>
      <c r="AA742" s="164"/>
      <c r="AB742" s="164"/>
      <c r="AC742" s="164"/>
      <c r="AD742" s="164"/>
      <c r="AE742" s="164"/>
      <c r="AF742" s="164"/>
      <c r="AG742" s="164"/>
      <c r="AH742" s="164"/>
      <c r="AI742" s="164"/>
    </row>
    <row r="743" spans="24:35">
      <c r="X743" s="164"/>
      <c r="Y743" s="164"/>
      <c r="Z743" s="164"/>
      <c r="AA743" s="164"/>
      <c r="AB743" s="164"/>
      <c r="AC743" s="164"/>
      <c r="AD743" s="164"/>
      <c r="AE743" s="164"/>
      <c r="AF743" s="164"/>
      <c r="AG743" s="164"/>
      <c r="AH743" s="164"/>
      <c r="AI743" s="164"/>
    </row>
    <row r="744" spans="24:35">
      <c r="X744" s="164"/>
      <c r="Y744" s="164"/>
      <c r="Z744" s="164"/>
      <c r="AA744" s="164"/>
      <c r="AB744" s="164"/>
      <c r="AC744" s="164"/>
      <c r="AD744" s="164"/>
      <c r="AE744" s="164"/>
      <c r="AF744" s="164"/>
      <c r="AG744" s="164"/>
      <c r="AH744" s="164"/>
      <c r="AI744" s="164"/>
    </row>
    <row r="745" spans="24:35">
      <c r="X745" s="164"/>
      <c r="Y745" s="164"/>
      <c r="Z745" s="164"/>
      <c r="AA745" s="164"/>
      <c r="AB745" s="164"/>
      <c r="AC745" s="164"/>
      <c r="AD745" s="164"/>
      <c r="AE745" s="164"/>
      <c r="AF745" s="164"/>
      <c r="AG745" s="164"/>
      <c r="AH745" s="164"/>
      <c r="AI745" s="164"/>
    </row>
    <row r="746" spans="24:35">
      <c r="X746" s="164"/>
      <c r="Y746" s="164"/>
      <c r="Z746" s="164"/>
      <c r="AA746" s="164"/>
      <c r="AB746" s="164"/>
      <c r="AC746" s="164"/>
      <c r="AD746" s="164"/>
      <c r="AE746" s="164"/>
      <c r="AF746" s="164"/>
      <c r="AG746" s="164"/>
      <c r="AH746" s="164"/>
      <c r="AI746" s="164"/>
    </row>
    <row r="747" spans="24:35">
      <c r="X747" s="164"/>
      <c r="Y747" s="164"/>
      <c r="Z747" s="164"/>
      <c r="AA747" s="164"/>
      <c r="AB747" s="164"/>
      <c r="AC747" s="164"/>
      <c r="AD747" s="164"/>
      <c r="AE747" s="164"/>
      <c r="AF747" s="164"/>
      <c r="AG747" s="164"/>
      <c r="AH747" s="164"/>
      <c r="AI747" s="164"/>
    </row>
    <row r="748" spans="24:35">
      <c r="X748" s="164"/>
      <c r="Y748" s="164"/>
      <c r="Z748" s="164"/>
      <c r="AA748" s="164"/>
      <c r="AB748" s="164"/>
      <c r="AC748" s="164"/>
      <c r="AD748" s="164"/>
      <c r="AE748" s="164"/>
      <c r="AF748" s="164"/>
      <c r="AG748" s="164"/>
      <c r="AH748" s="164"/>
      <c r="AI748" s="164"/>
    </row>
    <row r="749" spans="24:35">
      <c r="X749" s="164"/>
      <c r="Y749" s="164"/>
      <c r="Z749" s="164"/>
      <c r="AA749" s="164"/>
      <c r="AB749" s="164"/>
      <c r="AC749" s="164"/>
      <c r="AD749" s="164"/>
      <c r="AE749" s="164"/>
      <c r="AF749" s="164"/>
      <c r="AG749" s="164"/>
      <c r="AH749" s="164"/>
      <c r="AI749" s="164"/>
    </row>
    <row r="750" spans="24:35">
      <c r="X750" s="164"/>
      <c r="Y750" s="164"/>
      <c r="Z750" s="164"/>
      <c r="AA750" s="164"/>
      <c r="AB750" s="164"/>
      <c r="AC750" s="164"/>
      <c r="AD750" s="164"/>
      <c r="AE750" s="164"/>
      <c r="AF750" s="164"/>
      <c r="AG750" s="164"/>
      <c r="AH750" s="164"/>
      <c r="AI750" s="164"/>
    </row>
    <row r="751" spans="24:35">
      <c r="X751" s="164"/>
      <c r="Y751" s="164"/>
      <c r="Z751" s="164"/>
      <c r="AA751" s="164"/>
      <c r="AB751" s="164"/>
      <c r="AC751" s="164"/>
      <c r="AD751" s="164"/>
      <c r="AE751" s="164"/>
      <c r="AF751" s="164"/>
      <c r="AG751" s="164"/>
      <c r="AH751" s="164"/>
      <c r="AI751" s="164"/>
    </row>
    <row r="752" spans="24:35">
      <c r="X752" s="164"/>
      <c r="Y752" s="164"/>
      <c r="Z752" s="164"/>
      <c r="AA752" s="164"/>
      <c r="AB752" s="164"/>
      <c r="AC752" s="164"/>
      <c r="AD752" s="164"/>
      <c r="AE752" s="164"/>
      <c r="AF752" s="164"/>
      <c r="AG752" s="164"/>
      <c r="AH752" s="164"/>
      <c r="AI752" s="164"/>
    </row>
    <row r="753" spans="24:35">
      <c r="X753" s="164"/>
      <c r="Y753" s="164"/>
      <c r="Z753" s="164"/>
      <c r="AA753" s="164"/>
      <c r="AB753" s="164"/>
      <c r="AC753" s="164"/>
      <c r="AD753" s="164"/>
      <c r="AE753" s="164"/>
      <c r="AF753" s="164"/>
      <c r="AG753" s="164"/>
      <c r="AH753" s="164"/>
      <c r="AI753" s="164"/>
    </row>
    <row r="754" spans="24:35">
      <c r="X754" s="164"/>
      <c r="Y754" s="164"/>
      <c r="Z754" s="164"/>
      <c r="AA754" s="164"/>
      <c r="AB754" s="164"/>
      <c r="AC754" s="164"/>
      <c r="AD754" s="164"/>
      <c r="AE754" s="164"/>
      <c r="AF754" s="164"/>
      <c r="AG754" s="164"/>
      <c r="AH754" s="164"/>
      <c r="AI754" s="164"/>
    </row>
    <row r="755" spans="24:35">
      <c r="X755" s="164"/>
      <c r="Y755" s="164"/>
      <c r="Z755" s="164"/>
      <c r="AA755" s="164"/>
      <c r="AB755" s="164"/>
      <c r="AC755" s="164"/>
      <c r="AD755" s="164"/>
      <c r="AE755" s="164"/>
      <c r="AF755" s="164"/>
      <c r="AG755" s="164"/>
      <c r="AH755" s="164"/>
      <c r="AI755" s="164"/>
    </row>
    <row r="756" spans="24:35">
      <c r="X756" s="164"/>
      <c r="Y756" s="164"/>
      <c r="Z756" s="164"/>
      <c r="AA756" s="164"/>
      <c r="AB756" s="164"/>
      <c r="AC756" s="164"/>
      <c r="AD756" s="164"/>
      <c r="AE756" s="164"/>
      <c r="AF756" s="164"/>
      <c r="AG756" s="164"/>
      <c r="AH756" s="164"/>
      <c r="AI756" s="164"/>
    </row>
    <row r="757" spans="24:35">
      <c r="X757" s="164"/>
      <c r="Y757" s="164"/>
      <c r="Z757" s="164"/>
      <c r="AA757" s="164"/>
      <c r="AB757" s="164"/>
      <c r="AC757" s="164"/>
      <c r="AD757" s="164"/>
      <c r="AE757" s="164"/>
      <c r="AF757" s="164"/>
      <c r="AG757" s="164"/>
      <c r="AH757" s="164"/>
      <c r="AI757" s="164"/>
    </row>
    <row r="758" spans="24:35">
      <c r="X758" s="164"/>
      <c r="Y758" s="164"/>
      <c r="Z758" s="164"/>
      <c r="AA758" s="164"/>
      <c r="AB758" s="164"/>
      <c r="AC758" s="164"/>
      <c r="AD758" s="164"/>
      <c r="AE758" s="164"/>
      <c r="AF758" s="164"/>
      <c r="AG758" s="164"/>
      <c r="AH758" s="164"/>
      <c r="AI758" s="164"/>
    </row>
    <row r="759" spans="24:35">
      <c r="X759" s="164"/>
      <c r="Y759" s="164"/>
      <c r="Z759" s="164"/>
      <c r="AA759" s="164"/>
      <c r="AB759" s="164"/>
      <c r="AC759" s="164"/>
      <c r="AD759" s="164"/>
      <c r="AE759" s="164"/>
      <c r="AF759" s="164"/>
      <c r="AG759" s="164"/>
      <c r="AH759" s="164"/>
      <c r="AI759" s="164"/>
    </row>
    <row r="760" spans="24:35">
      <c r="X760" s="164"/>
      <c r="Y760" s="164"/>
      <c r="Z760" s="164"/>
      <c r="AA760" s="164"/>
      <c r="AB760" s="164"/>
      <c r="AC760" s="164"/>
      <c r="AD760" s="164"/>
      <c r="AE760" s="164"/>
      <c r="AF760" s="164"/>
      <c r="AG760" s="164"/>
      <c r="AH760" s="164"/>
      <c r="AI760" s="164"/>
    </row>
    <row r="761" spans="24:35">
      <c r="X761" s="164"/>
      <c r="Y761" s="164"/>
      <c r="Z761" s="164"/>
      <c r="AA761" s="164"/>
      <c r="AB761" s="164"/>
      <c r="AC761" s="164"/>
      <c r="AD761" s="164"/>
      <c r="AE761" s="164"/>
      <c r="AF761" s="164"/>
      <c r="AG761" s="164"/>
      <c r="AH761" s="164"/>
      <c r="AI761" s="164"/>
    </row>
    <row r="762" spans="24:35">
      <c r="X762" s="164"/>
      <c r="Y762" s="164"/>
      <c r="Z762" s="164"/>
      <c r="AA762" s="164"/>
      <c r="AB762" s="164"/>
      <c r="AC762" s="164"/>
      <c r="AD762" s="164"/>
      <c r="AE762" s="164"/>
      <c r="AF762" s="164"/>
      <c r="AG762" s="164"/>
      <c r="AH762" s="164"/>
      <c r="AI762" s="164"/>
    </row>
    <row r="763" spans="24:35">
      <c r="X763" s="164"/>
      <c r="Y763" s="164"/>
      <c r="Z763" s="164"/>
      <c r="AA763" s="164"/>
      <c r="AB763" s="164"/>
      <c r="AC763" s="164"/>
      <c r="AD763" s="164"/>
      <c r="AE763" s="164"/>
      <c r="AF763" s="164"/>
      <c r="AG763" s="164"/>
      <c r="AH763" s="164"/>
      <c r="AI763" s="164"/>
    </row>
    <row r="764" spans="24:35">
      <c r="X764" s="164"/>
      <c r="Y764" s="164"/>
      <c r="Z764" s="164"/>
      <c r="AA764" s="164"/>
      <c r="AB764" s="164"/>
      <c r="AC764" s="164"/>
      <c r="AD764" s="164"/>
      <c r="AE764" s="164"/>
      <c r="AF764" s="164"/>
      <c r="AG764" s="164"/>
      <c r="AH764" s="164"/>
      <c r="AI764" s="164"/>
    </row>
    <row r="765" spans="24:35">
      <c r="X765" s="164"/>
      <c r="Y765" s="164"/>
      <c r="Z765" s="164"/>
      <c r="AA765" s="164"/>
      <c r="AB765" s="164"/>
      <c r="AC765" s="164"/>
      <c r="AD765" s="164"/>
      <c r="AE765" s="164"/>
      <c r="AF765" s="164"/>
      <c r="AG765" s="164"/>
      <c r="AH765" s="164"/>
      <c r="AI765" s="164"/>
    </row>
    <row r="766" spans="24:35">
      <c r="X766" s="164"/>
      <c r="Y766" s="164"/>
      <c r="Z766" s="164"/>
      <c r="AA766" s="164"/>
      <c r="AB766" s="164"/>
      <c r="AC766" s="164"/>
      <c r="AD766" s="164"/>
      <c r="AE766" s="164"/>
      <c r="AF766" s="164"/>
      <c r="AG766" s="164"/>
      <c r="AH766" s="164"/>
      <c r="AI766" s="164"/>
    </row>
    <row r="767" spans="24:35">
      <c r="X767" s="164"/>
      <c r="Y767" s="164"/>
      <c r="Z767" s="164"/>
      <c r="AA767" s="164"/>
      <c r="AB767" s="164"/>
      <c r="AC767" s="164"/>
      <c r="AD767" s="164"/>
      <c r="AE767" s="164"/>
      <c r="AF767" s="164"/>
      <c r="AG767" s="164"/>
      <c r="AH767" s="164"/>
      <c r="AI767" s="164"/>
    </row>
    <row r="768" spans="24:35">
      <c r="X768" s="164"/>
      <c r="Y768" s="164"/>
      <c r="Z768" s="164"/>
      <c r="AA768" s="164"/>
      <c r="AB768" s="164"/>
      <c r="AC768" s="164"/>
      <c r="AD768" s="164"/>
      <c r="AE768" s="164"/>
      <c r="AF768" s="164"/>
      <c r="AG768" s="164"/>
      <c r="AH768" s="164"/>
      <c r="AI768" s="164"/>
    </row>
    <row r="769" spans="24:35">
      <c r="X769" s="164"/>
      <c r="Y769" s="164"/>
      <c r="Z769" s="164"/>
      <c r="AA769" s="164"/>
      <c r="AB769" s="164"/>
      <c r="AC769" s="164"/>
      <c r="AD769" s="164"/>
      <c r="AE769" s="164"/>
      <c r="AF769" s="164"/>
      <c r="AG769" s="164"/>
      <c r="AH769" s="164"/>
      <c r="AI769" s="164"/>
    </row>
    <row r="770" spans="24:35">
      <c r="X770" s="164"/>
      <c r="Y770" s="164"/>
      <c r="Z770" s="164"/>
      <c r="AA770" s="164"/>
      <c r="AB770" s="164"/>
      <c r="AC770" s="164"/>
      <c r="AD770" s="164"/>
      <c r="AE770" s="164"/>
      <c r="AF770" s="164"/>
      <c r="AG770" s="164"/>
      <c r="AH770" s="164"/>
      <c r="AI770" s="164"/>
    </row>
    <row r="771" spans="24:35">
      <c r="X771" s="164"/>
      <c r="Y771" s="164"/>
      <c r="Z771" s="164"/>
      <c r="AA771" s="164"/>
      <c r="AB771" s="164"/>
      <c r="AC771" s="164"/>
      <c r="AD771" s="164"/>
      <c r="AE771" s="164"/>
      <c r="AF771" s="164"/>
      <c r="AG771" s="164"/>
      <c r="AH771" s="164"/>
      <c r="AI771" s="164"/>
    </row>
    <row r="772" spans="24:35">
      <c r="X772" s="164"/>
      <c r="Y772" s="164"/>
      <c r="Z772" s="164"/>
      <c r="AA772" s="164"/>
      <c r="AB772" s="164"/>
      <c r="AC772" s="164"/>
      <c r="AD772" s="164"/>
      <c r="AE772" s="164"/>
      <c r="AF772" s="164"/>
      <c r="AG772" s="164"/>
      <c r="AH772" s="164"/>
      <c r="AI772" s="164"/>
    </row>
    <row r="773" spans="24:35">
      <c r="X773" s="164"/>
      <c r="Y773" s="164"/>
      <c r="Z773" s="164"/>
      <c r="AA773" s="164"/>
      <c r="AB773" s="164"/>
      <c r="AC773" s="164"/>
      <c r="AD773" s="164"/>
      <c r="AE773" s="164"/>
      <c r="AF773" s="164"/>
      <c r="AG773" s="164"/>
      <c r="AH773" s="164"/>
      <c r="AI773" s="164"/>
    </row>
    <row r="774" spans="24:35">
      <c r="X774" s="164"/>
      <c r="Y774" s="164"/>
      <c r="Z774" s="164"/>
      <c r="AA774" s="164"/>
      <c r="AB774" s="164"/>
      <c r="AC774" s="164"/>
      <c r="AD774" s="164"/>
      <c r="AE774" s="164"/>
      <c r="AF774" s="164"/>
      <c r="AG774" s="164"/>
      <c r="AH774" s="164"/>
      <c r="AI774" s="164"/>
    </row>
    <row r="775" spans="24:35">
      <c r="X775" s="164"/>
      <c r="Y775" s="164"/>
      <c r="Z775" s="164"/>
      <c r="AA775" s="164"/>
      <c r="AB775" s="164"/>
      <c r="AC775" s="164"/>
      <c r="AD775" s="164"/>
      <c r="AE775" s="164"/>
      <c r="AF775" s="164"/>
      <c r="AG775" s="164"/>
      <c r="AH775" s="164"/>
      <c r="AI775" s="164"/>
    </row>
    <row r="776" spans="24:35">
      <c r="X776" s="164"/>
      <c r="Y776" s="164"/>
      <c r="Z776" s="164"/>
      <c r="AA776" s="164"/>
      <c r="AB776" s="164"/>
      <c r="AC776" s="164"/>
      <c r="AD776" s="164"/>
      <c r="AE776" s="164"/>
      <c r="AF776" s="164"/>
      <c r="AG776" s="164"/>
      <c r="AH776" s="164"/>
      <c r="AI776" s="164"/>
    </row>
    <row r="777" spans="24:35">
      <c r="X777" s="164"/>
      <c r="Y777" s="164"/>
      <c r="Z777" s="164"/>
      <c r="AA777" s="164"/>
      <c r="AB777" s="164"/>
      <c r="AC777" s="164"/>
      <c r="AD777" s="164"/>
      <c r="AE777" s="164"/>
      <c r="AF777" s="164"/>
      <c r="AG777" s="164"/>
      <c r="AH777" s="164"/>
      <c r="AI777" s="164"/>
    </row>
    <row r="778" spans="24:35">
      <c r="X778" s="164"/>
      <c r="Y778" s="164"/>
      <c r="Z778" s="164"/>
      <c r="AA778" s="164"/>
      <c r="AB778" s="164"/>
      <c r="AC778" s="164"/>
      <c r="AD778" s="164"/>
      <c r="AE778" s="164"/>
      <c r="AF778" s="164"/>
      <c r="AG778" s="164"/>
      <c r="AH778" s="164"/>
      <c r="AI778" s="164"/>
    </row>
    <row r="779" spans="24:35">
      <c r="X779" s="164"/>
      <c r="Y779" s="164"/>
      <c r="Z779" s="164"/>
      <c r="AA779" s="164"/>
      <c r="AB779" s="164"/>
      <c r="AC779" s="164"/>
      <c r="AD779" s="164"/>
      <c r="AE779" s="164"/>
      <c r="AF779" s="164"/>
      <c r="AG779" s="164"/>
      <c r="AH779" s="164"/>
      <c r="AI779" s="164"/>
    </row>
    <row r="780" spans="24:35">
      <c r="X780" s="164"/>
      <c r="Y780" s="164"/>
      <c r="Z780" s="164"/>
      <c r="AA780" s="164"/>
      <c r="AB780" s="164"/>
      <c r="AC780" s="164"/>
      <c r="AD780" s="164"/>
      <c r="AE780" s="164"/>
      <c r="AF780" s="164"/>
      <c r="AG780" s="164"/>
      <c r="AH780" s="164"/>
      <c r="AI780" s="164"/>
    </row>
    <row r="781" spans="24:35">
      <c r="X781" s="164"/>
      <c r="Y781" s="164"/>
      <c r="Z781" s="164"/>
      <c r="AA781" s="164"/>
      <c r="AB781" s="164"/>
      <c r="AC781" s="164"/>
      <c r="AD781" s="164"/>
      <c r="AE781" s="164"/>
      <c r="AF781" s="164"/>
      <c r="AG781" s="164"/>
      <c r="AH781" s="164"/>
      <c r="AI781" s="164"/>
    </row>
    <row r="782" spans="24:35">
      <c r="X782" s="164"/>
      <c r="Y782" s="164"/>
      <c r="Z782" s="164"/>
      <c r="AA782" s="164"/>
      <c r="AB782" s="164"/>
      <c r="AC782" s="164"/>
      <c r="AD782" s="164"/>
      <c r="AE782" s="164"/>
      <c r="AF782" s="164"/>
      <c r="AG782" s="164"/>
      <c r="AH782" s="164"/>
      <c r="AI782" s="164"/>
    </row>
    <row r="783" spans="24:35">
      <c r="X783" s="164"/>
      <c r="Y783" s="164"/>
      <c r="Z783" s="164"/>
      <c r="AA783" s="164"/>
      <c r="AB783" s="164"/>
      <c r="AC783" s="164"/>
      <c r="AD783" s="164"/>
      <c r="AE783" s="164"/>
      <c r="AF783" s="164"/>
      <c r="AG783" s="164"/>
      <c r="AH783" s="164"/>
      <c r="AI783" s="164"/>
    </row>
    <row r="784" spans="24:35">
      <c r="X784" s="164"/>
      <c r="Y784" s="164"/>
      <c r="Z784" s="164"/>
      <c r="AA784" s="164"/>
      <c r="AB784" s="164"/>
      <c r="AC784" s="164"/>
      <c r="AD784" s="164"/>
      <c r="AE784" s="164"/>
      <c r="AF784" s="164"/>
      <c r="AG784" s="164"/>
      <c r="AH784" s="164"/>
      <c r="AI784" s="164"/>
    </row>
    <row r="785" spans="24:35">
      <c r="X785" s="164"/>
      <c r="Y785" s="164"/>
      <c r="Z785" s="164"/>
      <c r="AA785" s="164"/>
      <c r="AB785" s="164"/>
      <c r="AC785" s="164"/>
      <c r="AD785" s="164"/>
      <c r="AE785" s="164"/>
      <c r="AF785" s="164"/>
      <c r="AG785" s="164"/>
      <c r="AH785" s="164"/>
      <c r="AI785" s="164"/>
    </row>
    <row r="786" spans="24:35">
      <c r="X786" s="164"/>
      <c r="Y786" s="164"/>
      <c r="Z786" s="164"/>
      <c r="AA786" s="164"/>
      <c r="AB786" s="164"/>
      <c r="AC786" s="164"/>
      <c r="AD786" s="164"/>
      <c r="AE786" s="164"/>
      <c r="AF786" s="164"/>
      <c r="AG786" s="164"/>
      <c r="AH786" s="164"/>
      <c r="AI786" s="164"/>
    </row>
    <row r="787" spans="24:35">
      <c r="X787" s="164"/>
      <c r="Y787" s="164"/>
      <c r="Z787" s="164"/>
      <c r="AA787" s="164"/>
      <c r="AB787" s="164"/>
      <c r="AC787" s="164"/>
      <c r="AD787" s="164"/>
      <c r="AE787" s="164"/>
      <c r="AF787" s="164"/>
      <c r="AG787" s="164"/>
      <c r="AH787" s="164"/>
      <c r="AI787" s="164"/>
    </row>
    <row r="788" spans="24:35">
      <c r="X788" s="164"/>
      <c r="Y788" s="164"/>
      <c r="Z788" s="164"/>
      <c r="AA788" s="164"/>
      <c r="AB788" s="164"/>
      <c r="AC788" s="164"/>
      <c r="AD788" s="164"/>
      <c r="AE788" s="164"/>
      <c r="AF788" s="164"/>
      <c r="AG788" s="164"/>
      <c r="AH788" s="164"/>
      <c r="AI788" s="164"/>
    </row>
    <row r="789" spans="24:35">
      <c r="X789" s="164"/>
      <c r="Y789" s="164"/>
      <c r="Z789" s="164"/>
      <c r="AA789" s="164"/>
      <c r="AB789" s="164"/>
      <c r="AC789" s="164"/>
      <c r="AD789" s="164"/>
      <c r="AE789" s="164"/>
      <c r="AF789" s="164"/>
      <c r="AG789" s="164"/>
      <c r="AH789" s="164"/>
      <c r="AI789" s="164"/>
    </row>
    <row r="790" spans="24:35">
      <c r="X790" s="164"/>
      <c r="Y790" s="164"/>
      <c r="Z790" s="164"/>
      <c r="AA790" s="164"/>
      <c r="AB790" s="164"/>
      <c r="AC790" s="164"/>
      <c r="AD790" s="164"/>
      <c r="AE790" s="164"/>
      <c r="AF790" s="164"/>
      <c r="AG790" s="164"/>
      <c r="AH790" s="164"/>
      <c r="AI790" s="164"/>
    </row>
    <row r="791" spans="24:35">
      <c r="X791" s="164"/>
      <c r="Y791" s="164"/>
      <c r="Z791" s="164"/>
      <c r="AA791" s="164"/>
      <c r="AB791" s="164"/>
      <c r="AC791" s="164"/>
      <c r="AD791" s="164"/>
      <c r="AE791" s="164"/>
      <c r="AF791" s="164"/>
      <c r="AG791" s="164"/>
      <c r="AH791" s="164"/>
      <c r="AI791" s="164"/>
    </row>
    <row r="792" spans="24:35">
      <c r="X792" s="164"/>
      <c r="Y792" s="164"/>
      <c r="Z792" s="164"/>
      <c r="AA792" s="164"/>
      <c r="AB792" s="164"/>
      <c r="AC792" s="164"/>
      <c r="AD792" s="164"/>
      <c r="AE792" s="164"/>
      <c r="AF792" s="164"/>
      <c r="AG792" s="164"/>
      <c r="AH792" s="164"/>
      <c r="AI792" s="164"/>
    </row>
    <row r="793" spans="24:35">
      <c r="X793" s="164"/>
      <c r="Y793" s="164"/>
      <c r="Z793" s="164"/>
      <c r="AA793" s="164"/>
      <c r="AB793" s="164"/>
      <c r="AC793" s="164"/>
      <c r="AD793" s="164"/>
      <c r="AE793" s="164"/>
      <c r="AF793" s="164"/>
      <c r="AG793" s="164"/>
      <c r="AH793" s="164"/>
      <c r="AI793" s="164"/>
    </row>
    <row r="794" spans="24:35">
      <c r="X794" s="164"/>
      <c r="Y794" s="164"/>
      <c r="Z794" s="164"/>
      <c r="AA794" s="164"/>
      <c r="AB794" s="164"/>
      <c r="AC794" s="164"/>
      <c r="AD794" s="164"/>
      <c r="AE794" s="164"/>
      <c r="AF794" s="164"/>
      <c r="AG794" s="164"/>
      <c r="AH794" s="164"/>
      <c r="AI794" s="164"/>
    </row>
    <row r="795" spans="24:35">
      <c r="X795" s="164"/>
      <c r="Y795" s="164"/>
      <c r="Z795" s="164"/>
      <c r="AA795" s="164"/>
      <c r="AB795" s="164"/>
      <c r="AC795" s="164"/>
      <c r="AD795" s="164"/>
      <c r="AE795" s="164"/>
      <c r="AF795" s="164"/>
      <c r="AG795" s="164"/>
      <c r="AH795" s="164"/>
      <c r="AI795" s="164"/>
    </row>
    <row r="796" spans="24:35">
      <c r="X796" s="164"/>
      <c r="Y796" s="164"/>
      <c r="Z796" s="164"/>
      <c r="AA796" s="164"/>
      <c r="AB796" s="164"/>
      <c r="AC796" s="164"/>
      <c r="AD796" s="164"/>
      <c r="AE796" s="164"/>
      <c r="AF796" s="164"/>
      <c r="AG796" s="164"/>
      <c r="AH796" s="164"/>
      <c r="AI796" s="164"/>
    </row>
    <row r="797" spans="24:35">
      <c r="X797" s="164"/>
      <c r="Y797" s="164"/>
      <c r="Z797" s="164"/>
      <c r="AA797" s="164"/>
      <c r="AB797" s="164"/>
      <c r="AC797" s="164"/>
      <c r="AD797" s="164"/>
      <c r="AE797" s="164"/>
      <c r="AF797" s="164"/>
      <c r="AG797" s="164"/>
      <c r="AH797" s="164"/>
      <c r="AI797" s="164"/>
    </row>
    <row r="798" spans="24:35">
      <c r="X798" s="164"/>
      <c r="Y798" s="164"/>
      <c r="Z798" s="164"/>
      <c r="AA798" s="164"/>
      <c r="AB798" s="164"/>
      <c r="AC798" s="164"/>
      <c r="AD798" s="164"/>
      <c r="AE798" s="164"/>
      <c r="AF798" s="164"/>
      <c r="AG798" s="164"/>
      <c r="AH798" s="164"/>
      <c r="AI798" s="164"/>
    </row>
    <row r="799" spans="24:35">
      <c r="X799" s="164"/>
      <c r="Y799" s="164"/>
      <c r="Z799" s="164"/>
      <c r="AA799" s="164"/>
      <c r="AB799" s="164"/>
      <c r="AC799" s="164"/>
      <c r="AD799" s="164"/>
      <c r="AE799" s="164"/>
      <c r="AF799" s="164"/>
      <c r="AG799" s="164"/>
      <c r="AH799" s="164"/>
      <c r="AI799" s="164"/>
    </row>
    <row r="800" spans="24:35">
      <c r="X800" s="164"/>
      <c r="Y800" s="164"/>
      <c r="Z800" s="164"/>
      <c r="AA800" s="164"/>
      <c r="AB800" s="164"/>
      <c r="AC800" s="164"/>
      <c r="AD800" s="164"/>
      <c r="AE800" s="164"/>
      <c r="AF800" s="164"/>
      <c r="AG800" s="164"/>
      <c r="AH800" s="164"/>
      <c r="AI800" s="164"/>
    </row>
    <row r="801" spans="24:35">
      <c r="X801" s="164"/>
      <c r="Y801" s="164"/>
      <c r="Z801" s="164"/>
      <c r="AA801" s="164"/>
      <c r="AB801" s="164"/>
      <c r="AC801" s="164"/>
      <c r="AD801" s="164"/>
      <c r="AE801" s="164"/>
      <c r="AF801" s="164"/>
      <c r="AG801" s="164"/>
      <c r="AH801" s="164"/>
      <c r="AI801" s="164"/>
    </row>
    <row r="802" spans="24:35">
      <c r="X802" s="164"/>
      <c r="Y802" s="164"/>
      <c r="Z802" s="164"/>
      <c r="AA802" s="164"/>
      <c r="AB802" s="164"/>
      <c r="AC802" s="164"/>
      <c r="AD802" s="164"/>
      <c r="AE802" s="164"/>
      <c r="AF802" s="164"/>
      <c r="AG802" s="164"/>
      <c r="AH802" s="164"/>
      <c r="AI802" s="164"/>
    </row>
    <row r="803" spans="24:35">
      <c r="X803" s="164"/>
      <c r="Y803" s="164"/>
      <c r="Z803" s="164"/>
      <c r="AA803" s="164"/>
      <c r="AB803" s="164"/>
      <c r="AC803" s="164"/>
      <c r="AD803" s="164"/>
      <c r="AE803" s="164"/>
      <c r="AF803" s="164"/>
      <c r="AG803" s="164"/>
      <c r="AH803" s="164"/>
      <c r="AI803" s="164"/>
    </row>
    <row r="804" spans="24:35">
      <c r="X804" s="164"/>
      <c r="Y804" s="164"/>
      <c r="Z804" s="164"/>
      <c r="AA804" s="164"/>
      <c r="AB804" s="164"/>
      <c r="AC804" s="164"/>
      <c r="AD804" s="164"/>
      <c r="AE804" s="164"/>
      <c r="AF804" s="164"/>
      <c r="AG804" s="164"/>
      <c r="AH804" s="164"/>
      <c r="AI804" s="164"/>
    </row>
    <row r="805" spans="24:35">
      <c r="X805" s="164"/>
      <c r="Y805" s="164"/>
      <c r="Z805" s="164"/>
      <c r="AA805" s="164"/>
      <c r="AB805" s="164"/>
      <c r="AC805" s="164"/>
      <c r="AD805" s="164"/>
      <c r="AE805" s="164"/>
      <c r="AF805" s="164"/>
      <c r="AG805" s="164"/>
      <c r="AH805" s="164"/>
      <c r="AI805" s="164"/>
    </row>
    <row r="806" spans="24:35">
      <c r="X806" s="164"/>
      <c r="Y806" s="164"/>
      <c r="Z806" s="164"/>
      <c r="AA806" s="164"/>
      <c r="AB806" s="164"/>
      <c r="AC806" s="164"/>
      <c r="AD806" s="164"/>
      <c r="AE806" s="164"/>
      <c r="AF806" s="164"/>
      <c r="AG806" s="164"/>
      <c r="AH806" s="164"/>
      <c r="AI806" s="164"/>
    </row>
    <row r="807" spans="24:35">
      <c r="X807" s="164"/>
      <c r="Y807" s="164"/>
      <c r="Z807" s="164"/>
      <c r="AA807" s="164"/>
      <c r="AB807" s="164"/>
      <c r="AC807" s="164"/>
      <c r="AD807" s="164"/>
      <c r="AE807" s="164"/>
      <c r="AF807" s="164"/>
      <c r="AG807" s="164"/>
      <c r="AH807" s="164"/>
      <c r="AI807" s="164"/>
    </row>
    <row r="808" spans="24:35">
      <c r="X808" s="164"/>
      <c r="Y808" s="164"/>
      <c r="Z808" s="164"/>
      <c r="AA808" s="164"/>
      <c r="AB808" s="164"/>
      <c r="AC808" s="164"/>
      <c r="AD808" s="164"/>
      <c r="AE808" s="164"/>
      <c r="AF808" s="164"/>
      <c r="AG808" s="164"/>
      <c r="AH808" s="164"/>
      <c r="AI808" s="164"/>
    </row>
    <row r="809" spans="24:35">
      <c r="X809" s="164"/>
      <c r="Y809" s="164"/>
      <c r="Z809" s="164"/>
      <c r="AA809" s="164"/>
      <c r="AB809" s="164"/>
      <c r="AC809" s="164"/>
      <c r="AD809" s="164"/>
      <c r="AE809" s="164"/>
      <c r="AF809" s="164"/>
      <c r="AG809" s="164"/>
      <c r="AH809" s="164"/>
      <c r="AI809" s="164"/>
    </row>
    <row r="810" spans="24:35">
      <c r="X810" s="164"/>
      <c r="Y810" s="164"/>
      <c r="Z810" s="164"/>
      <c r="AA810" s="164"/>
      <c r="AB810" s="164"/>
      <c r="AC810" s="164"/>
      <c r="AD810" s="164"/>
      <c r="AE810" s="164"/>
      <c r="AF810" s="164"/>
      <c r="AG810" s="164"/>
      <c r="AH810" s="164"/>
      <c r="AI810" s="164"/>
    </row>
    <row r="811" spans="24:35">
      <c r="X811" s="164"/>
      <c r="Y811" s="164"/>
      <c r="Z811" s="164"/>
      <c r="AA811" s="164"/>
      <c r="AB811" s="164"/>
      <c r="AC811" s="164"/>
      <c r="AD811" s="164"/>
      <c r="AE811" s="164"/>
      <c r="AF811" s="164"/>
      <c r="AG811" s="164"/>
      <c r="AH811" s="164"/>
      <c r="AI811" s="164"/>
    </row>
    <row r="812" spans="24:35">
      <c r="X812" s="164"/>
      <c r="Y812" s="164"/>
      <c r="Z812" s="164"/>
      <c r="AA812" s="164"/>
      <c r="AB812" s="164"/>
      <c r="AC812" s="164"/>
      <c r="AD812" s="164"/>
      <c r="AE812" s="164"/>
      <c r="AF812" s="164"/>
      <c r="AG812" s="164"/>
      <c r="AH812" s="164"/>
      <c r="AI812" s="164"/>
    </row>
    <row r="813" spans="24:35">
      <c r="X813" s="164"/>
      <c r="Y813" s="164"/>
      <c r="Z813" s="164"/>
      <c r="AA813" s="164"/>
      <c r="AB813" s="164"/>
      <c r="AC813" s="164"/>
      <c r="AD813" s="164"/>
      <c r="AE813" s="164"/>
      <c r="AF813" s="164"/>
      <c r="AG813" s="164"/>
      <c r="AH813" s="164"/>
      <c r="AI813" s="164"/>
    </row>
    <row r="814" spans="24:35">
      <c r="X814" s="164"/>
      <c r="Y814" s="164"/>
      <c r="Z814" s="164"/>
      <c r="AA814" s="164"/>
      <c r="AB814" s="164"/>
      <c r="AC814" s="164"/>
      <c r="AD814" s="164"/>
      <c r="AE814" s="164"/>
      <c r="AF814" s="164"/>
      <c r="AG814" s="164"/>
      <c r="AH814" s="164"/>
      <c r="AI814" s="164"/>
    </row>
    <row r="815" spans="24:35">
      <c r="X815" s="164"/>
      <c r="Y815" s="164"/>
      <c r="Z815" s="164"/>
      <c r="AA815" s="164"/>
      <c r="AB815" s="164"/>
      <c r="AC815" s="164"/>
      <c r="AD815" s="164"/>
      <c r="AE815" s="164"/>
      <c r="AF815" s="164"/>
      <c r="AG815" s="164"/>
      <c r="AH815" s="164"/>
      <c r="AI815" s="164"/>
    </row>
    <row r="816" spans="24:35">
      <c r="X816" s="164"/>
      <c r="Y816" s="164"/>
      <c r="Z816" s="164"/>
      <c r="AA816" s="164"/>
      <c r="AB816" s="164"/>
      <c r="AC816" s="164"/>
      <c r="AD816" s="164"/>
      <c r="AE816" s="164"/>
      <c r="AF816" s="164"/>
      <c r="AG816" s="164"/>
      <c r="AH816" s="164"/>
      <c r="AI816" s="164"/>
    </row>
    <row r="817" spans="24:35">
      <c r="X817" s="164"/>
      <c r="Y817" s="164"/>
      <c r="Z817" s="164"/>
      <c r="AA817" s="164"/>
      <c r="AB817" s="164"/>
      <c r="AC817" s="164"/>
      <c r="AD817" s="164"/>
      <c r="AE817" s="164"/>
      <c r="AF817" s="164"/>
      <c r="AG817" s="164"/>
      <c r="AH817" s="164"/>
      <c r="AI817" s="164"/>
    </row>
    <row r="818" spans="24:35">
      <c r="X818" s="164"/>
      <c r="Y818" s="164"/>
      <c r="Z818" s="164"/>
      <c r="AA818" s="164"/>
      <c r="AB818" s="164"/>
      <c r="AC818" s="164"/>
      <c r="AD818" s="164"/>
      <c r="AE818" s="164"/>
      <c r="AF818" s="164"/>
      <c r="AG818" s="164"/>
      <c r="AH818" s="164"/>
      <c r="AI818" s="164"/>
    </row>
    <row r="819" spans="24:35">
      <c r="X819" s="164"/>
      <c r="Y819" s="164"/>
      <c r="Z819" s="164"/>
      <c r="AA819" s="164"/>
      <c r="AB819" s="164"/>
      <c r="AC819" s="164"/>
      <c r="AD819" s="164"/>
      <c r="AE819" s="164"/>
      <c r="AF819" s="164"/>
      <c r="AG819" s="164"/>
      <c r="AH819" s="164"/>
      <c r="AI819" s="164"/>
    </row>
    <row r="820" spans="24:35">
      <c r="X820" s="164"/>
      <c r="Y820" s="164"/>
      <c r="Z820" s="164"/>
      <c r="AA820" s="164"/>
      <c r="AB820" s="164"/>
      <c r="AC820" s="164"/>
      <c r="AD820" s="164"/>
      <c r="AE820" s="164"/>
      <c r="AF820" s="164"/>
      <c r="AG820" s="164"/>
      <c r="AH820" s="164"/>
      <c r="AI820" s="164"/>
    </row>
    <row r="821" spans="24:35">
      <c r="X821" s="164"/>
      <c r="Y821" s="164"/>
      <c r="Z821" s="164"/>
      <c r="AA821" s="164"/>
      <c r="AB821" s="164"/>
      <c r="AC821" s="164"/>
      <c r="AD821" s="164"/>
      <c r="AE821" s="164"/>
      <c r="AF821" s="164"/>
      <c r="AG821" s="164"/>
      <c r="AH821" s="164"/>
      <c r="AI821" s="164"/>
    </row>
    <row r="822" spans="24:35">
      <c r="X822" s="164"/>
      <c r="Y822" s="164"/>
      <c r="Z822" s="164"/>
      <c r="AA822" s="164"/>
      <c r="AB822" s="164"/>
      <c r="AC822" s="164"/>
      <c r="AD822" s="164"/>
      <c r="AE822" s="164"/>
      <c r="AF822" s="164"/>
      <c r="AG822" s="164"/>
      <c r="AH822" s="164"/>
      <c r="AI822" s="164"/>
    </row>
    <row r="823" spans="24:35">
      <c r="X823" s="164"/>
      <c r="Y823" s="164"/>
      <c r="Z823" s="164"/>
      <c r="AA823" s="164"/>
      <c r="AB823" s="164"/>
      <c r="AC823" s="164"/>
      <c r="AD823" s="164"/>
      <c r="AE823" s="164"/>
      <c r="AF823" s="164"/>
      <c r="AG823" s="164"/>
      <c r="AH823" s="164"/>
      <c r="AI823" s="164"/>
    </row>
    <row r="824" spans="24:35">
      <c r="X824" s="164"/>
      <c r="Y824" s="164"/>
      <c r="Z824" s="164"/>
      <c r="AA824" s="164"/>
      <c r="AB824" s="164"/>
      <c r="AC824" s="164"/>
      <c r="AD824" s="164"/>
      <c r="AE824" s="164"/>
      <c r="AF824" s="164"/>
      <c r="AG824" s="164"/>
      <c r="AH824" s="164"/>
      <c r="AI824" s="164"/>
    </row>
    <row r="825" spans="24:35">
      <c r="X825" s="164"/>
      <c r="Y825" s="164"/>
      <c r="Z825" s="164"/>
      <c r="AA825" s="164"/>
      <c r="AB825" s="164"/>
      <c r="AC825" s="164"/>
      <c r="AD825" s="164"/>
      <c r="AE825" s="164"/>
      <c r="AF825" s="164"/>
      <c r="AG825" s="164"/>
      <c r="AH825" s="164"/>
      <c r="AI825" s="164"/>
    </row>
    <row r="826" spans="24:35">
      <c r="X826" s="164"/>
      <c r="Y826" s="164"/>
      <c r="Z826" s="164"/>
      <c r="AA826" s="164"/>
      <c r="AB826" s="164"/>
      <c r="AC826" s="164"/>
      <c r="AD826" s="164"/>
      <c r="AE826" s="164"/>
      <c r="AF826" s="164"/>
      <c r="AG826" s="164"/>
      <c r="AH826" s="164"/>
      <c r="AI826" s="164"/>
    </row>
    <row r="827" spans="24:35">
      <c r="X827" s="164"/>
      <c r="Y827" s="164"/>
      <c r="Z827" s="164"/>
      <c r="AA827" s="164"/>
      <c r="AB827" s="164"/>
      <c r="AC827" s="164"/>
      <c r="AD827" s="164"/>
      <c r="AE827" s="164"/>
      <c r="AF827" s="164"/>
      <c r="AG827" s="164"/>
      <c r="AH827" s="164"/>
      <c r="AI827" s="164"/>
    </row>
    <row r="828" spans="24:35">
      <c r="X828" s="164"/>
      <c r="Y828" s="164"/>
      <c r="Z828" s="164"/>
      <c r="AA828" s="164"/>
      <c r="AB828" s="164"/>
      <c r="AC828" s="164"/>
      <c r="AD828" s="164"/>
      <c r="AE828" s="164"/>
      <c r="AF828" s="164"/>
      <c r="AG828" s="164"/>
      <c r="AH828" s="164"/>
      <c r="AI828" s="164"/>
    </row>
    <row r="829" spans="24:35">
      <c r="X829" s="164"/>
      <c r="Y829" s="164"/>
      <c r="Z829" s="164"/>
      <c r="AA829" s="164"/>
      <c r="AB829" s="164"/>
      <c r="AC829" s="164"/>
      <c r="AD829" s="164"/>
      <c r="AE829" s="164"/>
      <c r="AF829" s="164"/>
      <c r="AG829" s="164"/>
      <c r="AH829" s="164"/>
      <c r="AI829" s="164"/>
    </row>
    <row r="830" spans="24:35">
      <c r="X830" s="164"/>
      <c r="Y830" s="164"/>
      <c r="Z830" s="164"/>
      <c r="AA830" s="164"/>
      <c r="AB830" s="164"/>
      <c r="AC830" s="164"/>
      <c r="AD830" s="164"/>
      <c r="AE830" s="164"/>
      <c r="AF830" s="164"/>
      <c r="AG830" s="164"/>
      <c r="AH830" s="164"/>
      <c r="AI830" s="164"/>
    </row>
    <row r="831" spans="24:35">
      <c r="X831" s="164"/>
      <c r="Y831" s="164"/>
      <c r="Z831" s="164"/>
      <c r="AA831" s="164"/>
      <c r="AB831" s="164"/>
      <c r="AC831" s="164"/>
      <c r="AD831" s="164"/>
      <c r="AE831" s="164"/>
      <c r="AF831" s="164"/>
      <c r="AG831" s="164"/>
      <c r="AH831" s="164"/>
      <c r="AI831" s="164"/>
    </row>
    <row r="832" spans="24:35">
      <c r="X832" s="164"/>
      <c r="Y832" s="164"/>
      <c r="Z832" s="164"/>
      <c r="AA832" s="164"/>
      <c r="AB832" s="164"/>
      <c r="AC832" s="164"/>
      <c r="AD832" s="164"/>
      <c r="AE832" s="164"/>
      <c r="AF832" s="164"/>
      <c r="AG832" s="164"/>
      <c r="AH832" s="164"/>
      <c r="AI832" s="164"/>
    </row>
    <row r="833" spans="24:35">
      <c r="X833" s="164"/>
      <c r="Y833" s="164"/>
      <c r="Z833" s="164"/>
      <c r="AA833" s="164"/>
      <c r="AB833" s="164"/>
      <c r="AC833" s="164"/>
      <c r="AD833" s="164"/>
      <c r="AE833" s="164"/>
      <c r="AF833" s="164"/>
      <c r="AG833" s="164"/>
      <c r="AH833" s="164"/>
      <c r="AI833" s="164"/>
    </row>
    <row r="834" spans="24:35">
      <c r="X834" s="164"/>
      <c r="Y834" s="164"/>
      <c r="Z834" s="164"/>
      <c r="AA834" s="164"/>
      <c r="AB834" s="164"/>
      <c r="AC834" s="164"/>
      <c r="AD834" s="164"/>
      <c r="AE834" s="164"/>
      <c r="AF834" s="164"/>
      <c r="AG834" s="164"/>
      <c r="AH834" s="164"/>
      <c r="AI834" s="164"/>
    </row>
    <row r="835" spans="24:35">
      <c r="X835" s="164"/>
      <c r="Y835" s="164"/>
      <c r="Z835" s="164"/>
      <c r="AA835" s="164"/>
      <c r="AB835" s="164"/>
      <c r="AC835" s="164"/>
      <c r="AD835" s="164"/>
      <c r="AE835" s="164"/>
      <c r="AF835" s="164"/>
      <c r="AG835" s="164"/>
      <c r="AH835" s="164"/>
      <c r="AI835" s="164"/>
    </row>
    <row r="836" spans="24:35">
      <c r="X836" s="164"/>
      <c r="Y836" s="164"/>
      <c r="Z836" s="164"/>
      <c r="AA836" s="164"/>
      <c r="AB836" s="164"/>
      <c r="AC836" s="164"/>
      <c r="AD836" s="164"/>
      <c r="AE836" s="164"/>
      <c r="AF836" s="164"/>
      <c r="AG836" s="164"/>
      <c r="AH836" s="164"/>
      <c r="AI836" s="164"/>
    </row>
    <row r="837" spans="24:35">
      <c r="X837" s="164"/>
      <c r="Y837" s="164"/>
      <c r="Z837" s="164"/>
      <c r="AA837" s="164"/>
      <c r="AB837" s="164"/>
      <c r="AC837" s="164"/>
      <c r="AD837" s="164"/>
      <c r="AE837" s="164"/>
      <c r="AF837" s="164"/>
      <c r="AG837" s="164"/>
      <c r="AH837" s="164"/>
      <c r="AI837" s="164"/>
    </row>
    <row r="838" spans="24:35">
      <c r="X838" s="164"/>
      <c r="Y838" s="164"/>
      <c r="Z838" s="164"/>
      <c r="AA838" s="164"/>
      <c r="AB838" s="164"/>
      <c r="AC838" s="164"/>
      <c r="AD838" s="164"/>
      <c r="AE838" s="164"/>
      <c r="AF838" s="164"/>
      <c r="AG838" s="164"/>
      <c r="AH838" s="164"/>
      <c r="AI838" s="164"/>
    </row>
    <row r="839" spans="24:35">
      <c r="X839" s="164"/>
      <c r="Y839" s="164"/>
      <c r="Z839" s="164"/>
      <c r="AA839" s="164"/>
      <c r="AB839" s="164"/>
      <c r="AC839" s="164"/>
      <c r="AD839" s="164"/>
      <c r="AE839" s="164"/>
      <c r="AF839" s="164"/>
      <c r="AG839" s="164"/>
      <c r="AH839" s="164"/>
      <c r="AI839" s="164"/>
    </row>
    <row r="840" spans="24:35">
      <c r="X840" s="164"/>
      <c r="Y840" s="164"/>
      <c r="Z840" s="164"/>
      <c r="AA840" s="164"/>
      <c r="AB840" s="164"/>
      <c r="AC840" s="164"/>
      <c r="AD840" s="164"/>
      <c r="AE840" s="164"/>
      <c r="AF840" s="164"/>
      <c r="AG840" s="164"/>
      <c r="AH840" s="164"/>
      <c r="AI840" s="164"/>
    </row>
    <row r="841" spans="24:35">
      <c r="X841" s="164"/>
      <c r="Y841" s="164"/>
      <c r="Z841" s="164"/>
      <c r="AA841" s="164"/>
      <c r="AB841" s="164"/>
      <c r="AC841" s="164"/>
      <c r="AD841" s="164"/>
      <c r="AE841" s="164"/>
      <c r="AF841" s="164"/>
      <c r="AG841" s="164"/>
      <c r="AH841" s="164"/>
      <c r="AI841" s="164"/>
    </row>
    <row r="842" spans="24:35">
      <c r="X842" s="164"/>
      <c r="Y842" s="164"/>
      <c r="Z842" s="164"/>
      <c r="AA842" s="164"/>
      <c r="AB842" s="164"/>
      <c r="AC842" s="164"/>
      <c r="AD842" s="164"/>
      <c r="AE842" s="164"/>
      <c r="AF842" s="164"/>
      <c r="AG842" s="164"/>
      <c r="AH842" s="164"/>
      <c r="AI842" s="164"/>
    </row>
    <row r="843" spans="24:35">
      <c r="X843" s="164"/>
      <c r="Y843" s="164"/>
      <c r="Z843" s="164"/>
      <c r="AA843" s="164"/>
      <c r="AB843" s="164"/>
      <c r="AC843" s="164"/>
      <c r="AD843" s="164"/>
      <c r="AE843" s="164"/>
      <c r="AF843" s="164"/>
      <c r="AG843" s="164"/>
      <c r="AH843" s="164"/>
      <c r="AI843" s="164"/>
    </row>
    <row r="844" spans="24:35">
      <c r="X844" s="164"/>
      <c r="Y844" s="164"/>
      <c r="Z844" s="164"/>
      <c r="AA844" s="164"/>
      <c r="AB844" s="164"/>
      <c r="AC844" s="164"/>
      <c r="AD844" s="164"/>
      <c r="AE844" s="164"/>
      <c r="AF844" s="164"/>
      <c r="AG844" s="164"/>
      <c r="AH844" s="164"/>
      <c r="AI844" s="164"/>
    </row>
    <row r="845" spans="24:35">
      <c r="X845" s="164"/>
      <c r="Y845" s="164"/>
      <c r="Z845" s="164"/>
      <c r="AA845" s="164"/>
      <c r="AB845" s="164"/>
      <c r="AC845" s="164"/>
      <c r="AD845" s="164"/>
      <c r="AE845" s="164"/>
      <c r="AF845" s="164"/>
      <c r="AG845" s="164"/>
      <c r="AH845" s="164"/>
      <c r="AI845" s="164"/>
    </row>
    <row r="846" spans="24:35">
      <c r="X846" s="164"/>
      <c r="Y846" s="164"/>
      <c r="Z846" s="164"/>
      <c r="AA846" s="164"/>
      <c r="AB846" s="164"/>
      <c r="AC846" s="164"/>
      <c r="AD846" s="164"/>
      <c r="AE846" s="164"/>
      <c r="AF846" s="164"/>
      <c r="AG846" s="164"/>
      <c r="AH846" s="164"/>
      <c r="AI846" s="164"/>
    </row>
    <row r="847" spans="24:35">
      <c r="X847" s="164"/>
      <c r="Y847" s="164"/>
      <c r="Z847" s="164"/>
      <c r="AA847" s="164"/>
      <c r="AB847" s="164"/>
      <c r="AC847" s="164"/>
      <c r="AD847" s="164"/>
      <c r="AE847" s="164"/>
      <c r="AF847" s="164"/>
      <c r="AG847" s="164"/>
      <c r="AH847" s="164"/>
      <c r="AI847" s="164"/>
    </row>
    <row r="848" spans="24:35">
      <c r="X848" s="164"/>
      <c r="Y848" s="164"/>
      <c r="Z848" s="164"/>
      <c r="AA848" s="164"/>
      <c r="AB848" s="164"/>
      <c r="AC848" s="164"/>
      <c r="AD848" s="164"/>
      <c r="AE848" s="164"/>
      <c r="AF848" s="164"/>
      <c r="AG848" s="164"/>
      <c r="AH848" s="164"/>
      <c r="AI848" s="164"/>
    </row>
    <row r="849" spans="24:35">
      <c r="X849" s="164"/>
      <c r="Y849" s="164"/>
      <c r="Z849" s="164"/>
      <c r="AA849" s="164"/>
      <c r="AB849" s="164"/>
      <c r="AC849" s="164"/>
      <c r="AD849" s="164"/>
      <c r="AE849" s="164"/>
      <c r="AF849" s="164"/>
      <c r="AG849" s="164"/>
      <c r="AH849" s="164"/>
      <c r="AI849" s="164"/>
    </row>
    <row r="850" spans="24:35">
      <c r="X850" s="164"/>
      <c r="Y850" s="164"/>
      <c r="Z850" s="164"/>
      <c r="AA850" s="164"/>
      <c r="AB850" s="164"/>
      <c r="AC850" s="164"/>
      <c r="AD850" s="164"/>
      <c r="AE850" s="164"/>
      <c r="AF850" s="164"/>
      <c r="AG850" s="164"/>
      <c r="AH850" s="164"/>
      <c r="AI850" s="164"/>
    </row>
    <row r="851" spans="24:35">
      <c r="X851" s="164"/>
      <c r="Y851" s="164"/>
      <c r="Z851" s="164"/>
      <c r="AA851" s="164"/>
      <c r="AB851" s="164"/>
      <c r="AC851" s="164"/>
      <c r="AD851" s="164"/>
      <c r="AE851" s="164"/>
      <c r="AF851" s="164"/>
      <c r="AG851" s="164"/>
      <c r="AH851" s="164"/>
      <c r="AI851" s="164"/>
    </row>
    <row r="852" spans="24:35">
      <c r="X852" s="164"/>
      <c r="Y852" s="164"/>
      <c r="Z852" s="164"/>
      <c r="AA852" s="164"/>
      <c r="AB852" s="164"/>
      <c r="AC852" s="164"/>
      <c r="AD852" s="164"/>
      <c r="AE852" s="164"/>
      <c r="AF852" s="164"/>
      <c r="AG852" s="164"/>
      <c r="AH852" s="164"/>
      <c r="AI852" s="164"/>
    </row>
    <row r="853" spans="24:35">
      <c r="X853" s="164"/>
      <c r="Y853" s="164"/>
      <c r="Z853" s="164"/>
      <c r="AA853" s="164"/>
      <c r="AB853" s="164"/>
      <c r="AC853" s="164"/>
      <c r="AD853" s="164"/>
      <c r="AE853" s="164"/>
      <c r="AF853" s="164"/>
      <c r="AG853" s="164"/>
      <c r="AH853" s="164"/>
      <c r="AI853" s="164"/>
    </row>
    <row r="854" spans="24:35">
      <c r="X854" s="164"/>
      <c r="Y854" s="164"/>
      <c r="Z854" s="164"/>
      <c r="AA854" s="164"/>
      <c r="AB854" s="164"/>
      <c r="AC854" s="164"/>
      <c r="AD854" s="164"/>
      <c r="AE854" s="164"/>
      <c r="AF854" s="164"/>
      <c r="AG854" s="164"/>
      <c r="AH854" s="164"/>
      <c r="AI854" s="164"/>
    </row>
    <row r="855" spans="24:35">
      <c r="X855" s="164"/>
      <c r="Y855" s="164"/>
      <c r="Z855" s="164"/>
      <c r="AA855" s="164"/>
      <c r="AB855" s="164"/>
      <c r="AC855" s="164"/>
      <c r="AD855" s="164"/>
      <c r="AE855" s="164"/>
      <c r="AF855" s="164"/>
      <c r="AG855" s="164"/>
      <c r="AH855" s="164"/>
      <c r="AI855" s="164"/>
    </row>
    <row r="856" spans="24:35">
      <c r="X856" s="164"/>
      <c r="Y856" s="164"/>
      <c r="Z856" s="164"/>
      <c r="AA856" s="164"/>
      <c r="AB856" s="164"/>
      <c r="AC856" s="164"/>
      <c r="AD856" s="164"/>
      <c r="AE856" s="164"/>
      <c r="AF856" s="164"/>
      <c r="AG856" s="164"/>
      <c r="AH856" s="164"/>
      <c r="AI856" s="164"/>
    </row>
    <row r="857" spans="24:35">
      <c r="X857" s="164"/>
      <c r="Y857" s="164"/>
      <c r="Z857" s="164"/>
      <c r="AA857" s="164"/>
      <c r="AB857" s="164"/>
      <c r="AC857" s="164"/>
      <c r="AD857" s="164"/>
      <c r="AE857" s="164"/>
      <c r="AF857" s="164"/>
      <c r="AG857" s="164"/>
      <c r="AH857" s="164"/>
      <c r="AI857" s="164"/>
    </row>
    <row r="858" spans="24:35">
      <c r="X858" s="164"/>
      <c r="Y858" s="164"/>
      <c r="Z858" s="164"/>
      <c r="AA858" s="164"/>
      <c r="AB858" s="164"/>
      <c r="AC858" s="164"/>
      <c r="AD858" s="164"/>
      <c r="AE858" s="164"/>
      <c r="AF858" s="164"/>
      <c r="AG858" s="164"/>
      <c r="AH858" s="164"/>
      <c r="AI858" s="164"/>
    </row>
    <row r="859" spans="24:35">
      <c r="X859" s="164"/>
      <c r="Y859" s="164"/>
      <c r="Z859" s="164"/>
      <c r="AA859" s="164"/>
      <c r="AB859" s="164"/>
      <c r="AC859" s="164"/>
      <c r="AD859" s="164"/>
      <c r="AE859" s="164"/>
      <c r="AF859" s="164"/>
      <c r="AG859" s="164"/>
      <c r="AH859" s="164"/>
      <c r="AI859" s="164"/>
    </row>
    <row r="860" spans="24:35">
      <c r="X860" s="164"/>
      <c r="Y860" s="164"/>
      <c r="Z860" s="164"/>
      <c r="AA860" s="164"/>
      <c r="AB860" s="164"/>
      <c r="AC860" s="164"/>
      <c r="AD860" s="164"/>
      <c r="AE860" s="164"/>
      <c r="AF860" s="164"/>
      <c r="AG860" s="164"/>
      <c r="AH860" s="164"/>
      <c r="AI860" s="164"/>
    </row>
    <row r="861" spans="24:35">
      <c r="X861" s="164"/>
      <c r="Y861" s="164"/>
      <c r="Z861" s="164"/>
      <c r="AA861" s="164"/>
      <c r="AB861" s="164"/>
      <c r="AC861" s="164"/>
      <c r="AD861" s="164"/>
      <c r="AE861" s="164"/>
      <c r="AF861" s="164"/>
      <c r="AG861" s="164"/>
      <c r="AH861" s="164"/>
      <c r="AI861" s="164"/>
    </row>
    <row r="862" spans="24:35">
      <c r="X862" s="164"/>
      <c r="Y862" s="164"/>
      <c r="Z862" s="164"/>
      <c r="AA862" s="164"/>
      <c r="AB862" s="164"/>
      <c r="AC862" s="164"/>
      <c r="AD862" s="164"/>
      <c r="AE862" s="164"/>
      <c r="AF862" s="164"/>
      <c r="AG862" s="164"/>
      <c r="AH862" s="164"/>
      <c r="AI862" s="164"/>
    </row>
    <row r="863" spans="24:35">
      <c r="X863" s="164"/>
      <c r="Y863" s="164"/>
      <c r="Z863" s="164"/>
      <c r="AA863" s="164"/>
      <c r="AB863" s="164"/>
      <c r="AC863" s="164"/>
      <c r="AD863" s="164"/>
      <c r="AE863" s="164"/>
      <c r="AF863" s="164"/>
      <c r="AG863" s="164"/>
      <c r="AH863" s="164"/>
      <c r="AI863" s="164"/>
    </row>
    <row r="864" spans="24:35">
      <c r="X864" s="164"/>
      <c r="Y864" s="164"/>
      <c r="Z864" s="164"/>
      <c r="AA864" s="164"/>
      <c r="AB864" s="164"/>
      <c r="AC864" s="164"/>
      <c r="AD864" s="164"/>
      <c r="AE864" s="164"/>
      <c r="AF864" s="164"/>
      <c r="AG864" s="164"/>
      <c r="AH864" s="164"/>
      <c r="AI864" s="164"/>
    </row>
    <row r="865" spans="24:35">
      <c r="X865" s="164"/>
      <c r="Y865" s="164"/>
      <c r="Z865" s="164"/>
      <c r="AA865" s="164"/>
      <c r="AB865" s="164"/>
      <c r="AC865" s="164"/>
      <c r="AD865" s="164"/>
      <c r="AE865" s="164"/>
      <c r="AF865" s="164"/>
      <c r="AG865" s="164"/>
      <c r="AH865" s="164"/>
      <c r="AI865" s="164"/>
    </row>
    <row r="866" spans="24:35">
      <c r="X866" s="164"/>
      <c r="Y866" s="164"/>
      <c r="Z866" s="164"/>
      <c r="AA866" s="164"/>
      <c r="AB866" s="164"/>
      <c r="AC866" s="164"/>
      <c r="AD866" s="164"/>
      <c r="AE866" s="164"/>
      <c r="AF866" s="164"/>
      <c r="AG866" s="164"/>
      <c r="AH866" s="164"/>
      <c r="AI866" s="164"/>
    </row>
    <row r="867" spans="24:35">
      <c r="X867" s="164"/>
      <c r="Y867" s="164"/>
      <c r="Z867" s="164"/>
      <c r="AA867" s="164"/>
      <c r="AB867" s="164"/>
      <c r="AC867" s="164"/>
      <c r="AD867" s="164"/>
      <c r="AE867" s="164"/>
      <c r="AF867" s="164"/>
      <c r="AG867" s="164"/>
      <c r="AH867" s="164"/>
      <c r="AI867" s="164"/>
    </row>
    <row r="868" spans="24:35">
      <c r="X868" s="164"/>
      <c r="Y868" s="164"/>
      <c r="Z868" s="164"/>
      <c r="AA868" s="164"/>
      <c r="AB868" s="164"/>
      <c r="AC868" s="164"/>
      <c r="AD868" s="164"/>
      <c r="AE868" s="164"/>
      <c r="AF868" s="164"/>
      <c r="AG868" s="164"/>
      <c r="AH868" s="164"/>
      <c r="AI868" s="164"/>
    </row>
    <row r="869" spans="24:35">
      <c r="X869" s="164"/>
      <c r="Y869" s="164"/>
      <c r="Z869" s="164"/>
      <c r="AA869" s="164"/>
      <c r="AB869" s="164"/>
      <c r="AC869" s="164"/>
      <c r="AD869" s="164"/>
      <c r="AE869" s="164"/>
      <c r="AF869" s="164"/>
      <c r="AG869" s="164"/>
      <c r="AH869" s="164"/>
      <c r="AI869" s="164"/>
    </row>
    <row r="870" spans="24:35">
      <c r="X870" s="164"/>
      <c r="Y870" s="164"/>
      <c r="Z870" s="164"/>
      <c r="AA870" s="164"/>
      <c r="AB870" s="164"/>
      <c r="AC870" s="164"/>
      <c r="AD870" s="164"/>
      <c r="AE870" s="164"/>
      <c r="AF870" s="164"/>
      <c r="AG870" s="164"/>
      <c r="AH870" s="164"/>
      <c r="AI870" s="164"/>
    </row>
    <row r="871" spans="24:35">
      <c r="X871" s="164"/>
      <c r="Y871" s="164"/>
      <c r="Z871" s="164"/>
      <c r="AA871" s="164"/>
      <c r="AB871" s="164"/>
      <c r="AC871" s="164"/>
      <c r="AD871" s="164"/>
      <c r="AE871" s="164"/>
      <c r="AF871" s="164"/>
      <c r="AG871" s="164"/>
      <c r="AH871" s="164"/>
      <c r="AI871" s="164"/>
    </row>
    <row r="872" spans="24:35">
      <c r="X872" s="164"/>
      <c r="Y872" s="164"/>
      <c r="Z872" s="164"/>
      <c r="AA872" s="164"/>
      <c r="AB872" s="164"/>
      <c r="AC872" s="164"/>
      <c r="AD872" s="164"/>
      <c r="AE872" s="164"/>
      <c r="AF872" s="164"/>
      <c r="AG872" s="164"/>
      <c r="AH872" s="164"/>
      <c r="AI872" s="164"/>
    </row>
    <row r="873" spans="24:35">
      <c r="X873" s="164"/>
      <c r="Y873" s="164"/>
      <c r="Z873" s="164"/>
      <c r="AA873" s="164"/>
      <c r="AB873" s="164"/>
      <c r="AC873" s="164"/>
      <c r="AD873" s="164"/>
      <c r="AE873" s="164"/>
      <c r="AF873" s="164"/>
      <c r="AG873" s="164"/>
      <c r="AH873" s="164"/>
      <c r="AI873" s="164"/>
    </row>
    <row r="874" spans="24:35">
      <c r="X874" s="164"/>
      <c r="Y874" s="164"/>
      <c r="Z874" s="164"/>
      <c r="AA874" s="164"/>
      <c r="AB874" s="164"/>
      <c r="AC874" s="164"/>
      <c r="AD874" s="164"/>
      <c r="AE874" s="164"/>
      <c r="AF874" s="164"/>
      <c r="AG874" s="164"/>
      <c r="AH874" s="164"/>
      <c r="AI874" s="164"/>
    </row>
    <row r="875" spans="24:35">
      <c r="X875" s="164"/>
      <c r="Y875" s="164"/>
      <c r="Z875" s="164"/>
      <c r="AA875" s="164"/>
      <c r="AB875" s="164"/>
      <c r="AC875" s="164"/>
      <c r="AD875" s="164"/>
      <c r="AE875" s="164"/>
      <c r="AF875" s="164"/>
      <c r="AG875" s="164"/>
      <c r="AH875" s="164"/>
      <c r="AI875" s="164"/>
    </row>
    <row r="876" spans="24:35">
      <c r="X876" s="164"/>
      <c r="Y876" s="164"/>
      <c r="Z876" s="164"/>
      <c r="AA876" s="164"/>
      <c r="AB876" s="164"/>
      <c r="AC876" s="164"/>
      <c r="AD876" s="164"/>
      <c r="AE876" s="164"/>
      <c r="AF876" s="164"/>
      <c r="AG876" s="164"/>
      <c r="AH876" s="164"/>
      <c r="AI876" s="164"/>
    </row>
    <row r="877" spans="24:35">
      <c r="X877" s="164"/>
      <c r="Y877" s="164"/>
      <c r="Z877" s="164"/>
      <c r="AA877" s="164"/>
      <c r="AB877" s="164"/>
      <c r="AC877" s="164"/>
      <c r="AD877" s="164"/>
      <c r="AE877" s="164"/>
      <c r="AF877" s="164"/>
      <c r="AG877" s="164"/>
      <c r="AH877" s="164"/>
      <c r="AI877" s="164"/>
    </row>
    <row r="878" spans="24:35">
      <c r="X878" s="164"/>
      <c r="Y878" s="164"/>
      <c r="Z878" s="164"/>
      <c r="AA878" s="164"/>
      <c r="AB878" s="164"/>
      <c r="AC878" s="164"/>
      <c r="AD878" s="164"/>
      <c r="AE878" s="164"/>
      <c r="AF878" s="164"/>
      <c r="AG878" s="164"/>
      <c r="AH878" s="164"/>
      <c r="AI878" s="164"/>
    </row>
    <row r="879" spans="24:35">
      <c r="X879" s="164"/>
      <c r="Y879" s="164"/>
      <c r="Z879" s="164"/>
      <c r="AA879" s="164"/>
      <c r="AB879" s="164"/>
      <c r="AC879" s="164"/>
      <c r="AD879" s="164"/>
      <c r="AE879" s="164"/>
      <c r="AF879" s="164"/>
      <c r="AG879" s="164"/>
      <c r="AH879" s="164"/>
      <c r="AI879" s="164"/>
    </row>
    <row r="880" spans="24:35">
      <c r="X880" s="164"/>
      <c r="Y880" s="164"/>
      <c r="Z880" s="164"/>
      <c r="AA880" s="164"/>
      <c r="AB880" s="164"/>
      <c r="AC880" s="164"/>
      <c r="AD880" s="164"/>
      <c r="AE880" s="164"/>
      <c r="AF880" s="164"/>
      <c r="AG880" s="164"/>
      <c r="AH880" s="164"/>
      <c r="AI880" s="164"/>
    </row>
    <row r="881" spans="24:35">
      <c r="X881" s="164"/>
      <c r="Y881" s="164"/>
      <c r="Z881" s="164"/>
      <c r="AA881" s="164"/>
      <c r="AB881" s="164"/>
      <c r="AC881" s="164"/>
      <c r="AD881" s="164"/>
      <c r="AE881" s="164"/>
      <c r="AF881" s="164"/>
      <c r="AG881" s="164"/>
      <c r="AH881" s="164"/>
      <c r="AI881" s="164"/>
    </row>
    <row r="882" spans="24:35">
      <c r="X882" s="164"/>
      <c r="Y882" s="164"/>
      <c r="Z882" s="164"/>
      <c r="AA882" s="164"/>
      <c r="AB882" s="164"/>
      <c r="AC882" s="164"/>
      <c r="AD882" s="164"/>
      <c r="AE882" s="164"/>
      <c r="AF882" s="164"/>
      <c r="AG882" s="164"/>
      <c r="AH882" s="164"/>
      <c r="AI882" s="164"/>
    </row>
    <row r="883" spans="24:35">
      <c r="X883" s="164"/>
      <c r="Y883" s="164"/>
      <c r="Z883" s="164"/>
      <c r="AA883" s="164"/>
      <c r="AB883" s="164"/>
      <c r="AC883" s="164"/>
      <c r="AD883" s="164"/>
      <c r="AE883" s="164"/>
      <c r="AF883" s="164"/>
      <c r="AG883" s="164"/>
      <c r="AH883" s="164"/>
      <c r="AI883" s="164"/>
    </row>
    <row r="884" spans="24:35">
      <c r="X884" s="164"/>
      <c r="Y884" s="164"/>
      <c r="Z884" s="164"/>
      <c r="AA884" s="164"/>
      <c r="AB884" s="164"/>
      <c r="AC884" s="164"/>
      <c r="AD884" s="164"/>
      <c r="AE884" s="164"/>
      <c r="AF884" s="164"/>
      <c r="AG884" s="164"/>
      <c r="AH884" s="164"/>
      <c r="AI884" s="164"/>
    </row>
    <row r="885" spans="24:35">
      <c r="X885" s="164"/>
      <c r="Y885" s="164"/>
      <c r="Z885" s="164"/>
      <c r="AA885" s="164"/>
      <c r="AB885" s="164"/>
      <c r="AC885" s="164"/>
      <c r="AD885" s="164"/>
      <c r="AE885" s="164"/>
      <c r="AF885" s="164"/>
      <c r="AG885" s="164"/>
      <c r="AH885" s="164"/>
      <c r="AI885" s="164"/>
    </row>
    <row r="886" spans="24:35">
      <c r="X886" s="164"/>
      <c r="Y886" s="164"/>
      <c r="Z886" s="164"/>
      <c r="AA886" s="164"/>
      <c r="AB886" s="164"/>
      <c r="AC886" s="164"/>
      <c r="AD886" s="164"/>
      <c r="AE886" s="164"/>
      <c r="AF886" s="164"/>
      <c r="AG886" s="164"/>
      <c r="AH886" s="164"/>
      <c r="AI886" s="164"/>
    </row>
    <row r="887" spans="24:35">
      <c r="X887" s="164"/>
      <c r="Y887" s="164"/>
      <c r="Z887" s="164"/>
      <c r="AA887" s="164"/>
      <c r="AB887" s="164"/>
      <c r="AC887" s="164"/>
      <c r="AD887" s="164"/>
      <c r="AE887" s="164"/>
      <c r="AF887" s="164"/>
      <c r="AG887" s="164"/>
      <c r="AH887" s="164"/>
      <c r="AI887" s="164"/>
    </row>
    <row r="888" spans="24:35">
      <c r="X888" s="164"/>
      <c r="Y888" s="164"/>
      <c r="Z888" s="164"/>
      <c r="AA888" s="164"/>
      <c r="AB888" s="164"/>
      <c r="AC888" s="164"/>
      <c r="AD888" s="164"/>
      <c r="AE888" s="164"/>
      <c r="AF888" s="164"/>
      <c r="AG888" s="164"/>
      <c r="AH888" s="164"/>
      <c r="AI888" s="164"/>
    </row>
    <row r="889" spans="24:35">
      <c r="X889" s="164"/>
      <c r="Y889" s="164"/>
      <c r="Z889" s="164"/>
      <c r="AA889" s="164"/>
      <c r="AB889" s="164"/>
      <c r="AC889" s="164"/>
      <c r="AD889" s="164"/>
      <c r="AE889" s="164"/>
      <c r="AF889" s="164"/>
      <c r="AG889" s="164"/>
      <c r="AH889" s="164"/>
      <c r="AI889" s="164"/>
    </row>
    <row r="890" spans="24:35">
      <c r="X890" s="164"/>
      <c r="Y890" s="164"/>
      <c r="Z890" s="164"/>
      <c r="AA890" s="164"/>
      <c r="AB890" s="164"/>
      <c r="AC890" s="164"/>
      <c r="AD890" s="164"/>
      <c r="AE890" s="164"/>
      <c r="AF890" s="164"/>
      <c r="AG890" s="164"/>
      <c r="AH890" s="164"/>
      <c r="AI890" s="164"/>
    </row>
    <row r="891" spans="24:35">
      <c r="X891" s="164"/>
      <c r="Y891" s="164"/>
      <c r="Z891" s="164"/>
      <c r="AA891" s="164"/>
      <c r="AB891" s="164"/>
      <c r="AC891" s="164"/>
      <c r="AD891" s="164"/>
      <c r="AE891" s="164"/>
      <c r="AF891" s="164"/>
      <c r="AG891" s="164"/>
      <c r="AH891" s="164"/>
      <c r="AI891" s="164"/>
    </row>
    <row r="892" spans="24:35">
      <c r="X892" s="164"/>
      <c r="Y892" s="164"/>
      <c r="Z892" s="164"/>
      <c r="AA892" s="164"/>
      <c r="AB892" s="164"/>
      <c r="AC892" s="164"/>
      <c r="AD892" s="164"/>
      <c r="AE892" s="164"/>
      <c r="AF892" s="164"/>
      <c r="AG892" s="164"/>
      <c r="AH892" s="164"/>
      <c r="AI892" s="164"/>
    </row>
    <row r="893" spans="24:35">
      <c r="X893" s="164"/>
      <c r="Y893" s="164"/>
      <c r="Z893" s="164"/>
      <c r="AA893" s="164"/>
      <c r="AB893" s="164"/>
      <c r="AC893" s="164"/>
      <c r="AD893" s="164"/>
      <c r="AE893" s="164"/>
      <c r="AF893" s="164"/>
      <c r="AG893" s="164"/>
      <c r="AH893" s="164"/>
      <c r="AI893" s="164"/>
    </row>
    <row r="894" spans="24:35">
      <c r="X894" s="164"/>
      <c r="Y894" s="164"/>
      <c r="Z894" s="164"/>
      <c r="AA894" s="164"/>
      <c r="AB894" s="164"/>
      <c r="AC894" s="164"/>
      <c r="AD894" s="164"/>
      <c r="AE894" s="164"/>
      <c r="AF894" s="164"/>
      <c r="AG894" s="164"/>
      <c r="AH894" s="164"/>
      <c r="AI894" s="164"/>
    </row>
    <row r="895" spans="24:35">
      <c r="X895" s="164"/>
      <c r="Y895" s="164"/>
      <c r="Z895" s="164"/>
      <c r="AA895" s="164"/>
      <c r="AB895" s="164"/>
      <c r="AC895" s="164"/>
      <c r="AD895" s="164"/>
      <c r="AE895" s="164"/>
      <c r="AF895" s="164"/>
      <c r="AG895" s="164"/>
      <c r="AH895" s="164"/>
      <c r="AI895" s="164"/>
    </row>
    <row r="896" spans="24:35">
      <c r="X896" s="164"/>
      <c r="Y896" s="164"/>
      <c r="Z896" s="164"/>
      <c r="AA896" s="164"/>
      <c r="AB896" s="164"/>
      <c r="AC896" s="164"/>
      <c r="AD896" s="164"/>
      <c r="AE896" s="164"/>
      <c r="AF896" s="164"/>
      <c r="AG896" s="164"/>
      <c r="AH896" s="164"/>
      <c r="AI896" s="164"/>
    </row>
    <row r="897" spans="24:35">
      <c r="X897" s="164"/>
      <c r="Y897" s="164"/>
      <c r="Z897" s="164"/>
      <c r="AA897" s="164"/>
      <c r="AB897" s="164"/>
      <c r="AC897" s="164"/>
      <c r="AD897" s="164"/>
      <c r="AE897" s="164"/>
      <c r="AF897" s="164"/>
      <c r="AG897" s="164"/>
      <c r="AH897" s="164"/>
      <c r="AI897" s="164"/>
    </row>
    <row r="898" spans="24:35">
      <c r="X898" s="164"/>
      <c r="Y898" s="164"/>
      <c r="Z898" s="164"/>
      <c r="AA898" s="164"/>
      <c r="AB898" s="164"/>
      <c r="AC898" s="164"/>
      <c r="AD898" s="164"/>
      <c r="AE898" s="164"/>
      <c r="AF898" s="164"/>
      <c r="AG898" s="164"/>
      <c r="AH898" s="164"/>
      <c r="AI898" s="164"/>
    </row>
    <row r="899" spans="24:35">
      <c r="X899" s="164"/>
      <c r="Y899" s="164"/>
      <c r="Z899" s="164"/>
      <c r="AA899" s="164"/>
      <c r="AB899" s="164"/>
      <c r="AC899" s="164"/>
      <c r="AD899" s="164"/>
      <c r="AE899" s="164"/>
      <c r="AF899" s="164"/>
      <c r="AG899" s="164"/>
      <c r="AH899" s="164"/>
      <c r="AI899" s="164"/>
    </row>
    <row r="900" spans="24:35">
      <c r="X900" s="164"/>
      <c r="Y900" s="164"/>
      <c r="Z900" s="164"/>
      <c r="AA900" s="164"/>
      <c r="AB900" s="164"/>
      <c r="AC900" s="164"/>
      <c r="AD900" s="164"/>
      <c r="AE900" s="164"/>
      <c r="AF900" s="164"/>
      <c r="AG900" s="164"/>
      <c r="AH900" s="164"/>
      <c r="AI900" s="164"/>
    </row>
    <row r="901" spans="24:35">
      <c r="X901" s="164"/>
      <c r="Y901" s="164"/>
      <c r="Z901" s="164"/>
      <c r="AA901" s="164"/>
      <c r="AB901" s="164"/>
      <c r="AC901" s="164"/>
      <c r="AD901" s="164"/>
      <c r="AE901" s="164"/>
      <c r="AF901" s="164"/>
      <c r="AG901" s="164"/>
      <c r="AH901" s="164"/>
      <c r="AI901" s="164"/>
    </row>
    <row r="902" spans="24:35">
      <c r="X902" s="164"/>
      <c r="Y902" s="164"/>
      <c r="Z902" s="164"/>
      <c r="AA902" s="164"/>
      <c r="AB902" s="164"/>
      <c r="AC902" s="164"/>
      <c r="AD902" s="164"/>
      <c r="AE902" s="164"/>
      <c r="AF902" s="164"/>
      <c r="AG902" s="164"/>
      <c r="AH902" s="164"/>
      <c r="AI902" s="164"/>
    </row>
    <row r="903" spans="24:35">
      <c r="X903" s="164"/>
      <c r="Y903" s="164"/>
      <c r="Z903" s="164"/>
      <c r="AA903" s="164"/>
      <c r="AB903" s="164"/>
      <c r="AC903" s="164"/>
      <c r="AD903" s="164"/>
      <c r="AE903" s="164"/>
      <c r="AF903" s="164"/>
      <c r="AG903" s="164"/>
      <c r="AH903" s="164"/>
      <c r="AI903" s="164"/>
    </row>
    <row r="904" spans="24:35">
      <c r="X904" s="164"/>
      <c r="Y904" s="164"/>
      <c r="Z904" s="164"/>
      <c r="AA904" s="164"/>
      <c r="AB904" s="164"/>
      <c r="AC904" s="164"/>
      <c r="AD904" s="164"/>
      <c r="AE904" s="164"/>
      <c r="AF904" s="164"/>
      <c r="AG904" s="164"/>
      <c r="AH904" s="164"/>
      <c r="AI904" s="164"/>
    </row>
    <row r="905" spans="24:35">
      <c r="X905" s="164"/>
      <c r="Y905" s="164"/>
      <c r="Z905" s="164"/>
      <c r="AA905" s="164"/>
      <c r="AB905" s="164"/>
      <c r="AC905" s="164"/>
      <c r="AD905" s="164"/>
      <c r="AE905" s="164"/>
      <c r="AF905" s="164"/>
      <c r="AG905" s="164"/>
      <c r="AH905" s="164"/>
      <c r="AI905" s="164"/>
    </row>
    <row r="906" spans="24:35">
      <c r="X906" s="164"/>
      <c r="Y906" s="164"/>
      <c r="Z906" s="164"/>
      <c r="AA906" s="164"/>
      <c r="AB906" s="164"/>
      <c r="AC906" s="164"/>
      <c r="AD906" s="164"/>
      <c r="AE906" s="164"/>
      <c r="AF906" s="164"/>
      <c r="AG906" s="164"/>
      <c r="AH906" s="164"/>
      <c r="AI906" s="164"/>
    </row>
    <row r="907" spans="24:35">
      <c r="X907" s="164"/>
      <c r="Y907" s="164"/>
      <c r="Z907" s="164"/>
      <c r="AA907" s="164"/>
      <c r="AB907" s="164"/>
      <c r="AC907" s="164"/>
      <c r="AD907" s="164"/>
      <c r="AE907" s="164"/>
      <c r="AF907" s="164"/>
      <c r="AG907" s="164"/>
      <c r="AH907" s="164"/>
      <c r="AI907" s="164"/>
    </row>
    <row r="908" spans="24:35">
      <c r="X908" s="164"/>
      <c r="Y908" s="164"/>
      <c r="Z908" s="164"/>
      <c r="AA908" s="164"/>
      <c r="AB908" s="164"/>
      <c r="AC908" s="164"/>
      <c r="AD908" s="164"/>
      <c r="AE908" s="164"/>
      <c r="AF908" s="164"/>
      <c r="AG908" s="164"/>
      <c r="AH908" s="164"/>
      <c r="AI908" s="164"/>
    </row>
    <row r="909" spans="24:35">
      <c r="X909" s="164"/>
      <c r="Y909" s="164"/>
      <c r="Z909" s="164"/>
      <c r="AA909" s="164"/>
      <c r="AB909" s="164"/>
      <c r="AC909" s="164"/>
      <c r="AD909" s="164"/>
      <c r="AE909" s="164"/>
      <c r="AF909" s="164"/>
      <c r="AG909" s="164"/>
      <c r="AH909" s="164"/>
      <c r="AI909" s="164"/>
    </row>
    <row r="910" spans="24:35">
      <c r="X910" s="164"/>
      <c r="Y910" s="164"/>
      <c r="Z910" s="164"/>
      <c r="AA910" s="164"/>
      <c r="AB910" s="164"/>
      <c r="AC910" s="164"/>
      <c r="AD910" s="164"/>
      <c r="AE910" s="164"/>
      <c r="AF910" s="164"/>
      <c r="AG910" s="164"/>
      <c r="AH910" s="164"/>
      <c r="AI910" s="164"/>
    </row>
    <row r="911" spans="24:35">
      <c r="X911" s="164"/>
      <c r="Y911" s="164"/>
      <c r="Z911" s="164"/>
      <c r="AA911" s="164"/>
      <c r="AB911" s="164"/>
      <c r="AC911" s="164"/>
      <c r="AD911" s="164"/>
      <c r="AE911" s="164"/>
      <c r="AF911" s="164"/>
      <c r="AG911" s="164"/>
      <c r="AH911" s="164"/>
      <c r="AI911" s="164"/>
    </row>
    <row r="912" spans="24:35">
      <c r="X912" s="164"/>
      <c r="Y912" s="164"/>
      <c r="Z912" s="164"/>
      <c r="AA912" s="164"/>
      <c r="AB912" s="164"/>
      <c r="AC912" s="164"/>
      <c r="AD912" s="164"/>
      <c r="AE912" s="164"/>
      <c r="AF912" s="164"/>
      <c r="AG912" s="164"/>
      <c r="AH912" s="164"/>
      <c r="AI912" s="164"/>
    </row>
    <row r="913" spans="24:35">
      <c r="X913" s="164"/>
      <c r="Y913" s="164"/>
      <c r="Z913" s="164"/>
      <c r="AA913" s="164"/>
      <c r="AB913" s="164"/>
      <c r="AC913" s="164"/>
      <c r="AD913" s="164"/>
      <c r="AE913" s="164"/>
      <c r="AF913" s="164"/>
      <c r="AG913" s="164"/>
      <c r="AH913" s="164"/>
      <c r="AI913" s="164"/>
    </row>
    <row r="914" spans="24:35">
      <c r="X914" s="164"/>
      <c r="Y914" s="164"/>
      <c r="Z914" s="164"/>
      <c r="AA914" s="164"/>
      <c r="AB914" s="164"/>
      <c r="AC914" s="164"/>
      <c r="AD914" s="164"/>
      <c r="AE914" s="164"/>
      <c r="AF914" s="164"/>
      <c r="AG914" s="164"/>
      <c r="AH914" s="164"/>
      <c r="AI914" s="164"/>
    </row>
    <row r="915" spans="24:35">
      <c r="X915" s="164"/>
      <c r="Y915" s="164"/>
      <c r="Z915" s="164"/>
      <c r="AA915" s="164"/>
      <c r="AB915" s="164"/>
      <c r="AC915" s="164"/>
      <c r="AD915" s="164"/>
      <c r="AE915" s="164"/>
      <c r="AF915" s="164"/>
      <c r="AG915" s="164"/>
      <c r="AH915" s="164"/>
      <c r="AI915" s="164"/>
    </row>
    <row r="916" spans="24:35">
      <c r="X916" s="164"/>
      <c r="Y916" s="164"/>
      <c r="Z916" s="164"/>
      <c r="AA916" s="164"/>
      <c r="AB916" s="164"/>
      <c r="AC916" s="164"/>
      <c r="AD916" s="164"/>
      <c r="AE916" s="164"/>
      <c r="AF916" s="164"/>
      <c r="AG916" s="164"/>
      <c r="AH916" s="164"/>
      <c r="AI916" s="164"/>
    </row>
    <row r="917" spans="24:35">
      <c r="X917" s="164"/>
      <c r="Y917" s="164"/>
      <c r="Z917" s="164"/>
      <c r="AA917" s="164"/>
      <c r="AB917" s="164"/>
      <c r="AC917" s="164"/>
      <c r="AD917" s="164"/>
      <c r="AE917" s="164"/>
      <c r="AF917" s="164"/>
      <c r="AG917" s="164"/>
      <c r="AH917" s="164"/>
      <c r="AI917" s="164"/>
    </row>
    <row r="918" spans="24:35">
      <c r="X918" s="164"/>
      <c r="Y918" s="164"/>
      <c r="Z918" s="164"/>
      <c r="AA918" s="164"/>
      <c r="AB918" s="164"/>
      <c r="AC918" s="164"/>
      <c r="AD918" s="164"/>
      <c r="AE918" s="164"/>
      <c r="AF918" s="164"/>
      <c r="AG918" s="164"/>
      <c r="AH918" s="164"/>
      <c r="AI918" s="164"/>
    </row>
    <row r="919" spans="24:35">
      <c r="X919" s="164"/>
      <c r="Y919" s="164"/>
      <c r="Z919" s="164"/>
      <c r="AA919" s="164"/>
      <c r="AB919" s="164"/>
      <c r="AC919" s="164"/>
      <c r="AD919" s="164"/>
      <c r="AE919" s="164"/>
      <c r="AF919" s="164"/>
      <c r="AG919" s="164"/>
      <c r="AH919" s="164"/>
      <c r="AI919" s="164"/>
    </row>
    <row r="920" spans="24:35">
      <c r="X920" s="164"/>
      <c r="Y920" s="164"/>
      <c r="Z920" s="164"/>
      <c r="AA920" s="164"/>
      <c r="AB920" s="164"/>
      <c r="AC920" s="164"/>
      <c r="AD920" s="164"/>
      <c r="AE920" s="164"/>
      <c r="AF920" s="164"/>
      <c r="AG920" s="164"/>
      <c r="AH920" s="164"/>
      <c r="AI920" s="164"/>
    </row>
    <row r="921" spans="24:35">
      <c r="X921" s="164"/>
      <c r="Y921" s="164"/>
      <c r="Z921" s="164"/>
      <c r="AA921" s="164"/>
      <c r="AB921" s="164"/>
      <c r="AC921" s="164"/>
      <c r="AD921" s="164"/>
      <c r="AE921" s="164"/>
      <c r="AF921" s="164"/>
      <c r="AG921" s="164"/>
      <c r="AH921" s="164"/>
      <c r="AI921" s="164"/>
    </row>
    <row r="922" spans="24:35">
      <c r="X922" s="164"/>
      <c r="Y922" s="164"/>
      <c r="Z922" s="164"/>
      <c r="AA922" s="164"/>
      <c r="AB922" s="164"/>
      <c r="AC922" s="164"/>
      <c r="AD922" s="164"/>
      <c r="AE922" s="164"/>
      <c r="AF922" s="164"/>
      <c r="AG922" s="164"/>
      <c r="AH922" s="164"/>
      <c r="AI922" s="164"/>
    </row>
    <row r="923" spans="24:35">
      <c r="X923" s="164"/>
      <c r="Y923" s="164"/>
      <c r="Z923" s="164"/>
      <c r="AA923" s="164"/>
      <c r="AB923" s="164"/>
      <c r="AC923" s="164"/>
      <c r="AD923" s="164"/>
      <c r="AE923" s="164"/>
      <c r="AF923" s="164"/>
      <c r="AG923" s="164"/>
      <c r="AH923" s="164"/>
      <c r="AI923" s="164"/>
    </row>
    <row r="924" spans="24:35">
      <c r="X924" s="164"/>
      <c r="Y924" s="164"/>
      <c r="Z924" s="164"/>
      <c r="AA924" s="164"/>
      <c r="AB924" s="164"/>
      <c r="AC924" s="164"/>
      <c r="AD924" s="164"/>
      <c r="AE924" s="164"/>
      <c r="AF924" s="164"/>
      <c r="AG924" s="164"/>
      <c r="AH924" s="164"/>
      <c r="AI924" s="164"/>
    </row>
    <row r="925" spans="24:35">
      <c r="X925" s="164"/>
      <c r="Y925" s="164"/>
      <c r="Z925" s="164"/>
      <c r="AA925" s="164"/>
      <c r="AB925" s="164"/>
      <c r="AC925" s="164"/>
      <c r="AD925" s="164"/>
      <c r="AE925" s="164"/>
      <c r="AF925" s="164"/>
      <c r="AG925" s="164"/>
      <c r="AH925" s="164"/>
      <c r="AI925" s="164"/>
    </row>
    <row r="926" spans="24:35">
      <c r="X926" s="164"/>
      <c r="Y926" s="164"/>
      <c r="Z926" s="164"/>
      <c r="AA926" s="164"/>
      <c r="AB926" s="164"/>
      <c r="AC926" s="164"/>
      <c r="AD926" s="164"/>
      <c r="AE926" s="164"/>
      <c r="AF926" s="164"/>
      <c r="AG926" s="164"/>
      <c r="AH926" s="164"/>
      <c r="AI926" s="164"/>
    </row>
    <row r="927" spans="24:35">
      <c r="X927" s="164"/>
      <c r="Y927" s="164"/>
      <c r="Z927" s="164"/>
      <c r="AA927" s="164"/>
      <c r="AB927" s="164"/>
      <c r="AC927" s="164"/>
      <c r="AD927" s="164"/>
      <c r="AE927" s="164"/>
      <c r="AF927" s="164"/>
      <c r="AG927" s="164"/>
      <c r="AH927" s="164"/>
      <c r="AI927" s="164"/>
    </row>
    <row r="928" spans="24:35">
      <c r="X928" s="164"/>
      <c r="Y928" s="164"/>
      <c r="Z928" s="164"/>
      <c r="AA928" s="164"/>
      <c r="AB928" s="164"/>
      <c r="AC928" s="164"/>
      <c r="AD928" s="164"/>
      <c r="AE928" s="164"/>
      <c r="AF928" s="164"/>
      <c r="AG928" s="164"/>
      <c r="AH928" s="164"/>
      <c r="AI928" s="164"/>
    </row>
    <row r="929" spans="24:35">
      <c r="X929" s="164"/>
      <c r="Y929" s="164"/>
      <c r="Z929" s="164"/>
      <c r="AA929" s="164"/>
      <c r="AB929" s="164"/>
      <c r="AC929" s="164"/>
      <c r="AD929" s="164"/>
      <c r="AE929" s="164"/>
      <c r="AF929" s="164"/>
      <c r="AG929" s="164"/>
      <c r="AH929" s="164"/>
      <c r="AI929" s="164"/>
    </row>
    <row r="930" spans="24:35">
      <c r="X930" s="164"/>
      <c r="Y930" s="164"/>
      <c r="Z930" s="164"/>
      <c r="AA930" s="164"/>
      <c r="AB930" s="164"/>
      <c r="AC930" s="164"/>
      <c r="AD930" s="164"/>
      <c r="AE930" s="164"/>
      <c r="AF930" s="164"/>
      <c r="AG930" s="164"/>
      <c r="AH930" s="164"/>
      <c r="AI930" s="164"/>
    </row>
    <row r="931" spans="24:35">
      <c r="X931" s="164"/>
      <c r="Y931" s="164"/>
      <c r="Z931" s="164"/>
      <c r="AA931" s="164"/>
      <c r="AB931" s="164"/>
      <c r="AC931" s="164"/>
      <c r="AD931" s="164"/>
      <c r="AE931" s="164"/>
      <c r="AF931" s="164"/>
      <c r="AG931" s="164"/>
      <c r="AH931" s="164"/>
      <c r="AI931" s="164"/>
    </row>
    <row r="932" spans="24:35">
      <c r="X932" s="164"/>
      <c r="Y932" s="164"/>
      <c r="Z932" s="164"/>
      <c r="AA932" s="164"/>
      <c r="AB932" s="164"/>
      <c r="AC932" s="164"/>
      <c r="AD932" s="164"/>
      <c r="AE932" s="164"/>
      <c r="AF932" s="164"/>
      <c r="AG932" s="164"/>
      <c r="AH932" s="164"/>
      <c r="AI932" s="164"/>
    </row>
    <row r="933" spans="24:35">
      <c r="X933" s="164"/>
      <c r="Y933" s="164"/>
      <c r="Z933" s="164"/>
      <c r="AA933" s="164"/>
      <c r="AB933" s="164"/>
      <c r="AC933" s="164"/>
      <c r="AD933" s="164"/>
      <c r="AE933" s="164"/>
      <c r="AF933" s="164"/>
      <c r="AG933" s="164"/>
      <c r="AH933" s="164"/>
      <c r="AI933" s="164"/>
    </row>
    <row r="934" spans="24:35">
      <c r="X934" s="164"/>
      <c r="Y934" s="164"/>
      <c r="Z934" s="164"/>
      <c r="AA934" s="164"/>
      <c r="AB934" s="164"/>
      <c r="AC934" s="164"/>
      <c r="AD934" s="164"/>
      <c r="AE934" s="164"/>
      <c r="AF934" s="164"/>
      <c r="AG934" s="164"/>
      <c r="AH934" s="164"/>
      <c r="AI934" s="164"/>
    </row>
    <row r="935" spans="24:35">
      <c r="X935" s="164"/>
      <c r="Y935" s="164"/>
      <c r="Z935" s="164"/>
      <c r="AA935" s="164"/>
      <c r="AB935" s="164"/>
      <c r="AC935" s="164"/>
      <c r="AD935" s="164"/>
      <c r="AE935" s="164"/>
      <c r="AF935" s="164"/>
      <c r="AG935" s="164"/>
      <c r="AH935" s="164"/>
      <c r="AI935" s="164"/>
    </row>
    <row r="936" spans="24:35">
      <c r="X936" s="164"/>
      <c r="Y936" s="164"/>
      <c r="Z936" s="164"/>
      <c r="AA936" s="164"/>
      <c r="AB936" s="164"/>
      <c r="AC936" s="164"/>
      <c r="AD936" s="164"/>
      <c r="AE936" s="164"/>
      <c r="AF936" s="164"/>
      <c r="AG936" s="164"/>
      <c r="AH936" s="164"/>
      <c r="AI936" s="164"/>
    </row>
    <row r="937" spans="24:35">
      <c r="X937" s="164"/>
      <c r="Y937" s="164"/>
      <c r="Z937" s="164"/>
      <c r="AA937" s="164"/>
      <c r="AB937" s="164"/>
      <c r="AC937" s="164"/>
      <c r="AD937" s="164"/>
      <c r="AE937" s="164"/>
      <c r="AF937" s="164"/>
      <c r="AG937" s="164"/>
      <c r="AH937" s="164"/>
      <c r="AI937" s="164"/>
    </row>
    <row r="938" spans="24:35">
      <c r="X938" s="164"/>
      <c r="Y938" s="164"/>
      <c r="Z938" s="164"/>
      <c r="AA938" s="164"/>
      <c r="AB938" s="164"/>
      <c r="AC938" s="164"/>
      <c r="AD938" s="164"/>
      <c r="AE938" s="164"/>
      <c r="AF938" s="164"/>
      <c r="AG938" s="164"/>
      <c r="AH938" s="164"/>
      <c r="AI938" s="164"/>
    </row>
    <row r="939" spans="24:35">
      <c r="X939" s="164"/>
      <c r="Y939" s="164"/>
      <c r="Z939" s="164"/>
      <c r="AA939" s="164"/>
      <c r="AB939" s="164"/>
      <c r="AC939" s="164"/>
      <c r="AD939" s="164"/>
      <c r="AE939" s="164"/>
      <c r="AF939" s="164"/>
      <c r="AG939" s="164"/>
      <c r="AH939" s="164"/>
      <c r="AI939" s="164"/>
    </row>
    <row r="940" spans="24:35">
      <c r="X940" s="164"/>
      <c r="Y940" s="164"/>
      <c r="Z940" s="164"/>
      <c r="AA940" s="164"/>
      <c r="AB940" s="164"/>
      <c r="AC940" s="164"/>
      <c r="AD940" s="164"/>
      <c r="AE940" s="164"/>
      <c r="AF940" s="164"/>
      <c r="AG940" s="164"/>
      <c r="AH940" s="164"/>
      <c r="AI940" s="164"/>
    </row>
    <row r="941" spans="24:35">
      <c r="X941" s="164"/>
      <c r="Y941" s="164"/>
      <c r="Z941" s="164"/>
      <c r="AA941" s="164"/>
      <c r="AB941" s="164"/>
      <c r="AC941" s="164"/>
      <c r="AD941" s="164"/>
      <c r="AE941" s="164"/>
      <c r="AF941" s="164"/>
      <c r="AG941" s="164"/>
      <c r="AH941" s="164"/>
      <c r="AI941" s="164"/>
    </row>
    <row r="942" spans="24:35">
      <c r="X942" s="164"/>
      <c r="Y942" s="164"/>
      <c r="Z942" s="164"/>
      <c r="AA942" s="164"/>
      <c r="AB942" s="164"/>
      <c r="AC942" s="164"/>
      <c r="AD942" s="164"/>
      <c r="AE942" s="164"/>
      <c r="AF942" s="164"/>
      <c r="AG942" s="164"/>
      <c r="AH942" s="164"/>
      <c r="AI942" s="164"/>
    </row>
    <row r="943" spans="24:35">
      <c r="X943" s="164"/>
      <c r="Y943" s="164"/>
      <c r="Z943" s="164"/>
      <c r="AA943" s="164"/>
      <c r="AB943" s="164"/>
      <c r="AC943" s="164"/>
      <c r="AD943" s="164"/>
      <c r="AE943" s="164"/>
      <c r="AF943" s="164"/>
      <c r="AG943" s="164"/>
      <c r="AH943" s="164"/>
      <c r="AI943" s="164"/>
    </row>
    <row r="944" spans="24:35">
      <c r="X944" s="164"/>
      <c r="Y944" s="164"/>
      <c r="Z944" s="164"/>
      <c r="AA944" s="164"/>
      <c r="AB944" s="164"/>
      <c r="AC944" s="164"/>
      <c r="AD944" s="164"/>
      <c r="AE944" s="164"/>
      <c r="AF944" s="164"/>
      <c r="AG944" s="164"/>
      <c r="AH944" s="164"/>
      <c r="AI944" s="164"/>
    </row>
    <row r="945" spans="24:35">
      <c r="X945" s="164"/>
      <c r="Y945" s="164"/>
      <c r="Z945" s="164"/>
      <c r="AA945" s="164"/>
      <c r="AB945" s="164"/>
      <c r="AC945" s="164"/>
      <c r="AD945" s="164"/>
      <c r="AE945" s="164"/>
      <c r="AF945" s="164"/>
      <c r="AG945" s="164"/>
      <c r="AH945" s="164"/>
      <c r="AI945" s="164"/>
    </row>
    <row r="946" spans="24:35">
      <c r="X946" s="164"/>
      <c r="Y946" s="164"/>
      <c r="Z946" s="164"/>
      <c r="AA946" s="164"/>
      <c r="AB946" s="164"/>
      <c r="AC946" s="164"/>
      <c r="AD946" s="164"/>
      <c r="AE946" s="164"/>
      <c r="AF946" s="164"/>
      <c r="AG946" s="164"/>
      <c r="AH946" s="164"/>
      <c r="AI946" s="164"/>
    </row>
    <row r="947" spans="24:35">
      <c r="X947" s="164"/>
      <c r="Y947" s="164"/>
      <c r="Z947" s="164"/>
      <c r="AA947" s="164"/>
      <c r="AB947" s="164"/>
      <c r="AC947" s="164"/>
      <c r="AD947" s="164"/>
      <c r="AE947" s="164"/>
      <c r="AF947" s="164"/>
      <c r="AG947" s="164"/>
      <c r="AH947" s="164"/>
      <c r="AI947" s="164"/>
    </row>
    <row r="948" spans="24:35">
      <c r="X948" s="164"/>
      <c r="Y948" s="164"/>
      <c r="Z948" s="164"/>
      <c r="AA948" s="164"/>
      <c r="AB948" s="164"/>
      <c r="AC948" s="164"/>
      <c r="AD948" s="164"/>
      <c r="AE948" s="164"/>
      <c r="AF948" s="164"/>
      <c r="AG948" s="164"/>
      <c r="AH948" s="164"/>
      <c r="AI948" s="164"/>
    </row>
    <row r="949" spans="24:35">
      <c r="X949" s="164"/>
      <c r="Y949" s="164"/>
      <c r="Z949" s="164"/>
      <c r="AA949" s="164"/>
      <c r="AB949" s="164"/>
      <c r="AC949" s="164"/>
      <c r="AD949" s="164"/>
      <c r="AE949" s="164"/>
      <c r="AF949" s="164"/>
      <c r="AG949" s="164"/>
      <c r="AH949" s="164"/>
      <c r="AI949" s="164"/>
    </row>
    <row r="950" spans="24:35">
      <c r="X950" s="164"/>
      <c r="Y950" s="164"/>
      <c r="Z950" s="164"/>
      <c r="AA950" s="164"/>
      <c r="AB950" s="164"/>
      <c r="AC950" s="164"/>
      <c r="AD950" s="164"/>
      <c r="AE950" s="164"/>
      <c r="AF950" s="164"/>
      <c r="AG950" s="164"/>
      <c r="AH950" s="164"/>
      <c r="AI950" s="164"/>
    </row>
    <row r="951" spans="24:35">
      <c r="X951" s="164"/>
      <c r="Y951" s="164"/>
      <c r="Z951" s="164"/>
      <c r="AA951" s="164"/>
      <c r="AB951" s="164"/>
      <c r="AC951" s="164"/>
      <c r="AD951" s="164"/>
      <c r="AE951" s="164"/>
      <c r="AF951" s="164"/>
      <c r="AG951" s="164"/>
      <c r="AH951" s="164"/>
      <c r="AI951" s="164"/>
    </row>
    <row r="952" spans="24:35">
      <c r="X952" s="164"/>
      <c r="Y952" s="164"/>
      <c r="Z952" s="164"/>
      <c r="AA952" s="164"/>
      <c r="AB952" s="164"/>
      <c r="AC952" s="164"/>
      <c r="AD952" s="164"/>
      <c r="AE952" s="164"/>
      <c r="AF952" s="164"/>
      <c r="AG952" s="164"/>
      <c r="AH952" s="164"/>
      <c r="AI952" s="164"/>
    </row>
    <row r="953" spans="24:35">
      <c r="X953" s="164"/>
      <c r="Y953" s="164"/>
      <c r="Z953" s="164"/>
      <c r="AA953" s="164"/>
      <c r="AB953" s="164"/>
      <c r="AC953" s="164"/>
      <c r="AD953" s="164"/>
      <c r="AE953" s="164"/>
      <c r="AF953" s="164"/>
      <c r="AG953" s="164"/>
      <c r="AH953" s="164"/>
      <c r="AI953" s="164"/>
    </row>
    <row r="954" spans="24:35">
      <c r="X954" s="164"/>
      <c r="Y954" s="164"/>
      <c r="Z954" s="164"/>
      <c r="AA954" s="164"/>
      <c r="AB954" s="164"/>
      <c r="AC954" s="164"/>
      <c r="AD954" s="164"/>
      <c r="AE954" s="164"/>
      <c r="AF954" s="164"/>
      <c r="AG954" s="164"/>
      <c r="AH954" s="164"/>
      <c r="AI954" s="164"/>
    </row>
    <row r="955" spans="24:35">
      <c r="X955" s="164"/>
      <c r="Y955" s="164"/>
      <c r="Z955" s="164"/>
      <c r="AA955" s="164"/>
      <c r="AB955" s="164"/>
      <c r="AC955" s="164"/>
      <c r="AD955" s="164"/>
      <c r="AE955" s="164"/>
      <c r="AF955" s="164"/>
      <c r="AG955" s="164"/>
      <c r="AH955" s="164"/>
      <c r="AI955" s="164"/>
    </row>
    <row r="956" spans="24:35">
      <c r="X956" s="164"/>
      <c r="Y956" s="164"/>
      <c r="Z956" s="164"/>
      <c r="AA956" s="164"/>
      <c r="AB956" s="164"/>
      <c r="AC956" s="164"/>
      <c r="AD956" s="164"/>
      <c r="AE956" s="164"/>
      <c r="AF956" s="164"/>
      <c r="AG956" s="164"/>
      <c r="AH956" s="164"/>
      <c r="AI956" s="164"/>
    </row>
    <row r="957" spans="24:35">
      <c r="X957" s="164"/>
      <c r="Y957" s="164"/>
      <c r="Z957" s="164"/>
      <c r="AA957" s="164"/>
      <c r="AB957" s="164"/>
      <c r="AC957" s="164"/>
      <c r="AD957" s="164"/>
      <c r="AE957" s="164"/>
      <c r="AF957" s="164"/>
      <c r="AG957" s="164"/>
      <c r="AH957" s="164"/>
      <c r="AI957" s="164"/>
    </row>
    <row r="958" spans="24:35">
      <c r="X958" s="164"/>
      <c r="Y958" s="164"/>
      <c r="Z958" s="164"/>
      <c r="AA958" s="164"/>
      <c r="AB958" s="164"/>
      <c r="AC958" s="164"/>
      <c r="AD958" s="164"/>
      <c r="AE958" s="164"/>
      <c r="AF958" s="164"/>
      <c r="AG958" s="164"/>
      <c r="AH958" s="164"/>
      <c r="AI958" s="164"/>
    </row>
    <row r="959" spans="24:35">
      <c r="X959" s="164"/>
      <c r="Y959" s="164"/>
      <c r="Z959" s="164"/>
      <c r="AA959" s="164"/>
      <c r="AB959" s="164"/>
      <c r="AC959" s="164"/>
      <c r="AD959" s="164"/>
      <c r="AE959" s="164"/>
      <c r="AF959" s="164"/>
      <c r="AG959" s="164"/>
      <c r="AH959" s="164"/>
      <c r="AI959" s="164"/>
    </row>
    <row r="960" spans="24:35">
      <c r="X960" s="164"/>
      <c r="Y960" s="164"/>
      <c r="Z960" s="164"/>
      <c r="AA960" s="164"/>
      <c r="AB960" s="164"/>
      <c r="AC960" s="164"/>
      <c r="AD960" s="164"/>
      <c r="AE960" s="164"/>
      <c r="AF960" s="164"/>
      <c r="AG960" s="164"/>
      <c r="AH960" s="164"/>
      <c r="AI960" s="164"/>
    </row>
    <row r="961" spans="24:35">
      <c r="X961" s="164"/>
      <c r="Y961" s="164"/>
      <c r="Z961" s="164"/>
      <c r="AA961" s="164"/>
      <c r="AB961" s="164"/>
      <c r="AC961" s="164"/>
      <c r="AD961" s="164"/>
      <c r="AE961" s="164"/>
      <c r="AF961" s="164"/>
      <c r="AG961" s="164"/>
      <c r="AH961" s="164"/>
      <c r="AI961" s="164"/>
    </row>
    <row r="962" spans="24:35">
      <c r="X962" s="164"/>
      <c r="Y962" s="164"/>
      <c r="Z962" s="164"/>
      <c r="AA962" s="164"/>
      <c r="AB962" s="164"/>
      <c r="AC962" s="164"/>
      <c r="AD962" s="164"/>
      <c r="AE962" s="164"/>
      <c r="AF962" s="164"/>
      <c r="AG962" s="164"/>
      <c r="AH962" s="164"/>
      <c r="AI962" s="164"/>
    </row>
    <row r="963" spans="24:35">
      <c r="X963" s="164"/>
      <c r="Y963" s="164"/>
      <c r="Z963" s="164"/>
      <c r="AA963" s="164"/>
      <c r="AB963" s="164"/>
      <c r="AC963" s="164"/>
      <c r="AD963" s="164"/>
      <c r="AE963" s="164"/>
      <c r="AF963" s="164"/>
      <c r="AG963" s="164"/>
      <c r="AH963" s="164"/>
      <c r="AI963" s="164"/>
    </row>
    <row r="964" spans="24:35">
      <c r="X964" s="164"/>
      <c r="Y964" s="164"/>
      <c r="Z964" s="164"/>
      <c r="AA964" s="164"/>
      <c r="AB964" s="164"/>
      <c r="AC964" s="164"/>
      <c r="AD964" s="164"/>
      <c r="AE964" s="164"/>
      <c r="AF964" s="164"/>
      <c r="AG964" s="164"/>
      <c r="AH964" s="164"/>
      <c r="AI964" s="164"/>
    </row>
    <row r="965" spans="24:35">
      <c r="X965" s="164"/>
      <c r="Y965" s="164"/>
      <c r="Z965" s="164"/>
      <c r="AA965" s="164"/>
      <c r="AB965" s="164"/>
      <c r="AC965" s="164"/>
      <c r="AD965" s="164"/>
      <c r="AE965" s="164"/>
      <c r="AF965" s="164"/>
      <c r="AG965" s="164"/>
      <c r="AH965" s="164"/>
      <c r="AI965" s="164"/>
    </row>
    <row r="966" spans="24:35">
      <c r="X966" s="164"/>
      <c r="Y966" s="164"/>
      <c r="Z966" s="164"/>
      <c r="AA966" s="164"/>
      <c r="AB966" s="164"/>
      <c r="AC966" s="164"/>
      <c r="AD966" s="164"/>
      <c r="AE966" s="164"/>
      <c r="AF966" s="164"/>
      <c r="AG966" s="164"/>
      <c r="AH966" s="164"/>
      <c r="AI966" s="164"/>
    </row>
    <row r="967" spans="24:35">
      <c r="X967" s="164"/>
      <c r="Y967" s="164"/>
      <c r="Z967" s="164"/>
      <c r="AA967" s="164"/>
      <c r="AB967" s="164"/>
      <c r="AC967" s="164"/>
      <c r="AD967" s="164"/>
      <c r="AE967" s="164"/>
      <c r="AF967" s="164"/>
      <c r="AG967" s="164"/>
      <c r="AH967" s="164"/>
      <c r="AI967" s="164"/>
    </row>
    <row r="968" spans="24:35">
      <c r="X968" s="164"/>
      <c r="Y968" s="164"/>
      <c r="Z968" s="164"/>
      <c r="AA968" s="164"/>
      <c r="AB968" s="164"/>
      <c r="AC968" s="164"/>
      <c r="AD968" s="164"/>
      <c r="AE968" s="164"/>
      <c r="AF968" s="164"/>
      <c r="AG968" s="164"/>
      <c r="AH968" s="164"/>
      <c r="AI968" s="164"/>
    </row>
    <row r="969" spans="24:35">
      <c r="X969" s="164"/>
      <c r="Y969" s="164"/>
      <c r="Z969" s="164"/>
      <c r="AA969" s="164"/>
      <c r="AB969" s="164"/>
      <c r="AC969" s="164"/>
      <c r="AD969" s="164"/>
      <c r="AE969" s="164"/>
      <c r="AF969" s="164"/>
      <c r="AG969" s="164"/>
      <c r="AH969" s="164"/>
      <c r="AI969" s="164"/>
    </row>
    <row r="970" spans="24:35">
      <c r="X970" s="164"/>
      <c r="Y970" s="164"/>
      <c r="Z970" s="164"/>
      <c r="AA970" s="164"/>
      <c r="AB970" s="164"/>
      <c r="AC970" s="164"/>
      <c r="AD970" s="164"/>
      <c r="AE970" s="164"/>
      <c r="AF970" s="164"/>
      <c r="AG970" s="164"/>
      <c r="AH970" s="164"/>
      <c r="AI970" s="164"/>
    </row>
    <row r="971" spans="24:35">
      <c r="X971" s="164"/>
      <c r="Y971" s="164"/>
      <c r="Z971" s="164"/>
      <c r="AA971" s="164"/>
      <c r="AB971" s="164"/>
      <c r="AC971" s="164"/>
      <c r="AD971" s="164"/>
      <c r="AE971" s="164"/>
      <c r="AF971" s="164"/>
      <c r="AG971" s="164"/>
      <c r="AH971" s="164"/>
      <c r="AI971" s="164"/>
    </row>
    <row r="972" spans="24:35">
      <c r="X972" s="164"/>
      <c r="Y972" s="164"/>
      <c r="Z972" s="164"/>
      <c r="AA972" s="164"/>
      <c r="AB972" s="164"/>
      <c r="AC972" s="164"/>
      <c r="AD972" s="164"/>
      <c r="AE972" s="164"/>
      <c r="AF972" s="164"/>
      <c r="AG972" s="164"/>
      <c r="AH972" s="164"/>
      <c r="AI972" s="164"/>
    </row>
    <row r="973" spans="24:35">
      <c r="X973" s="164"/>
      <c r="Y973" s="164"/>
      <c r="Z973" s="164"/>
      <c r="AA973" s="164"/>
      <c r="AB973" s="164"/>
      <c r="AC973" s="164"/>
      <c r="AD973" s="164"/>
      <c r="AE973" s="164"/>
      <c r="AF973" s="164"/>
      <c r="AG973" s="164"/>
      <c r="AH973" s="164"/>
      <c r="AI973" s="164"/>
    </row>
    <row r="974" spans="24:35">
      <c r="X974" s="164"/>
      <c r="Y974" s="164"/>
      <c r="Z974" s="164"/>
      <c r="AA974" s="164"/>
      <c r="AB974" s="164"/>
      <c r="AC974" s="164"/>
      <c r="AD974" s="164"/>
      <c r="AE974" s="164"/>
      <c r="AF974" s="164"/>
      <c r="AG974" s="164"/>
      <c r="AH974" s="164"/>
      <c r="AI974" s="164"/>
    </row>
    <row r="975" spans="24:35">
      <c r="X975" s="164"/>
      <c r="Y975" s="164"/>
      <c r="Z975" s="164"/>
      <c r="AA975" s="164"/>
      <c r="AB975" s="164"/>
      <c r="AC975" s="164"/>
      <c r="AD975" s="164"/>
      <c r="AE975" s="164"/>
      <c r="AF975" s="164"/>
      <c r="AG975" s="164"/>
      <c r="AH975" s="164"/>
      <c r="AI975" s="164"/>
    </row>
    <row r="976" spans="24:35">
      <c r="X976" s="164"/>
      <c r="Y976" s="164"/>
      <c r="Z976" s="164"/>
      <c r="AA976" s="164"/>
      <c r="AB976" s="164"/>
      <c r="AC976" s="164"/>
      <c r="AD976" s="164"/>
      <c r="AE976" s="164"/>
      <c r="AF976" s="164"/>
      <c r="AG976" s="164"/>
      <c r="AH976" s="164"/>
      <c r="AI976" s="164"/>
    </row>
    <row r="977" spans="24:35">
      <c r="X977" s="164"/>
      <c r="Y977" s="164"/>
      <c r="Z977" s="164"/>
      <c r="AA977" s="164"/>
      <c r="AB977" s="164"/>
      <c r="AC977" s="164"/>
      <c r="AD977" s="164"/>
      <c r="AE977" s="164"/>
      <c r="AF977" s="164"/>
      <c r="AG977" s="164"/>
      <c r="AH977" s="164"/>
      <c r="AI977" s="164"/>
    </row>
    <row r="978" spans="24:35">
      <c r="X978" s="164"/>
      <c r="Y978" s="164"/>
      <c r="Z978" s="164"/>
      <c r="AA978" s="164"/>
      <c r="AB978" s="164"/>
      <c r="AC978" s="164"/>
      <c r="AD978" s="164"/>
      <c r="AE978" s="164"/>
      <c r="AF978" s="164"/>
      <c r="AG978" s="164"/>
      <c r="AH978" s="164"/>
      <c r="AI978" s="164"/>
    </row>
    <row r="979" spans="24:35">
      <c r="X979" s="164"/>
      <c r="Y979" s="164"/>
      <c r="Z979" s="164"/>
      <c r="AA979" s="164"/>
      <c r="AB979" s="164"/>
      <c r="AC979" s="164"/>
      <c r="AD979" s="164"/>
      <c r="AE979" s="164"/>
      <c r="AF979" s="164"/>
      <c r="AG979" s="164"/>
      <c r="AH979" s="164"/>
      <c r="AI979" s="164"/>
    </row>
    <row r="980" spans="24:35">
      <c r="X980" s="164"/>
      <c r="Y980" s="164"/>
      <c r="Z980" s="164"/>
      <c r="AA980" s="164"/>
      <c r="AB980" s="164"/>
      <c r="AC980" s="164"/>
      <c r="AD980" s="164"/>
      <c r="AE980" s="164"/>
      <c r="AF980" s="164"/>
      <c r="AG980" s="164"/>
      <c r="AH980" s="164"/>
      <c r="AI980" s="164"/>
    </row>
    <row r="981" spans="24:35">
      <c r="X981" s="164"/>
      <c r="Y981" s="164"/>
      <c r="Z981" s="164"/>
      <c r="AA981" s="164"/>
      <c r="AB981" s="164"/>
      <c r="AC981" s="164"/>
      <c r="AD981" s="164"/>
      <c r="AE981" s="164"/>
      <c r="AF981" s="164"/>
      <c r="AG981" s="164"/>
      <c r="AH981" s="164"/>
      <c r="AI981" s="164"/>
    </row>
    <row r="982" spans="24:35">
      <c r="X982" s="164"/>
      <c r="Y982" s="164"/>
      <c r="Z982" s="164"/>
      <c r="AA982" s="164"/>
      <c r="AB982" s="164"/>
      <c r="AC982" s="164"/>
      <c r="AD982" s="164"/>
      <c r="AE982" s="164"/>
      <c r="AF982" s="164"/>
      <c r="AG982" s="164"/>
      <c r="AH982" s="164"/>
      <c r="AI982" s="164"/>
    </row>
    <row r="983" spans="24:35">
      <c r="X983" s="164"/>
      <c r="Y983" s="164"/>
      <c r="Z983" s="164"/>
      <c r="AA983" s="164"/>
      <c r="AB983" s="164"/>
      <c r="AC983" s="164"/>
      <c r="AD983" s="164"/>
      <c r="AE983" s="164"/>
      <c r="AF983" s="164"/>
      <c r="AG983" s="164"/>
      <c r="AH983" s="164"/>
      <c r="AI983" s="164"/>
    </row>
    <row r="984" spans="24:35">
      <c r="X984" s="164"/>
      <c r="Y984" s="164"/>
      <c r="Z984" s="164"/>
      <c r="AA984" s="164"/>
      <c r="AB984" s="164"/>
      <c r="AC984" s="164"/>
      <c r="AD984" s="164"/>
      <c r="AE984" s="164"/>
      <c r="AF984" s="164"/>
      <c r="AG984" s="164"/>
      <c r="AH984" s="164"/>
      <c r="AI984" s="164"/>
    </row>
    <row r="985" spans="24:35">
      <c r="X985" s="164"/>
      <c r="Y985" s="164"/>
      <c r="Z985" s="164"/>
      <c r="AA985" s="164"/>
      <c r="AB985" s="164"/>
      <c r="AC985" s="164"/>
      <c r="AD985" s="164"/>
      <c r="AE985" s="164"/>
      <c r="AF985" s="164"/>
      <c r="AG985" s="164"/>
      <c r="AH985" s="164"/>
      <c r="AI985" s="164"/>
    </row>
    <row r="986" spans="24:35">
      <c r="X986" s="164"/>
      <c r="Y986" s="164"/>
      <c r="Z986" s="164"/>
      <c r="AA986" s="164"/>
      <c r="AB986" s="164"/>
      <c r="AC986" s="164"/>
      <c r="AD986" s="164"/>
      <c r="AE986" s="164"/>
      <c r="AF986" s="164"/>
      <c r="AG986" s="164"/>
      <c r="AH986" s="164"/>
      <c r="AI986" s="164"/>
    </row>
    <row r="987" spans="24:35">
      <c r="X987" s="164"/>
      <c r="Y987" s="164"/>
      <c r="Z987" s="164"/>
      <c r="AA987" s="164"/>
      <c r="AB987" s="164"/>
      <c r="AC987" s="164"/>
      <c r="AD987" s="164"/>
      <c r="AE987" s="164"/>
      <c r="AF987" s="164"/>
      <c r="AG987" s="164"/>
      <c r="AH987" s="164"/>
      <c r="AI987" s="164"/>
    </row>
    <row r="988" spans="24:35">
      <c r="X988" s="164"/>
      <c r="Y988" s="164"/>
      <c r="Z988" s="164"/>
      <c r="AA988" s="164"/>
      <c r="AB988" s="164"/>
      <c r="AC988" s="164"/>
      <c r="AD988" s="164"/>
      <c r="AE988" s="164"/>
      <c r="AF988" s="164"/>
      <c r="AG988" s="164"/>
      <c r="AH988" s="164"/>
      <c r="AI988" s="164"/>
    </row>
    <row r="989" spans="24:35">
      <c r="X989" s="164"/>
      <c r="Y989" s="164"/>
      <c r="Z989" s="164"/>
      <c r="AA989" s="164"/>
      <c r="AB989" s="164"/>
      <c r="AC989" s="164"/>
      <c r="AD989" s="164"/>
      <c r="AE989" s="164"/>
      <c r="AF989" s="164"/>
      <c r="AG989" s="164"/>
      <c r="AH989" s="164"/>
      <c r="AI989" s="164"/>
    </row>
    <row r="990" spans="24:35">
      <c r="X990" s="164"/>
      <c r="Y990" s="164"/>
      <c r="Z990" s="164"/>
      <c r="AA990" s="164"/>
      <c r="AB990" s="164"/>
      <c r="AC990" s="164"/>
      <c r="AD990" s="164"/>
      <c r="AE990" s="164"/>
      <c r="AF990" s="164"/>
      <c r="AG990" s="164"/>
      <c r="AH990" s="164"/>
      <c r="AI990" s="164"/>
    </row>
    <row r="991" spans="24:35">
      <c r="X991" s="164"/>
      <c r="Y991" s="164"/>
      <c r="Z991" s="164"/>
      <c r="AA991" s="164"/>
      <c r="AB991" s="164"/>
      <c r="AC991" s="164"/>
      <c r="AD991" s="164"/>
      <c r="AE991" s="164"/>
      <c r="AF991" s="164"/>
      <c r="AG991" s="164"/>
      <c r="AH991" s="164"/>
      <c r="AI991" s="164"/>
    </row>
    <row r="992" spans="24:35">
      <c r="X992" s="164"/>
      <c r="Y992" s="164"/>
      <c r="Z992" s="164"/>
      <c r="AA992" s="164"/>
      <c r="AB992" s="164"/>
      <c r="AC992" s="164"/>
      <c r="AD992" s="164"/>
      <c r="AE992" s="164"/>
      <c r="AF992" s="164"/>
      <c r="AG992" s="164"/>
      <c r="AH992" s="164"/>
      <c r="AI992" s="164"/>
    </row>
    <row r="993" spans="24:35">
      <c r="X993" s="164"/>
      <c r="Y993" s="164"/>
      <c r="Z993" s="164"/>
      <c r="AA993" s="164"/>
      <c r="AB993" s="164"/>
      <c r="AC993" s="164"/>
      <c r="AD993" s="164"/>
      <c r="AE993" s="164"/>
      <c r="AF993" s="164"/>
      <c r="AG993" s="164"/>
      <c r="AH993" s="164"/>
      <c r="AI993" s="164"/>
    </row>
    <row r="994" spans="24:35">
      <c r="X994" s="164"/>
      <c r="Y994" s="164"/>
      <c r="Z994" s="164"/>
      <c r="AA994" s="164"/>
      <c r="AB994" s="164"/>
      <c r="AC994" s="164"/>
      <c r="AD994" s="164"/>
      <c r="AE994" s="164"/>
      <c r="AF994" s="164"/>
      <c r="AG994" s="164"/>
      <c r="AH994" s="164"/>
      <c r="AI994" s="164"/>
    </row>
    <row r="995" spans="24:35">
      <c r="X995" s="164"/>
      <c r="Y995" s="164"/>
      <c r="Z995" s="164"/>
      <c r="AA995" s="164"/>
      <c r="AB995" s="164"/>
      <c r="AC995" s="164"/>
      <c r="AD995" s="164"/>
      <c r="AE995" s="164"/>
      <c r="AF995" s="164"/>
      <c r="AG995" s="164"/>
      <c r="AH995" s="164"/>
      <c r="AI995" s="164"/>
    </row>
    <row r="996" spans="24:35">
      <c r="X996" s="164"/>
      <c r="Y996" s="164"/>
      <c r="Z996" s="164"/>
      <c r="AA996" s="164"/>
      <c r="AB996" s="164"/>
      <c r="AC996" s="164"/>
      <c r="AD996" s="164"/>
      <c r="AE996" s="164"/>
      <c r="AF996" s="164"/>
      <c r="AG996" s="164"/>
      <c r="AH996" s="164"/>
      <c r="AI996" s="164"/>
    </row>
    <row r="997" spans="24:35">
      <c r="X997" s="164"/>
      <c r="Y997" s="164"/>
      <c r="Z997" s="164"/>
      <c r="AA997" s="164"/>
      <c r="AB997" s="164"/>
      <c r="AC997" s="164"/>
      <c r="AD997" s="164"/>
      <c r="AE997" s="164"/>
      <c r="AF997" s="164"/>
      <c r="AG997" s="164"/>
      <c r="AH997" s="164"/>
      <c r="AI997" s="164"/>
    </row>
    <row r="998" spans="24:35">
      <c r="X998" s="164"/>
      <c r="Y998" s="164"/>
      <c r="Z998" s="164"/>
      <c r="AA998" s="164"/>
      <c r="AB998" s="164"/>
      <c r="AC998" s="164"/>
      <c r="AD998" s="164"/>
      <c r="AE998" s="164"/>
      <c r="AF998" s="164"/>
      <c r="AG998" s="164"/>
      <c r="AH998" s="164"/>
      <c r="AI998" s="164"/>
    </row>
    <row r="999" spans="24:35">
      <c r="X999" s="164"/>
      <c r="Y999" s="164"/>
      <c r="Z999" s="164"/>
      <c r="AA999" s="164"/>
      <c r="AB999" s="164"/>
      <c r="AC999" s="164"/>
      <c r="AD999" s="164"/>
      <c r="AE999" s="164"/>
      <c r="AF999" s="164"/>
      <c r="AG999" s="164"/>
      <c r="AH999" s="164"/>
      <c r="AI999" s="164"/>
    </row>
    <row r="1000" spans="24:35">
      <c r="X1000" s="164"/>
      <c r="Y1000" s="164"/>
      <c r="Z1000" s="164"/>
      <c r="AA1000" s="164"/>
      <c r="AB1000" s="164"/>
      <c r="AC1000" s="164"/>
      <c r="AD1000" s="164"/>
      <c r="AE1000" s="164"/>
      <c r="AF1000" s="164"/>
      <c r="AG1000" s="164"/>
      <c r="AH1000" s="164"/>
      <c r="AI1000" s="164"/>
    </row>
    <row r="1001" spans="24:35">
      <c r="X1001" s="164"/>
      <c r="Y1001" s="164"/>
      <c r="Z1001" s="164"/>
      <c r="AA1001" s="164"/>
      <c r="AB1001" s="164"/>
      <c r="AC1001" s="164"/>
      <c r="AD1001" s="164"/>
      <c r="AE1001" s="164"/>
      <c r="AF1001" s="164"/>
      <c r="AG1001" s="164"/>
      <c r="AH1001" s="164"/>
      <c r="AI1001" s="164"/>
    </row>
    <row r="1002" spans="24:35">
      <c r="X1002" s="164"/>
      <c r="Y1002" s="164"/>
      <c r="Z1002" s="164"/>
      <c r="AA1002" s="164"/>
      <c r="AB1002" s="164"/>
      <c r="AC1002" s="164"/>
      <c r="AD1002" s="164"/>
      <c r="AE1002" s="164"/>
      <c r="AF1002" s="164"/>
      <c r="AG1002" s="164"/>
      <c r="AH1002" s="164"/>
      <c r="AI1002" s="164"/>
    </row>
    <row r="1003" spans="24:35">
      <c r="X1003" s="164"/>
      <c r="Y1003" s="164"/>
      <c r="Z1003" s="164"/>
      <c r="AA1003" s="164"/>
      <c r="AB1003" s="164"/>
      <c r="AC1003" s="164"/>
      <c r="AD1003" s="164"/>
      <c r="AE1003" s="164"/>
      <c r="AF1003" s="164"/>
      <c r="AG1003" s="164"/>
      <c r="AH1003" s="164"/>
      <c r="AI1003" s="164"/>
    </row>
    <row r="1004" spans="24:35">
      <c r="X1004" s="164"/>
      <c r="Y1004" s="164"/>
      <c r="Z1004" s="164"/>
      <c r="AA1004" s="164"/>
      <c r="AB1004" s="164"/>
      <c r="AC1004" s="164"/>
      <c r="AD1004" s="164"/>
      <c r="AE1004" s="164"/>
      <c r="AF1004" s="164"/>
      <c r="AG1004" s="164"/>
      <c r="AH1004" s="164"/>
      <c r="AI1004" s="164"/>
    </row>
    <row r="1005" spans="24:35">
      <c r="X1005" s="164"/>
      <c r="Y1005" s="164"/>
      <c r="Z1005" s="164"/>
      <c r="AA1005" s="164"/>
      <c r="AB1005" s="164"/>
      <c r="AC1005" s="164"/>
      <c r="AD1005" s="164"/>
      <c r="AE1005" s="164"/>
      <c r="AF1005" s="164"/>
      <c r="AG1005" s="164"/>
      <c r="AH1005" s="164"/>
      <c r="AI1005" s="164"/>
    </row>
    <row r="1006" spans="24:35">
      <c r="X1006" s="164"/>
      <c r="Y1006" s="164"/>
      <c r="Z1006" s="164"/>
      <c r="AA1006" s="164"/>
      <c r="AB1006" s="164"/>
      <c r="AC1006" s="164"/>
      <c r="AD1006" s="164"/>
      <c r="AE1006" s="164"/>
      <c r="AF1006" s="164"/>
      <c r="AG1006" s="164"/>
      <c r="AH1006" s="164"/>
      <c r="AI1006" s="164"/>
    </row>
    <row r="1007" spans="24:35">
      <c r="X1007" s="164"/>
      <c r="Y1007" s="164"/>
      <c r="Z1007" s="164"/>
      <c r="AA1007" s="164"/>
      <c r="AB1007" s="164"/>
      <c r="AC1007" s="164"/>
      <c r="AD1007" s="164"/>
      <c r="AE1007" s="164"/>
      <c r="AF1007" s="164"/>
      <c r="AG1007" s="164"/>
      <c r="AH1007" s="164"/>
      <c r="AI1007" s="164"/>
    </row>
    <row r="1008" spans="24:35">
      <c r="X1008" s="164"/>
      <c r="Y1008" s="164"/>
      <c r="Z1008" s="164"/>
      <c r="AA1008" s="164"/>
      <c r="AB1008" s="164"/>
      <c r="AC1008" s="164"/>
      <c r="AD1008" s="164"/>
      <c r="AE1008" s="164"/>
      <c r="AF1008" s="164"/>
      <c r="AG1008" s="164"/>
      <c r="AH1008" s="164"/>
      <c r="AI1008" s="164"/>
    </row>
    <row r="1009" spans="24:35">
      <c r="X1009" s="164"/>
      <c r="Y1009" s="164"/>
      <c r="Z1009" s="164"/>
      <c r="AA1009" s="164"/>
      <c r="AB1009" s="164"/>
      <c r="AC1009" s="164"/>
      <c r="AD1009" s="164"/>
      <c r="AE1009" s="164"/>
      <c r="AF1009" s="164"/>
      <c r="AG1009" s="164"/>
      <c r="AH1009" s="164"/>
      <c r="AI1009" s="164"/>
    </row>
    <row r="1010" spans="24:35">
      <c r="X1010" s="164"/>
      <c r="Y1010" s="164"/>
      <c r="Z1010" s="164"/>
      <c r="AA1010" s="164"/>
      <c r="AB1010" s="164"/>
      <c r="AC1010" s="164"/>
      <c r="AD1010" s="164"/>
      <c r="AE1010" s="164"/>
      <c r="AF1010" s="164"/>
      <c r="AG1010" s="164"/>
      <c r="AH1010" s="164"/>
      <c r="AI1010" s="164"/>
    </row>
    <row r="1011" spans="24:35">
      <c r="X1011" s="164"/>
      <c r="Y1011" s="164"/>
      <c r="Z1011" s="164"/>
      <c r="AA1011" s="164"/>
      <c r="AB1011" s="164"/>
      <c r="AC1011" s="164"/>
      <c r="AD1011" s="164"/>
      <c r="AE1011" s="164"/>
      <c r="AF1011" s="164"/>
      <c r="AG1011" s="164"/>
      <c r="AH1011" s="164"/>
      <c r="AI1011" s="164"/>
    </row>
    <row r="1012" spans="24:35">
      <c r="X1012" s="164"/>
      <c r="Y1012" s="164"/>
      <c r="Z1012" s="164"/>
      <c r="AA1012" s="164"/>
      <c r="AB1012" s="164"/>
      <c r="AC1012" s="164"/>
      <c r="AD1012" s="164"/>
      <c r="AE1012" s="164"/>
      <c r="AF1012" s="164"/>
      <c r="AG1012" s="164"/>
      <c r="AH1012" s="164"/>
      <c r="AI1012" s="164"/>
    </row>
    <row r="1013" spans="24:35">
      <c r="X1013" s="164"/>
      <c r="Y1013" s="164"/>
      <c r="Z1013" s="164"/>
      <c r="AA1013" s="164"/>
      <c r="AB1013" s="164"/>
      <c r="AC1013" s="164"/>
      <c r="AD1013" s="164"/>
      <c r="AE1013" s="164"/>
      <c r="AF1013" s="164"/>
      <c r="AG1013" s="164"/>
      <c r="AH1013" s="164"/>
      <c r="AI1013" s="164"/>
    </row>
    <row r="1014" spans="24:35">
      <c r="X1014" s="164"/>
      <c r="Y1014" s="164"/>
      <c r="Z1014" s="164"/>
      <c r="AA1014" s="164"/>
      <c r="AB1014" s="164"/>
      <c r="AC1014" s="164"/>
      <c r="AD1014" s="164"/>
      <c r="AE1014" s="164"/>
      <c r="AF1014" s="164"/>
      <c r="AG1014" s="164"/>
      <c r="AH1014" s="164"/>
      <c r="AI1014" s="164"/>
    </row>
    <row r="1015" spans="24:35">
      <c r="X1015" s="164"/>
      <c r="Y1015" s="164"/>
      <c r="Z1015" s="164"/>
      <c r="AA1015" s="164"/>
      <c r="AB1015" s="164"/>
      <c r="AC1015" s="164"/>
      <c r="AD1015" s="164"/>
      <c r="AE1015" s="164"/>
      <c r="AF1015" s="164"/>
      <c r="AG1015" s="164"/>
      <c r="AH1015" s="164"/>
      <c r="AI1015" s="164"/>
    </row>
    <row r="1016" spans="24:35">
      <c r="X1016" s="164"/>
      <c r="Y1016" s="164"/>
      <c r="Z1016" s="164"/>
      <c r="AA1016" s="164"/>
      <c r="AB1016" s="164"/>
      <c r="AC1016" s="164"/>
      <c r="AD1016" s="164"/>
      <c r="AE1016" s="164"/>
      <c r="AF1016" s="164"/>
      <c r="AG1016" s="164"/>
      <c r="AH1016" s="164"/>
      <c r="AI1016" s="164"/>
    </row>
    <row r="1017" spans="24:35">
      <c r="X1017" s="164"/>
      <c r="Y1017" s="164"/>
      <c r="Z1017" s="164"/>
      <c r="AA1017" s="164"/>
      <c r="AB1017" s="164"/>
      <c r="AC1017" s="164"/>
      <c r="AD1017" s="164"/>
      <c r="AE1017" s="164"/>
      <c r="AF1017" s="164"/>
      <c r="AG1017" s="164"/>
      <c r="AH1017" s="164"/>
      <c r="AI1017" s="164"/>
    </row>
    <row r="1018" spans="24:35">
      <c r="X1018" s="164"/>
      <c r="Y1018" s="164"/>
      <c r="Z1018" s="164"/>
      <c r="AA1018" s="164"/>
      <c r="AB1018" s="164"/>
      <c r="AC1018" s="164"/>
      <c r="AD1018" s="164"/>
      <c r="AE1018" s="164"/>
      <c r="AF1018" s="164"/>
      <c r="AG1018" s="164"/>
      <c r="AH1018" s="164"/>
      <c r="AI1018" s="164"/>
    </row>
    <row r="1019" spans="24:35">
      <c r="X1019" s="164"/>
      <c r="Y1019" s="164"/>
      <c r="Z1019" s="164"/>
      <c r="AA1019" s="164"/>
      <c r="AB1019" s="164"/>
      <c r="AC1019" s="164"/>
      <c r="AD1019" s="164"/>
      <c r="AE1019" s="164"/>
      <c r="AF1019" s="164"/>
      <c r="AG1019" s="164"/>
      <c r="AH1019" s="164"/>
      <c r="AI1019" s="164"/>
    </row>
    <row r="1020" spans="24:35">
      <c r="X1020" s="164"/>
      <c r="Y1020" s="164"/>
      <c r="Z1020" s="164"/>
      <c r="AA1020" s="164"/>
      <c r="AB1020" s="164"/>
      <c r="AC1020" s="164"/>
      <c r="AD1020" s="164"/>
      <c r="AE1020" s="164"/>
      <c r="AF1020" s="164"/>
      <c r="AG1020" s="164"/>
      <c r="AH1020" s="164"/>
      <c r="AI1020" s="164"/>
    </row>
    <row r="1021" spans="24:35">
      <c r="X1021" s="164"/>
      <c r="Y1021" s="164"/>
      <c r="Z1021" s="164"/>
      <c r="AA1021" s="164"/>
      <c r="AB1021" s="164"/>
      <c r="AC1021" s="164"/>
      <c r="AD1021" s="164"/>
      <c r="AE1021" s="164"/>
      <c r="AF1021" s="164"/>
      <c r="AG1021" s="164"/>
      <c r="AH1021" s="164"/>
      <c r="AI1021" s="164"/>
    </row>
    <row r="1022" spans="24:35">
      <c r="X1022" s="164"/>
      <c r="Y1022" s="164"/>
      <c r="Z1022" s="164"/>
      <c r="AA1022" s="164"/>
      <c r="AB1022" s="164"/>
      <c r="AC1022" s="164"/>
      <c r="AD1022" s="164"/>
      <c r="AE1022" s="164"/>
      <c r="AF1022" s="164"/>
      <c r="AG1022" s="164"/>
      <c r="AH1022" s="164"/>
      <c r="AI1022" s="164"/>
    </row>
    <row r="1023" spans="24:35">
      <c r="X1023" s="164"/>
      <c r="Y1023" s="164"/>
      <c r="Z1023" s="164"/>
      <c r="AA1023" s="164"/>
      <c r="AB1023" s="164"/>
      <c r="AC1023" s="164"/>
      <c r="AD1023" s="164"/>
      <c r="AE1023" s="164"/>
      <c r="AF1023" s="164"/>
      <c r="AG1023" s="164"/>
      <c r="AH1023" s="164"/>
      <c r="AI1023" s="164"/>
    </row>
    <row r="1024" spans="24:35">
      <c r="X1024" s="164"/>
      <c r="Y1024" s="164"/>
      <c r="Z1024" s="164"/>
      <c r="AA1024" s="164"/>
      <c r="AB1024" s="164"/>
      <c r="AC1024" s="164"/>
      <c r="AD1024" s="164"/>
      <c r="AE1024" s="164"/>
      <c r="AF1024" s="164"/>
      <c r="AG1024" s="164"/>
      <c r="AH1024" s="164"/>
      <c r="AI1024" s="164"/>
    </row>
    <row r="1025" spans="24:35">
      <c r="X1025" s="164"/>
      <c r="Y1025" s="164"/>
      <c r="Z1025" s="164"/>
      <c r="AA1025" s="164"/>
      <c r="AB1025" s="164"/>
      <c r="AC1025" s="164"/>
      <c r="AD1025" s="164"/>
      <c r="AE1025" s="164"/>
      <c r="AF1025" s="164"/>
      <c r="AG1025" s="164"/>
      <c r="AH1025" s="164"/>
      <c r="AI1025" s="164"/>
    </row>
    <row r="1026" spans="24:35">
      <c r="X1026" s="164"/>
      <c r="Y1026" s="164"/>
      <c r="Z1026" s="164"/>
      <c r="AA1026" s="164"/>
      <c r="AB1026" s="164"/>
      <c r="AC1026" s="164"/>
      <c r="AD1026" s="164"/>
      <c r="AE1026" s="164"/>
      <c r="AF1026" s="164"/>
      <c r="AG1026" s="164"/>
      <c r="AH1026" s="164"/>
      <c r="AI1026" s="164"/>
    </row>
    <row r="1027" spans="24:35">
      <c r="X1027" s="164"/>
      <c r="Y1027" s="164"/>
      <c r="Z1027" s="164"/>
      <c r="AA1027" s="164"/>
      <c r="AB1027" s="164"/>
      <c r="AC1027" s="164"/>
      <c r="AD1027" s="164"/>
      <c r="AE1027" s="164"/>
      <c r="AF1027" s="164"/>
      <c r="AG1027" s="164"/>
      <c r="AH1027" s="164"/>
      <c r="AI1027" s="164"/>
    </row>
    <row r="1028" spans="24:35">
      <c r="X1028" s="164"/>
      <c r="Y1028" s="164"/>
      <c r="Z1028" s="164"/>
      <c r="AA1028" s="164"/>
      <c r="AB1028" s="164"/>
      <c r="AC1028" s="164"/>
      <c r="AD1028" s="164"/>
      <c r="AE1028" s="164"/>
      <c r="AF1028" s="164"/>
      <c r="AG1028" s="164"/>
      <c r="AH1028" s="164"/>
      <c r="AI1028" s="164"/>
    </row>
    <row r="1029" spans="24:35">
      <c r="X1029" s="164"/>
      <c r="Y1029" s="164"/>
      <c r="Z1029" s="164"/>
      <c r="AA1029" s="164"/>
      <c r="AB1029" s="164"/>
      <c r="AC1029" s="164"/>
      <c r="AD1029" s="164"/>
      <c r="AE1029" s="164"/>
      <c r="AF1029" s="164"/>
      <c r="AG1029" s="164"/>
      <c r="AH1029" s="164"/>
      <c r="AI1029" s="164"/>
    </row>
    <row r="1030" spans="24:35">
      <c r="X1030" s="164"/>
      <c r="Y1030" s="164"/>
      <c r="Z1030" s="164"/>
      <c r="AA1030" s="164"/>
      <c r="AB1030" s="164"/>
      <c r="AC1030" s="164"/>
      <c r="AD1030" s="164"/>
      <c r="AE1030" s="164"/>
      <c r="AF1030" s="164"/>
      <c r="AG1030" s="164"/>
      <c r="AH1030" s="164"/>
      <c r="AI1030" s="164"/>
    </row>
  </sheetData>
  <mergeCells count="3">
    <mergeCell ref="B1:Z1"/>
    <mergeCell ref="B3:Z3"/>
    <mergeCell ref="B5:Z5"/>
  </mergeCells>
  <pageMargins left="0.2" right="0.2" top="0.51" bottom="0.5" header="0.28999999999999998" footer="0.5"/>
  <pageSetup scale="30" fitToHeight="7" orientation="landscape" horizontalDpi="300" verticalDpi="300" r:id="rId1"/>
  <headerFooter alignWithMargins="0"/>
  <rowBreaks count="4" manualBreakCount="4">
    <brk id="75" min="1" max="31" man="1"/>
    <brk id="150" min="1" max="31" man="1"/>
    <brk id="225" min="1" max="31" man="1"/>
    <brk id="300" min="1" max="31"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23">
    <pageSetUpPr fitToPage="1"/>
  </sheetPr>
  <dimension ref="A1:AE84"/>
  <sheetViews>
    <sheetView zoomScale="73" zoomScaleNormal="73" workbookViewId="0">
      <selection sqref="A1:AB1"/>
    </sheetView>
  </sheetViews>
  <sheetFormatPr defaultColWidth="9.77734375" defaultRowHeight="15.75"/>
  <cols>
    <col min="1" max="1" width="37.6640625" style="7" customWidth="1"/>
    <col min="2" max="2" width="2.44140625" style="7" customWidth="1"/>
    <col min="3" max="3" width="11.77734375" style="7" customWidth="1"/>
    <col min="4" max="4" width="2.33203125" style="7" customWidth="1"/>
    <col min="5" max="10" width="10.33203125" style="113" customWidth="1"/>
    <col min="11" max="11" width="2.33203125" style="209" customWidth="1"/>
    <col min="12" max="12" width="6" style="7" customWidth="1"/>
    <col min="13" max="13" width="10.33203125" style="7" customWidth="1"/>
    <col min="14" max="14" width="2.33203125" style="209" customWidth="1"/>
    <col min="15" max="15" width="6.33203125" style="7" customWidth="1"/>
    <col min="16" max="16" width="10.33203125" style="7" customWidth="1"/>
    <col min="17" max="17" width="1.77734375" style="4" customWidth="1"/>
    <col min="18" max="18" width="5.88671875" style="7" customWidth="1"/>
    <col min="19" max="19" width="10.33203125" style="7" customWidth="1"/>
    <col min="20" max="20" width="1.77734375" style="4" customWidth="1"/>
    <col min="21" max="21" width="6.21875" style="7" customWidth="1"/>
    <col min="22" max="22" width="10.33203125" style="7" customWidth="1"/>
    <col min="23" max="23" width="1.77734375" style="4" customWidth="1"/>
    <col min="24" max="24" width="8" style="7" bestFit="1" customWidth="1"/>
    <col min="25" max="25" width="9.21875" style="7" customWidth="1"/>
    <col min="26" max="26" width="1.77734375" style="7" customWidth="1"/>
    <col min="27" max="28" width="9.77734375" style="7"/>
    <col min="29" max="29" width="8.6640625" style="7" customWidth="1"/>
    <col min="30" max="16384" width="9.77734375" style="7"/>
  </cols>
  <sheetData>
    <row r="1" spans="1:31" ht="16.5">
      <c r="A1" s="1318" t="s">
        <v>385</v>
      </c>
      <c r="B1" s="1318"/>
      <c r="C1" s="1318"/>
      <c r="D1" s="1318"/>
      <c r="E1" s="1318"/>
      <c r="F1" s="1318"/>
      <c r="G1" s="1318"/>
      <c r="H1" s="1318"/>
      <c r="I1" s="1318"/>
      <c r="J1" s="1318"/>
      <c r="K1" s="1318"/>
      <c r="L1" s="1318"/>
      <c r="M1" s="1318"/>
      <c r="N1" s="1318"/>
      <c r="O1" s="1318"/>
      <c r="P1" s="1318"/>
      <c r="Q1" s="1318"/>
      <c r="R1" s="1318"/>
      <c r="S1" s="1318"/>
      <c r="T1" s="1318"/>
      <c r="U1" s="1318"/>
      <c r="V1" s="1318"/>
      <c r="W1" s="1318"/>
      <c r="X1" s="1318"/>
      <c r="Y1" s="1318"/>
      <c r="Z1" s="1318"/>
      <c r="AA1" s="1318"/>
      <c r="AB1" s="1318"/>
    </row>
    <row r="2" spans="1:31" ht="13.5" customHeight="1">
      <c r="A2" s="24"/>
      <c r="B2" s="91"/>
      <c r="C2" s="91"/>
      <c r="D2" s="91"/>
      <c r="E2" s="111"/>
      <c r="F2" s="111"/>
      <c r="G2" s="111"/>
      <c r="H2" s="111"/>
      <c r="I2" s="111"/>
      <c r="J2" s="111"/>
      <c r="K2" s="207"/>
      <c r="L2" s="91"/>
      <c r="M2" s="91"/>
      <c r="N2" s="207"/>
      <c r="O2" s="91"/>
      <c r="P2" s="91"/>
      <c r="Q2" s="208"/>
      <c r="R2" s="91"/>
      <c r="S2" s="91"/>
      <c r="T2" s="208"/>
      <c r="U2" s="91"/>
      <c r="V2" s="91"/>
      <c r="W2" s="208"/>
    </row>
    <row r="3" spans="1:31" ht="16.5">
      <c r="A3" s="1318" t="s">
        <v>1000</v>
      </c>
      <c r="B3" s="1318"/>
      <c r="C3" s="1318"/>
      <c r="D3" s="1318"/>
      <c r="E3" s="1318"/>
      <c r="F3" s="1318"/>
      <c r="G3" s="1318"/>
      <c r="H3" s="1318"/>
      <c r="I3" s="1318"/>
      <c r="J3" s="1318"/>
      <c r="K3" s="1318"/>
      <c r="L3" s="1318"/>
      <c r="M3" s="1318"/>
      <c r="N3" s="1318"/>
      <c r="O3" s="1318"/>
      <c r="P3" s="1318"/>
      <c r="Q3" s="1318"/>
      <c r="R3" s="1318"/>
      <c r="S3" s="1318"/>
      <c r="T3" s="1318"/>
      <c r="U3" s="1318"/>
      <c r="V3" s="1318"/>
      <c r="W3" s="1318"/>
      <c r="X3" s="1318"/>
      <c r="Y3" s="1318"/>
      <c r="Z3" s="1318"/>
      <c r="AA3" s="1318"/>
      <c r="AB3" s="1318"/>
    </row>
    <row r="4" spans="1:31">
      <c r="A4" s="14"/>
      <c r="B4" s="14"/>
      <c r="C4" s="14"/>
      <c r="D4" s="14"/>
      <c r="E4" s="112"/>
      <c r="F4" s="112"/>
      <c r="G4" s="112"/>
      <c r="H4" s="112"/>
      <c r="I4" s="1080" t="s">
        <v>1379</v>
      </c>
      <c r="J4" s="112"/>
      <c r="K4" s="679"/>
      <c r="L4" s="14"/>
      <c r="M4" s="14"/>
      <c r="N4" s="679"/>
      <c r="O4" s="14"/>
      <c r="P4" s="14"/>
      <c r="Q4" s="685"/>
      <c r="R4" s="22"/>
      <c r="S4" s="22"/>
      <c r="T4" s="685"/>
      <c r="U4" s="14"/>
      <c r="V4" s="14"/>
      <c r="W4" s="685"/>
      <c r="X4" s="14"/>
      <c r="Y4" s="14"/>
      <c r="Z4" s="14"/>
      <c r="AA4" s="14"/>
      <c r="AB4" s="14"/>
    </row>
    <row r="5" spans="1:31">
      <c r="A5" s="1319"/>
      <c r="B5" s="1319"/>
      <c r="C5" s="1319"/>
      <c r="D5" s="1319"/>
      <c r="E5" s="1319"/>
      <c r="F5" s="1319"/>
      <c r="G5" s="1319"/>
      <c r="H5" s="1319"/>
      <c r="I5" s="1319"/>
      <c r="J5" s="1319"/>
      <c r="K5" s="1319"/>
      <c r="L5" s="1319"/>
      <c r="M5" s="1319"/>
      <c r="N5" s="1319"/>
      <c r="O5" s="1319"/>
      <c r="P5" s="1319"/>
      <c r="Q5" s="1319"/>
      <c r="R5" s="1319"/>
      <c r="S5" s="1319"/>
      <c r="T5" s="1319"/>
      <c r="U5" s="1319"/>
      <c r="V5" s="1319"/>
      <c r="W5" s="1319"/>
      <c r="X5" s="1319"/>
      <c r="Y5" s="1319"/>
      <c r="Z5" s="1319"/>
      <c r="AA5" s="1319"/>
      <c r="AB5" s="1319"/>
    </row>
    <row r="6" spans="1:31">
      <c r="A6" s="120"/>
      <c r="B6" s="91"/>
    </row>
    <row r="7" spans="1:31">
      <c r="A7" s="120"/>
      <c r="B7" s="91"/>
      <c r="C7" s="1317" t="s">
        <v>944</v>
      </c>
      <c r="D7" s="19"/>
      <c r="E7" s="33"/>
      <c r="F7" s="33"/>
      <c r="G7" s="33"/>
      <c r="H7" s="33"/>
      <c r="I7" s="33"/>
      <c r="J7" s="33"/>
      <c r="K7" s="210"/>
      <c r="L7" s="1321"/>
      <c r="M7" s="1321"/>
      <c r="N7" s="1321"/>
      <c r="O7" s="1321"/>
      <c r="P7" s="1321"/>
      <c r="Q7" s="1321"/>
      <c r="R7" s="1321"/>
      <c r="S7" s="1321"/>
      <c r="T7" s="1321"/>
      <c r="U7" s="1321"/>
      <c r="V7" s="1321"/>
      <c r="W7" s="127"/>
      <c r="AA7" s="19"/>
      <c r="AB7" s="697" t="s">
        <v>365</v>
      </c>
    </row>
    <row r="8" spans="1:31" ht="22.5">
      <c r="A8" s="120"/>
      <c r="B8" s="91"/>
      <c r="C8" s="1317"/>
      <c r="D8" s="30"/>
      <c r="E8" s="285"/>
      <c r="F8" s="285"/>
      <c r="G8" s="285"/>
      <c r="H8" s="285"/>
      <c r="I8" s="285"/>
      <c r="J8" s="36" t="s">
        <v>464</v>
      </c>
      <c r="K8" s="211"/>
      <c r="L8" s="1320" t="s">
        <v>479</v>
      </c>
      <c r="M8" s="1287"/>
      <c r="N8" s="211"/>
      <c r="O8" s="1320" t="s">
        <v>478</v>
      </c>
      <c r="P8" s="1287"/>
      <c r="Q8" s="53"/>
      <c r="R8" s="1320" t="s">
        <v>479</v>
      </c>
      <c r="S8" s="1287"/>
      <c r="T8" s="53"/>
      <c r="U8" s="1320" t="s">
        <v>478</v>
      </c>
      <c r="V8" s="1287"/>
      <c r="W8" s="53"/>
      <c r="X8" s="5"/>
      <c r="Y8" s="5"/>
      <c r="AA8" s="19" t="s">
        <v>90</v>
      </c>
      <c r="AB8" s="19" t="s">
        <v>91</v>
      </c>
    </row>
    <row r="9" spans="1:31">
      <c r="B9" s="91"/>
      <c r="C9" s="36" t="s">
        <v>388</v>
      </c>
      <c r="D9" s="36"/>
      <c r="E9" s="36" t="s">
        <v>380</v>
      </c>
      <c r="F9" s="36" t="s">
        <v>389</v>
      </c>
      <c r="G9" s="36" t="s">
        <v>1069</v>
      </c>
      <c r="H9" s="36" t="s">
        <v>392</v>
      </c>
      <c r="I9" s="36" t="s">
        <v>390</v>
      </c>
      <c r="J9" s="36" t="s">
        <v>0</v>
      </c>
      <c r="K9" s="211"/>
      <c r="L9" s="1316" t="s">
        <v>1087</v>
      </c>
      <c r="M9" s="1316"/>
      <c r="N9" s="211"/>
      <c r="O9" s="1316" t="s">
        <v>1087</v>
      </c>
      <c r="P9" s="1316"/>
      <c r="Q9" s="211"/>
      <c r="R9" s="1316" t="s">
        <v>1088</v>
      </c>
      <c r="S9" s="1316"/>
      <c r="T9" s="211"/>
      <c r="U9" s="1316" t="s">
        <v>1088</v>
      </c>
      <c r="V9" s="1316"/>
      <c r="W9" s="211"/>
      <c r="X9" s="1287" t="s">
        <v>0</v>
      </c>
      <c r="Y9" s="1287"/>
    </row>
    <row r="10" spans="1:31">
      <c r="A10" s="92" t="s">
        <v>1</v>
      </c>
      <c r="B10" s="96"/>
      <c r="C10" s="92" t="s">
        <v>443</v>
      </c>
      <c r="D10" s="92"/>
      <c r="E10" s="114" t="s">
        <v>2</v>
      </c>
      <c r="F10" s="114" t="s">
        <v>2</v>
      </c>
      <c r="G10" s="114" t="s">
        <v>2</v>
      </c>
      <c r="H10" s="114" t="s">
        <v>2</v>
      </c>
      <c r="I10" s="114" t="s">
        <v>2</v>
      </c>
      <c r="J10" s="114" t="s">
        <v>2</v>
      </c>
      <c r="K10" s="211"/>
      <c r="L10" s="92" t="s">
        <v>2</v>
      </c>
      <c r="M10" s="92" t="s">
        <v>3</v>
      </c>
      <c r="N10" s="211"/>
      <c r="O10" s="92" t="s">
        <v>2</v>
      </c>
      <c r="P10" s="92" t="s">
        <v>3</v>
      </c>
      <c r="Q10" s="53"/>
      <c r="R10" s="92" t="s">
        <v>2</v>
      </c>
      <c r="S10" s="92" t="s">
        <v>3</v>
      </c>
      <c r="T10" s="53"/>
      <c r="U10" s="92" t="s">
        <v>2</v>
      </c>
      <c r="V10" s="92" t="s">
        <v>3</v>
      </c>
      <c r="W10" s="53"/>
      <c r="X10" s="92" t="s">
        <v>2</v>
      </c>
      <c r="Y10" s="92" t="s">
        <v>3</v>
      </c>
    </row>
    <row r="11" spans="1:31">
      <c r="A11" s="20" t="s">
        <v>654</v>
      </c>
      <c r="C11" s="9">
        <v>78551.350000000006</v>
      </c>
      <c r="D11" s="9"/>
      <c r="E11" s="115">
        <v>1832</v>
      </c>
      <c r="F11" s="115">
        <v>0</v>
      </c>
      <c r="G11" s="115">
        <v>200</v>
      </c>
      <c r="H11" s="115">
        <v>48</v>
      </c>
      <c r="I11" s="115">
        <v>0</v>
      </c>
      <c r="J11" s="115">
        <f>SUM(E11:I11)</f>
        <v>2080</v>
      </c>
      <c r="K11" s="116"/>
      <c r="L11" s="9">
        <v>0</v>
      </c>
      <c r="M11" s="9">
        <v>0</v>
      </c>
      <c r="N11" s="116"/>
      <c r="O11" s="9">
        <v>0</v>
      </c>
      <c r="P11" s="9">
        <v>0</v>
      </c>
      <c r="Q11" s="21"/>
      <c r="R11" s="9">
        <v>-16</v>
      </c>
      <c r="S11" s="9">
        <v>-525</v>
      </c>
      <c r="T11" s="21"/>
      <c r="U11" s="9">
        <v>16</v>
      </c>
      <c r="V11" s="9">
        <v>549</v>
      </c>
      <c r="W11" s="21"/>
      <c r="X11" s="9">
        <f>J11+L11+O11+R11+U11</f>
        <v>2080</v>
      </c>
      <c r="Y11" s="9">
        <f>+C11+M11+P11+S11+V11</f>
        <v>78575.350000000006</v>
      </c>
      <c r="Z11" s="10"/>
      <c r="AA11" s="10">
        <f>'Sch 4 - 12 Months'!O26</f>
        <v>0</v>
      </c>
      <c r="AB11" s="10">
        <f>Y11-AA11</f>
        <v>78575.350000000006</v>
      </c>
      <c r="AC11" s="7">
        <f>+AA11+AB11</f>
        <v>78575.350000000006</v>
      </c>
      <c r="AD11" s="7">
        <f>+Y11</f>
        <v>78575.350000000006</v>
      </c>
      <c r="AE11" s="7" t="s">
        <v>1257</v>
      </c>
    </row>
    <row r="12" spans="1:31">
      <c r="A12" s="20" t="s">
        <v>26</v>
      </c>
      <c r="C12" s="11">
        <f>+'Sch 4 - 12 Months'!O45</f>
        <v>204000</v>
      </c>
      <c r="D12" s="21"/>
      <c r="E12" s="674"/>
      <c r="F12" s="674"/>
      <c r="G12" s="674"/>
      <c r="H12" s="674"/>
      <c r="I12" s="674"/>
      <c r="J12" s="675"/>
      <c r="K12" s="116"/>
      <c r="L12" s="11"/>
      <c r="M12" s="11"/>
      <c r="N12" s="116"/>
      <c r="O12" s="11"/>
      <c r="P12" s="11"/>
      <c r="Q12" s="21"/>
      <c r="R12" s="11"/>
      <c r="S12" s="11"/>
      <c r="T12" s="21"/>
      <c r="U12" s="11"/>
      <c r="V12" s="11"/>
      <c r="W12" s="21"/>
      <c r="X12" s="11"/>
      <c r="Y12" s="11">
        <f>+C12+M12+P12+S12+V12</f>
        <v>204000</v>
      </c>
      <c r="Z12" s="10"/>
      <c r="AA12" s="10">
        <f>+'Sch 4 - 12 Months'!O45</f>
        <v>204000</v>
      </c>
      <c r="AB12" s="10">
        <f>+AA12-Y12</f>
        <v>0</v>
      </c>
      <c r="AC12" s="7">
        <f>+AA12+AB12</f>
        <v>204000</v>
      </c>
      <c r="AD12" s="7">
        <f>+Y12</f>
        <v>204000</v>
      </c>
      <c r="AE12" s="7" t="s">
        <v>1258</v>
      </c>
    </row>
    <row r="13" spans="1:31">
      <c r="A13" s="35" t="s">
        <v>86</v>
      </c>
      <c r="C13" s="11">
        <f>SUM(C11:C12)</f>
        <v>282551.34999999998</v>
      </c>
      <c r="D13" s="21"/>
      <c r="E13" s="674">
        <f>SUM(E11:E12)</f>
        <v>1832</v>
      </c>
      <c r="F13" s="674">
        <f t="shared" ref="F13:J13" si="0">SUM(F11:F12)</f>
        <v>0</v>
      </c>
      <c r="G13" s="674">
        <f t="shared" si="0"/>
        <v>200</v>
      </c>
      <c r="H13" s="674">
        <f t="shared" si="0"/>
        <v>48</v>
      </c>
      <c r="I13" s="674">
        <f t="shared" si="0"/>
        <v>0</v>
      </c>
      <c r="J13" s="674">
        <f t="shared" si="0"/>
        <v>2080</v>
      </c>
      <c r="K13" s="116"/>
      <c r="L13" s="11">
        <f>SUM(L11:L12)</f>
        <v>0</v>
      </c>
      <c r="M13" s="11">
        <f>SUM(M11:M12)</f>
        <v>0</v>
      </c>
      <c r="N13" s="116"/>
      <c r="O13" s="11">
        <f t="shared" ref="O13:V13" si="1">SUM(O11:O12)</f>
        <v>0</v>
      </c>
      <c r="P13" s="11">
        <f t="shared" si="1"/>
        <v>0</v>
      </c>
      <c r="Q13" s="21"/>
      <c r="R13" s="11">
        <f t="shared" si="1"/>
        <v>-16</v>
      </c>
      <c r="S13" s="11">
        <f t="shared" si="1"/>
        <v>-525</v>
      </c>
      <c r="T13" s="21"/>
      <c r="U13" s="11">
        <f>SUM(U11:U12)</f>
        <v>16</v>
      </c>
      <c r="V13" s="11">
        <f t="shared" si="1"/>
        <v>549</v>
      </c>
      <c r="W13" s="21"/>
      <c r="X13" s="11">
        <f>SUM(X11:X12)</f>
        <v>2080</v>
      </c>
      <c r="Y13" s="11">
        <f>SUM(Y11:Y12)</f>
        <v>282575.34999999998</v>
      </c>
      <c r="Z13" s="10"/>
      <c r="AA13" s="10"/>
      <c r="AB13" s="10"/>
    </row>
    <row r="14" spans="1:31">
      <c r="C14" s="9"/>
      <c r="D14" s="21"/>
      <c r="E14" s="115"/>
      <c r="F14" s="115"/>
      <c r="G14" s="115"/>
      <c r="H14" s="115"/>
      <c r="I14" s="115"/>
      <c r="J14" s="115"/>
      <c r="K14" s="116"/>
      <c r="L14" s="9"/>
      <c r="M14" s="9"/>
      <c r="N14" s="116"/>
      <c r="O14" s="9"/>
      <c r="P14" s="9"/>
      <c r="Q14" s="21"/>
      <c r="R14" s="9"/>
      <c r="S14" s="9"/>
      <c r="T14" s="21"/>
      <c r="U14" s="9"/>
      <c r="V14" s="9"/>
      <c r="W14" s="21"/>
      <c r="X14" s="9"/>
      <c r="Y14" s="682">
        <f>Y11*'WP-7 - Cust Counts (x per wk)'!I110</f>
        <v>0</v>
      </c>
      <c r="Z14" s="319"/>
      <c r="AA14" s="319">
        <f>Operations!C28</f>
        <v>0</v>
      </c>
      <c r="AB14" s="319">
        <f>Y14-AA14</f>
        <v>0</v>
      </c>
    </row>
    <row r="15" spans="1:31">
      <c r="A15" s="20" t="s">
        <v>655</v>
      </c>
      <c r="C15" s="10">
        <v>98699</v>
      </c>
      <c r="D15" s="676"/>
      <c r="E15" s="115">
        <v>1895</v>
      </c>
      <c r="F15" s="113">
        <v>254</v>
      </c>
      <c r="G15" s="113">
        <v>176</v>
      </c>
      <c r="H15" s="113">
        <v>48</v>
      </c>
      <c r="I15" s="113">
        <v>0</v>
      </c>
      <c r="J15" s="115">
        <f>SUM(E15:I15)</f>
        <v>2373</v>
      </c>
      <c r="L15" s="10">
        <v>-8</v>
      </c>
      <c r="M15" s="10">
        <v>-291.2</v>
      </c>
      <c r="O15" s="10">
        <v>8</v>
      </c>
      <c r="P15" s="10">
        <v>311.92</v>
      </c>
      <c r="Q15" s="676"/>
      <c r="R15" s="10">
        <v>-6</v>
      </c>
      <c r="S15" s="10">
        <v>-214.76</v>
      </c>
      <c r="T15" s="676"/>
      <c r="U15" s="10">
        <v>20</v>
      </c>
      <c r="V15" s="10">
        <v>782</v>
      </c>
      <c r="W15" s="676"/>
      <c r="X15" s="9">
        <f>J15+L15+O15+R15+U15</f>
        <v>2387</v>
      </c>
      <c r="Y15" s="9">
        <f>+C15+M15+P15+S15+V15</f>
        <v>99286.96</v>
      </c>
      <c r="Z15" s="10"/>
      <c r="AA15" s="10"/>
      <c r="AB15" s="10"/>
      <c r="AD15" s="7">
        <f>SUM(Y15:AC15)</f>
        <v>99286.96</v>
      </c>
    </row>
    <row r="16" spans="1:31">
      <c r="A16" s="20" t="s">
        <v>157</v>
      </c>
      <c r="C16" s="9">
        <v>37114</v>
      </c>
      <c r="D16" s="21"/>
      <c r="E16" s="115">
        <v>1856</v>
      </c>
      <c r="F16" s="115">
        <v>6</v>
      </c>
      <c r="G16" s="115">
        <v>64</v>
      </c>
      <c r="H16" s="115">
        <v>48</v>
      </c>
      <c r="I16" s="115">
        <v>0</v>
      </c>
      <c r="J16" s="115">
        <f>SUM(E16:I16)</f>
        <v>1974</v>
      </c>
      <c r="K16" s="116"/>
      <c r="L16" s="9">
        <v>24</v>
      </c>
      <c r="M16" s="9">
        <v>436.32</v>
      </c>
      <c r="N16" s="116"/>
      <c r="O16" s="9">
        <v>0</v>
      </c>
      <c r="P16" s="9">
        <v>0</v>
      </c>
      <c r="Q16" s="21"/>
      <c r="R16" s="9">
        <v>-16</v>
      </c>
      <c r="S16" s="9">
        <v>-290.88</v>
      </c>
      <c r="T16" s="21"/>
      <c r="U16" s="9">
        <v>14</v>
      </c>
      <c r="V16" s="9">
        <v>253</v>
      </c>
      <c r="W16" s="21"/>
      <c r="X16" s="9">
        <f>J16+L16+O16+R16+U16</f>
        <v>1996</v>
      </c>
      <c r="Y16" s="9">
        <f>+C16+M16+P16+S16+V16</f>
        <v>37512.44</v>
      </c>
      <c r="Z16" s="10"/>
      <c r="AA16" s="10"/>
      <c r="AB16" s="10"/>
      <c r="AD16" s="7">
        <f>SUM(Y16:AC16)</f>
        <v>37512.44</v>
      </c>
    </row>
    <row r="17" spans="1:30">
      <c r="A17" s="20" t="s">
        <v>642</v>
      </c>
      <c r="C17" s="688">
        <v>2684</v>
      </c>
      <c r="D17" s="21"/>
      <c r="E17" s="115">
        <v>130</v>
      </c>
      <c r="F17" s="115">
        <v>0</v>
      </c>
      <c r="G17" s="115">
        <v>0</v>
      </c>
      <c r="H17" s="115">
        <v>0</v>
      </c>
      <c r="I17" s="115">
        <v>0</v>
      </c>
      <c r="J17" s="115">
        <f>SUM(E17:I17)</f>
        <v>130</v>
      </c>
      <c r="K17" s="116"/>
      <c r="L17" s="11">
        <v>0</v>
      </c>
      <c r="M17" s="11">
        <v>0</v>
      </c>
      <c r="N17" s="116"/>
      <c r="O17" s="11">
        <v>0</v>
      </c>
      <c r="P17" s="11">
        <v>0</v>
      </c>
      <c r="Q17" s="21"/>
      <c r="R17" s="11">
        <v>0</v>
      </c>
      <c r="S17" s="11">
        <v>0</v>
      </c>
      <c r="T17" s="21"/>
      <c r="U17" s="11">
        <v>4</v>
      </c>
      <c r="V17" s="11">
        <v>75</v>
      </c>
      <c r="W17" s="21"/>
      <c r="X17" s="11">
        <f>J17+L17+O17+R17+U17</f>
        <v>134</v>
      </c>
      <c r="Y17" s="688">
        <f>+C17+M17+P17+S17+V17</f>
        <v>2759</v>
      </c>
      <c r="Z17" s="10"/>
      <c r="AA17" s="10"/>
      <c r="AB17" s="10"/>
      <c r="AD17" s="7">
        <f>SUM(Y17:AC17)</f>
        <v>2759</v>
      </c>
    </row>
    <row r="18" spans="1:30">
      <c r="A18" s="35" t="s">
        <v>87</v>
      </c>
      <c r="C18" s="11">
        <f>SUM(C15:C17)</f>
        <v>138497</v>
      </c>
      <c r="D18" s="676"/>
      <c r="E18" s="678">
        <f t="shared" ref="E18:J18" si="2">SUM(E15:E17)</f>
        <v>3881</v>
      </c>
      <c r="F18" s="678">
        <f t="shared" si="2"/>
        <v>260</v>
      </c>
      <c r="G18" s="678">
        <f t="shared" si="2"/>
        <v>240</v>
      </c>
      <c r="H18" s="678">
        <f t="shared" si="2"/>
        <v>96</v>
      </c>
      <c r="I18" s="678">
        <f t="shared" si="2"/>
        <v>0</v>
      </c>
      <c r="J18" s="678">
        <f t="shared" si="2"/>
        <v>4477</v>
      </c>
      <c r="L18" s="11">
        <f>SUM(L15:L17)</f>
        <v>16</v>
      </c>
      <c r="M18" s="11">
        <f>SUM(M15:M17)</f>
        <v>145.12</v>
      </c>
      <c r="O18" s="11">
        <f>SUM(O15:O17)</f>
        <v>8</v>
      </c>
      <c r="P18" s="11">
        <f>SUM(P15:P17)</f>
        <v>311.92</v>
      </c>
      <c r="Q18" s="21"/>
      <c r="R18" s="11">
        <f>SUM(R15:R17)</f>
        <v>-22</v>
      </c>
      <c r="S18" s="11">
        <f>SUM(S15:S17)</f>
        <v>-505.64</v>
      </c>
      <c r="T18" s="21"/>
      <c r="U18" s="11">
        <f>SUM(U15:U17)</f>
        <v>38</v>
      </c>
      <c r="V18" s="11">
        <f>SUM(V15:V17)</f>
        <v>1110</v>
      </c>
      <c r="W18" s="676"/>
      <c r="X18" s="11">
        <f>SUM(X15:X17)</f>
        <v>4517</v>
      </c>
      <c r="Y18" s="11">
        <f>SUM(Y15:Y17)</f>
        <v>139558.40000000002</v>
      </c>
      <c r="Z18" s="10"/>
      <c r="AA18" s="10">
        <f>+'Sch 4 - 12 Months'!O44</f>
        <v>211602.13</v>
      </c>
      <c r="AB18" s="10">
        <f>-AA18+Y18</f>
        <v>-72043.729999999981</v>
      </c>
      <c r="AC18" s="7">
        <f>+AA18+AB18</f>
        <v>139558.40000000002</v>
      </c>
    </row>
    <row r="19" spans="1:30">
      <c r="C19" s="10"/>
      <c r="D19" s="676"/>
      <c r="L19" s="10"/>
      <c r="M19" s="10"/>
      <c r="O19" s="10"/>
      <c r="P19" s="10"/>
      <c r="Q19" s="676"/>
      <c r="R19" s="10"/>
      <c r="S19" s="10"/>
      <c r="T19" s="676"/>
      <c r="U19" s="10"/>
      <c r="V19" s="10"/>
      <c r="W19" s="676"/>
      <c r="X19" s="10"/>
      <c r="Y19" s="681">
        <f>Y18*'WP-7 - Cust Counts (x per wk)'!I110</f>
        <v>0</v>
      </c>
      <c r="Z19" s="319"/>
      <c r="AA19" s="319">
        <f>Operations!C45</f>
        <v>211602.13</v>
      </c>
      <c r="AB19" s="319"/>
    </row>
    <row r="20" spans="1:30">
      <c r="A20" s="20" t="s">
        <v>636</v>
      </c>
      <c r="C20" s="9">
        <v>47280</v>
      </c>
      <c r="D20" s="21"/>
      <c r="E20" s="115">
        <v>1844</v>
      </c>
      <c r="F20" s="115">
        <v>1</v>
      </c>
      <c r="G20" s="115">
        <v>80</v>
      </c>
      <c r="H20" s="115">
        <v>48</v>
      </c>
      <c r="I20" s="115">
        <v>0</v>
      </c>
      <c r="J20" s="115">
        <f>SUM(E20:I20)</f>
        <v>1973</v>
      </c>
      <c r="K20" s="116"/>
      <c r="L20" s="9">
        <v>0</v>
      </c>
      <c r="M20" s="9">
        <v>0</v>
      </c>
      <c r="N20" s="116"/>
      <c r="O20" s="9">
        <v>80</v>
      </c>
      <c r="P20" s="9">
        <v>1574.4</v>
      </c>
      <c r="Q20" s="21"/>
      <c r="R20" s="9">
        <v>-16</v>
      </c>
      <c r="S20" s="9">
        <v>-316.52</v>
      </c>
      <c r="T20" s="21"/>
      <c r="U20" s="9">
        <v>25</v>
      </c>
      <c r="V20" s="9">
        <v>499</v>
      </c>
      <c r="W20" s="21"/>
      <c r="X20" s="9">
        <f>J20+L20+O20+R20+U20</f>
        <v>2062</v>
      </c>
      <c r="Y20" s="9">
        <f t="shared" ref="Y20:Y28" si="3">+C20+M20+P20+S20+V20</f>
        <v>49036.880000000005</v>
      </c>
      <c r="Z20" s="10"/>
      <c r="AA20" s="10"/>
      <c r="AB20" s="10"/>
      <c r="AD20" s="7">
        <f t="shared" ref="AD20:AD28" si="4">SUM(Y20:AC20)</f>
        <v>49036.880000000005</v>
      </c>
    </row>
    <row r="21" spans="1:30">
      <c r="A21" s="20" t="s">
        <v>713</v>
      </c>
      <c r="C21" s="9">
        <v>0</v>
      </c>
      <c r="D21" s="21"/>
      <c r="E21" s="115">
        <v>0</v>
      </c>
      <c r="F21" s="115">
        <v>0</v>
      </c>
      <c r="G21" s="115">
        <v>0</v>
      </c>
      <c r="H21" s="115">
        <v>0</v>
      </c>
      <c r="I21" s="115">
        <v>0</v>
      </c>
      <c r="J21" s="115">
        <f>SUM(E21:I21)</f>
        <v>0</v>
      </c>
      <c r="K21" s="116"/>
      <c r="L21" s="9">
        <v>0</v>
      </c>
      <c r="M21" s="9">
        <v>0</v>
      </c>
      <c r="N21" s="116"/>
      <c r="O21" s="9">
        <v>0</v>
      </c>
      <c r="P21" s="9">
        <v>0</v>
      </c>
      <c r="Q21" s="21"/>
      <c r="R21" s="9">
        <v>0</v>
      </c>
      <c r="S21" s="9">
        <v>0</v>
      </c>
      <c r="T21" s="21"/>
      <c r="U21" s="9">
        <v>0</v>
      </c>
      <c r="V21" s="9">
        <v>0</v>
      </c>
      <c r="W21" s="21"/>
      <c r="X21" s="9">
        <f>J21+L21+O21+R21+U21</f>
        <v>0</v>
      </c>
      <c r="Y21" s="9">
        <f t="shared" si="3"/>
        <v>0</v>
      </c>
      <c r="Z21" s="10"/>
      <c r="AA21" s="10"/>
      <c r="AB21" s="10"/>
      <c r="AD21" s="7">
        <f>SUM(Y21:AC21)</f>
        <v>0</v>
      </c>
    </row>
    <row r="22" spans="1:30">
      <c r="A22" s="20" t="s">
        <v>88</v>
      </c>
      <c r="C22" s="9">
        <v>51230</v>
      </c>
      <c r="D22" s="21"/>
      <c r="E22" s="115">
        <v>1680</v>
      </c>
      <c r="F22" s="115">
        <v>181</v>
      </c>
      <c r="G22" s="115">
        <v>286</v>
      </c>
      <c r="H22" s="115">
        <v>48</v>
      </c>
      <c r="I22" s="115">
        <v>0</v>
      </c>
      <c r="J22" s="115">
        <f t="shared" ref="J22:J28" si="5">SUM(E22:I22)</f>
        <v>2195</v>
      </c>
      <c r="K22" s="116"/>
      <c r="L22" s="9">
        <v>-80</v>
      </c>
      <c r="M22" s="9">
        <v>-1682.4</v>
      </c>
      <c r="N22" s="116"/>
      <c r="O22" s="9">
        <v>80</v>
      </c>
      <c r="P22" s="9">
        <v>1716</v>
      </c>
      <c r="Q22" s="21"/>
      <c r="R22" s="9">
        <v>-15</v>
      </c>
      <c r="S22" s="9">
        <v>-317.55</v>
      </c>
      <c r="T22" s="21"/>
      <c r="U22" s="9">
        <v>24</v>
      </c>
      <c r="V22" s="9">
        <v>511</v>
      </c>
      <c r="W22" s="21"/>
      <c r="X22" s="9">
        <f t="shared" ref="X22:X28" si="6">J22+L22+O22+R22+U22</f>
        <v>2204</v>
      </c>
      <c r="Y22" s="9">
        <f t="shared" si="3"/>
        <v>51457.049999999996</v>
      </c>
      <c r="Z22" s="10"/>
      <c r="AA22" s="10"/>
      <c r="AB22" s="10"/>
      <c r="AD22" s="7">
        <f t="shared" si="4"/>
        <v>51457.049999999996</v>
      </c>
    </row>
    <row r="23" spans="1:30">
      <c r="A23" s="20" t="s">
        <v>122</v>
      </c>
      <c r="C23" s="9">
        <v>54131</v>
      </c>
      <c r="D23" s="21"/>
      <c r="E23" s="115">
        <v>1972</v>
      </c>
      <c r="F23" s="115">
        <v>193</v>
      </c>
      <c r="G23" s="115">
        <v>112</v>
      </c>
      <c r="H23" s="115">
        <v>48</v>
      </c>
      <c r="I23" s="115">
        <v>0</v>
      </c>
      <c r="J23" s="115">
        <f t="shared" si="5"/>
        <v>2325</v>
      </c>
      <c r="K23" s="116"/>
      <c r="L23" s="9">
        <v>-80</v>
      </c>
      <c r="M23" s="9">
        <v>-1682.4</v>
      </c>
      <c r="N23" s="116"/>
      <c r="O23" s="9">
        <v>104</v>
      </c>
      <c r="P23" s="9">
        <v>2230.8000000000002</v>
      </c>
      <c r="Q23" s="21"/>
      <c r="R23" s="9">
        <v>-17</v>
      </c>
      <c r="S23" s="9">
        <v>-363.82</v>
      </c>
      <c r="T23" s="21"/>
      <c r="U23" s="9">
        <v>25</v>
      </c>
      <c r="V23" s="9">
        <v>529</v>
      </c>
      <c r="W23" s="21"/>
      <c r="X23" s="9">
        <f t="shared" si="6"/>
        <v>2357</v>
      </c>
      <c r="Y23" s="9">
        <f t="shared" si="3"/>
        <v>54844.58</v>
      </c>
      <c r="Z23" s="10"/>
      <c r="AA23" s="10"/>
      <c r="AB23" s="10"/>
      <c r="AD23" s="7">
        <f t="shared" si="4"/>
        <v>54844.58</v>
      </c>
    </row>
    <row r="24" spans="1:30">
      <c r="A24" s="20" t="s">
        <v>393</v>
      </c>
      <c r="C24" s="9">
        <v>50009</v>
      </c>
      <c r="D24" s="21"/>
      <c r="E24" s="115">
        <v>1088</v>
      </c>
      <c r="F24" s="115">
        <v>0</v>
      </c>
      <c r="G24" s="115">
        <v>208</v>
      </c>
      <c r="H24" s="115">
        <v>48</v>
      </c>
      <c r="I24" s="115">
        <v>0</v>
      </c>
      <c r="J24" s="115">
        <f t="shared" si="5"/>
        <v>1344</v>
      </c>
      <c r="K24" s="116"/>
      <c r="L24" s="9">
        <v>-48</v>
      </c>
      <c r="M24" s="9">
        <v>-1009.44</v>
      </c>
      <c r="N24" s="116"/>
      <c r="O24" s="9">
        <v>80</v>
      </c>
      <c r="P24" s="9">
        <v>1716</v>
      </c>
      <c r="Q24" s="21"/>
      <c r="R24" s="9">
        <v>-6</v>
      </c>
      <c r="S24" s="9">
        <v>-128.07</v>
      </c>
      <c r="T24" s="21"/>
      <c r="U24" s="9">
        <v>9</v>
      </c>
      <c r="V24" s="9">
        <v>203</v>
      </c>
      <c r="W24" s="21"/>
      <c r="X24" s="9">
        <f t="shared" si="6"/>
        <v>1379</v>
      </c>
      <c r="Y24" s="9">
        <f t="shared" si="3"/>
        <v>50790.49</v>
      </c>
      <c r="Z24" s="10"/>
      <c r="AA24" s="10"/>
      <c r="AB24" s="10"/>
      <c r="AD24" s="7">
        <f t="shared" si="4"/>
        <v>50790.49</v>
      </c>
    </row>
    <row r="25" spans="1:30">
      <c r="A25" s="20" t="s">
        <v>946</v>
      </c>
      <c r="C25" s="9">
        <v>43509</v>
      </c>
      <c r="D25" s="21"/>
      <c r="E25" s="115">
        <v>1711</v>
      </c>
      <c r="F25" s="115">
        <v>0</v>
      </c>
      <c r="G25" s="115">
        <v>80</v>
      </c>
      <c r="H25" s="115">
        <v>48</v>
      </c>
      <c r="I25" s="115">
        <v>0</v>
      </c>
      <c r="J25" s="115">
        <f t="shared" si="5"/>
        <v>1839</v>
      </c>
      <c r="K25" s="116"/>
      <c r="L25" s="9">
        <v>-8</v>
      </c>
      <c r="M25" s="9">
        <v>-141.84</v>
      </c>
      <c r="N25" s="116"/>
      <c r="O25" s="9">
        <v>56</v>
      </c>
      <c r="P25" s="9">
        <v>1013.04</v>
      </c>
      <c r="Q25" s="21"/>
      <c r="R25" s="9">
        <v>-14</v>
      </c>
      <c r="S25" s="9">
        <v>-248.22</v>
      </c>
      <c r="T25" s="21"/>
      <c r="U25" s="9">
        <v>21</v>
      </c>
      <c r="V25" s="9">
        <v>387</v>
      </c>
      <c r="W25" s="21"/>
      <c r="X25" s="9">
        <f t="shared" si="6"/>
        <v>1894</v>
      </c>
      <c r="Y25" s="9">
        <f t="shared" si="3"/>
        <v>44518.98</v>
      </c>
      <c r="Z25" s="10"/>
      <c r="AA25" s="10"/>
      <c r="AB25" s="10"/>
      <c r="AD25" s="7">
        <f t="shared" si="4"/>
        <v>44518.98</v>
      </c>
    </row>
    <row r="26" spans="1:30">
      <c r="A26" s="20" t="s">
        <v>947</v>
      </c>
      <c r="C26" s="9">
        <v>2002.02</v>
      </c>
      <c r="D26" s="21"/>
      <c r="E26" s="115">
        <v>112</v>
      </c>
      <c r="F26" s="115">
        <v>9</v>
      </c>
      <c r="G26" s="115">
        <v>0</v>
      </c>
      <c r="H26" s="115">
        <v>0</v>
      </c>
      <c r="I26" s="115">
        <v>0</v>
      </c>
      <c r="J26" s="115">
        <f t="shared" si="5"/>
        <v>121</v>
      </c>
      <c r="K26" s="116"/>
      <c r="L26" s="9">
        <v>0</v>
      </c>
      <c r="M26" s="9">
        <v>0</v>
      </c>
      <c r="N26" s="116"/>
      <c r="O26" s="9">
        <v>0</v>
      </c>
      <c r="P26" s="9">
        <v>0</v>
      </c>
      <c r="Q26" s="21"/>
      <c r="R26" s="9">
        <v>0</v>
      </c>
      <c r="S26" s="9">
        <v>0</v>
      </c>
      <c r="T26" s="21"/>
      <c r="U26" s="9">
        <v>0</v>
      </c>
      <c r="V26" s="9">
        <v>0</v>
      </c>
      <c r="W26" s="21"/>
      <c r="X26" s="9">
        <f t="shared" si="6"/>
        <v>121</v>
      </c>
      <c r="Y26" s="9">
        <f t="shared" si="3"/>
        <v>2002.02</v>
      </c>
      <c r="Z26" s="10"/>
      <c r="AA26" s="10"/>
      <c r="AB26" s="10"/>
      <c r="AD26" s="7">
        <f t="shared" si="4"/>
        <v>2002.02</v>
      </c>
    </row>
    <row r="27" spans="1:30">
      <c r="A27" s="20" t="s">
        <v>637</v>
      </c>
      <c r="C27" s="21">
        <v>43439</v>
      </c>
      <c r="D27" s="21"/>
      <c r="E27" s="116">
        <v>1976</v>
      </c>
      <c r="F27" s="116">
        <v>290</v>
      </c>
      <c r="G27" s="116">
        <v>88</v>
      </c>
      <c r="H27" s="116">
        <v>48</v>
      </c>
      <c r="I27" s="116">
        <v>16</v>
      </c>
      <c r="J27" s="115">
        <f t="shared" si="5"/>
        <v>2418</v>
      </c>
      <c r="K27" s="116"/>
      <c r="L27" s="21">
        <v>-80</v>
      </c>
      <c r="M27" s="21">
        <v>-1276</v>
      </c>
      <c r="N27" s="116"/>
      <c r="O27" s="21">
        <v>80</v>
      </c>
      <c r="P27" s="21">
        <v>1432</v>
      </c>
      <c r="Q27" s="21"/>
      <c r="R27" s="21">
        <v>-20</v>
      </c>
      <c r="S27" s="21">
        <v>-314.22000000000003</v>
      </c>
      <c r="T27" s="21"/>
      <c r="U27" s="21">
        <v>18</v>
      </c>
      <c r="V27" s="21">
        <v>327</v>
      </c>
      <c r="W27" s="21"/>
      <c r="X27" s="21">
        <f t="shared" si="6"/>
        <v>2416</v>
      </c>
      <c r="Y27" s="9">
        <f t="shared" si="3"/>
        <v>43607.78</v>
      </c>
      <c r="Z27" s="10"/>
      <c r="AA27" s="10"/>
      <c r="AB27" s="10"/>
      <c r="AD27" s="7">
        <f t="shared" si="4"/>
        <v>43607.78</v>
      </c>
    </row>
    <row r="28" spans="1:30">
      <c r="A28" s="20" t="s">
        <v>953</v>
      </c>
      <c r="C28" s="688">
        <v>25397</v>
      </c>
      <c r="D28" s="21"/>
      <c r="E28" s="115">
        <v>1372</v>
      </c>
      <c r="F28" s="115">
        <v>230</v>
      </c>
      <c r="G28" s="115">
        <v>0</v>
      </c>
      <c r="H28" s="115">
        <v>24</v>
      </c>
      <c r="I28" s="115">
        <v>0</v>
      </c>
      <c r="J28" s="115">
        <f t="shared" si="5"/>
        <v>1626</v>
      </c>
      <c r="K28" s="116"/>
      <c r="L28" s="688">
        <v>0</v>
      </c>
      <c r="M28" s="688">
        <v>0</v>
      </c>
      <c r="N28" s="116"/>
      <c r="O28" s="688">
        <v>0</v>
      </c>
      <c r="P28" s="688">
        <v>0</v>
      </c>
      <c r="Q28" s="21"/>
      <c r="R28" s="688">
        <v>0</v>
      </c>
      <c r="S28" s="688">
        <v>0</v>
      </c>
      <c r="T28" s="21"/>
      <c r="U28" s="688">
        <v>8</v>
      </c>
      <c r="V28" s="688">
        <v>112</v>
      </c>
      <c r="W28" s="688"/>
      <c r="X28" s="688">
        <f t="shared" si="6"/>
        <v>1634</v>
      </c>
      <c r="Y28" s="688">
        <f t="shared" si="3"/>
        <v>25509</v>
      </c>
      <c r="Z28" s="10"/>
      <c r="AA28" s="10"/>
      <c r="AB28" s="10"/>
      <c r="AD28" s="7">
        <f t="shared" si="4"/>
        <v>25509</v>
      </c>
    </row>
    <row r="29" spans="1:30">
      <c r="A29" s="35" t="s">
        <v>958</v>
      </c>
      <c r="C29" s="11">
        <f>SUM(C20:C28)</f>
        <v>316997.02</v>
      </c>
      <c r="D29" s="21"/>
      <c r="E29" s="677">
        <f t="shared" ref="E29:J29" si="7">SUM(E20:E28)</f>
        <v>11755</v>
      </c>
      <c r="F29" s="677">
        <f t="shared" si="7"/>
        <v>904</v>
      </c>
      <c r="G29" s="677">
        <f t="shared" si="7"/>
        <v>854</v>
      </c>
      <c r="H29" s="677">
        <f t="shared" si="7"/>
        <v>312</v>
      </c>
      <c r="I29" s="677">
        <f t="shared" si="7"/>
        <v>16</v>
      </c>
      <c r="J29" s="677">
        <f t="shared" si="7"/>
        <v>13841</v>
      </c>
      <c r="K29" s="21"/>
      <c r="L29" s="11">
        <f>SUM(L20:L28)</f>
        <v>-296</v>
      </c>
      <c r="M29" s="11">
        <f>SUM(M20:M28)</f>
        <v>-5792.08</v>
      </c>
      <c r="N29" s="21"/>
      <c r="O29" s="11">
        <f>SUM(O20:O28)</f>
        <v>480</v>
      </c>
      <c r="P29" s="11">
        <f>SUM(P20:P28)</f>
        <v>9682.2400000000016</v>
      </c>
      <c r="Q29" s="21"/>
      <c r="R29" s="11">
        <f>SUM(R20:R28)</f>
        <v>-88</v>
      </c>
      <c r="S29" s="11">
        <f>SUM(S20:S28)</f>
        <v>-1688.3999999999999</v>
      </c>
      <c r="T29" s="21"/>
      <c r="U29" s="11">
        <f>SUM(U20:U28)</f>
        <v>130</v>
      </c>
      <c r="V29" s="11">
        <f>SUM(V20:V28)</f>
        <v>2568</v>
      </c>
      <c r="W29" s="21"/>
      <c r="X29" s="11">
        <f>SUM(X20:X28)</f>
        <v>14067</v>
      </c>
      <c r="Y29" s="11">
        <f>SUM(Y20:Y28)</f>
        <v>321766.78000000003</v>
      </c>
      <c r="Z29" s="10"/>
      <c r="AA29" s="10">
        <f>+'Sch 4 - 12 Months'!O23</f>
        <v>508408.36</v>
      </c>
      <c r="AB29" s="10">
        <f>-AA29+Y29</f>
        <v>-186641.57999999996</v>
      </c>
    </row>
    <row r="30" spans="1:30">
      <c r="C30" s="10"/>
      <c r="D30" s="676"/>
      <c r="L30" s="10"/>
      <c r="M30" s="10"/>
      <c r="O30" s="10"/>
      <c r="P30" s="10"/>
      <c r="Q30" s="676"/>
      <c r="R30" s="10"/>
      <c r="S30" s="10"/>
      <c r="T30" s="676"/>
      <c r="U30" s="10"/>
      <c r="V30" s="10"/>
      <c r="W30" s="676"/>
      <c r="X30" s="10"/>
      <c r="Y30" s="681">
        <f>Y29*100%</f>
        <v>321766.78000000003</v>
      </c>
      <c r="Z30" s="10"/>
      <c r="AA30" s="319">
        <f>Operations!C24</f>
        <v>508408.36</v>
      </c>
      <c r="AB30" s="319">
        <f>Y30-AA30</f>
        <v>-186641.57999999996</v>
      </c>
    </row>
    <row r="31" spans="1:30">
      <c r="A31" s="20" t="s">
        <v>158</v>
      </c>
      <c r="C31" s="9">
        <v>79698</v>
      </c>
      <c r="D31" s="21"/>
      <c r="E31" s="115">
        <v>1919</v>
      </c>
      <c r="F31" s="115">
        <v>704</v>
      </c>
      <c r="G31" s="115">
        <v>168</v>
      </c>
      <c r="H31" s="115">
        <v>40</v>
      </c>
      <c r="I31" s="115">
        <f>8+24</f>
        <v>32</v>
      </c>
      <c r="J31" s="115">
        <f>SUM(E31:I31)</f>
        <v>2863</v>
      </c>
      <c r="K31" s="116"/>
      <c r="L31" s="9">
        <v>-16</v>
      </c>
      <c r="M31" s="9">
        <v>-354.56</v>
      </c>
      <c r="N31" s="116"/>
      <c r="O31" s="9">
        <v>40</v>
      </c>
      <c r="P31" s="9">
        <v>904</v>
      </c>
      <c r="Q31" s="21"/>
      <c r="R31" s="9">
        <v>-22</v>
      </c>
      <c r="S31" s="9">
        <v>-496.38</v>
      </c>
      <c r="T31" s="21"/>
      <c r="U31" s="9">
        <v>22</v>
      </c>
      <c r="V31" s="9">
        <v>433</v>
      </c>
      <c r="W31" s="21"/>
      <c r="X31" s="9">
        <f>J31+L31+O31+R31+U31</f>
        <v>2887</v>
      </c>
      <c r="Y31" s="9">
        <f>+C31+M31+P31+S31+V31</f>
        <v>80184.06</v>
      </c>
      <c r="Z31" s="10"/>
      <c r="AA31" s="10"/>
      <c r="AB31" s="10"/>
      <c r="AD31" s="7">
        <f>SUM(Y31:AC31)</f>
        <v>80184.06</v>
      </c>
    </row>
    <row r="32" spans="1:30">
      <c r="A32" s="20" t="s">
        <v>639</v>
      </c>
      <c r="C32" s="9">
        <v>73825</v>
      </c>
      <c r="D32" s="21"/>
      <c r="E32" s="115">
        <v>2027</v>
      </c>
      <c r="F32" s="115">
        <v>677</v>
      </c>
      <c r="G32" s="115">
        <v>80</v>
      </c>
      <c r="H32" s="115">
        <v>48</v>
      </c>
      <c r="I32" s="115">
        <v>8</v>
      </c>
      <c r="J32" s="115">
        <f>SUM(E32:I32)</f>
        <v>2840</v>
      </c>
      <c r="K32" s="116"/>
      <c r="L32" s="11">
        <v>-72</v>
      </c>
      <c r="M32" s="11">
        <v>-1595.52</v>
      </c>
      <c r="N32" s="116"/>
      <c r="O32" s="11">
        <v>128</v>
      </c>
      <c r="P32" s="11">
        <v>2892.8</v>
      </c>
      <c r="Q32" s="21"/>
      <c r="R32" s="11">
        <v>-22</v>
      </c>
      <c r="S32" s="11">
        <v>-469.79</v>
      </c>
      <c r="T32" s="21"/>
      <c r="U32" s="11">
        <v>19</v>
      </c>
      <c r="V32" s="11">
        <v>486</v>
      </c>
      <c r="W32" s="21"/>
      <c r="X32" s="11">
        <f>J32+L32+O32+R32+U32</f>
        <v>2893</v>
      </c>
      <c r="Y32" s="11">
        <f>+C32+M32+P32+S32+V32</f>
        <v>75138.490000000005</v>
      </c>
      <c r="Z32" s="10"/>
      <c r="AA32" s="10"/>
      <c r="AB32" s="10"/>
      <c r="AD32" s="7">
        <f>SUM(Y32:AC32)</f>
        <v>75138.490000000005</v>
      </c>
    </row>
    <row r="33" spans="1:30">
      <c r="A33" s="35" t="s">
        <v>10</v>
      </c>
      <c r="C33" s="680">
        <f>SUM(C31:C32)</f>
        <v>153523</v>
      </c>
      <c r="D33" s="21"/>
      <c r="E33" s="677">
        <f t="shared" ref="E33:J33" si="8">SUM(E31:E32)</f>
        <v>3946</v>
      </c>
      <c r="F33" s="677">
        <f t="shared" si="8"/>
        <v>1381</v>
      </c>
      <c r="G33" s="677">
        <f t="shared" si="8"/>
        <v>248</v>
      </c>
      <c r="H33" s="677">
        <f t="shared" si="8"/>
        <v>88</v>
      </c>
      <c r="I33" s="677">
        <f t="shared" si="8"/>
        <v>40</v>
      </c>
      <c r="J33" s="677">
        <f t="shared" si="8"/>
        <v>5703</v>
      </c>
      <c r="K33" s="116"/>
      <c r="L33" s="11">
        <f>SUM(L31:L32)</f>
        <v>-88</v>
      </c>
      <c r="M33" s="11">
        <f>SUM(M31:M32)</f>
        <v>-1950.08</v>
      </c>
      <c r="N33" s="116"/>
      <c r="O33" s="11">
        <f>SUM(O31:O32)</f>
        <v>168</v>
      </c>
      <c r="P33" s="11">
        <f>SUM(P31:P32)</f>
        <v>3796.8</v>
      </c>
      <c r="Q33" s="21"/>
      <c r="R33" s="11">
        <f>SUM(R31:R32)</f>
        <v>-44</v>
      </c>
      <c r="S33" s="11">
        <f>SUM(S31:S32)</f>
        <v>-966.17000000000007</v>
      </c>
      <c r="T33" s="21"/>
      <c r="U33" s="11">
        <f>SUM(U31:U32)</f>
        <v>41</v>
      </c>
      <c r="V33" s="11">
        <f>SUM(V31:V32)</f>
        <v>919</v>
      </c>
      <c r="W33" s="21"/>
      <c r="X33" s="11">
        <f>SUM(X31:X32)</f>
        <v>5780</v>
      </c>
      <c r="Y33" s="11">
        <f>SUM(Y31:Y32)</f>
        <v>155322.54999999999</v>
      </c>
      <c r="Z33" s="10"/>
      <c r="AA33" s="10">
        <f>'Sch 4 - 12 Months'!O24</f>
        <v>0</v>
      </c>
      <c r="AB33" s="10">
        <f>-AA33+Y33</f>
        <v>155322.54999999999</v>
      </c>
    </row>
    <row r="34" spans="1:30">
      <c r="A34" s="37"/>
      <c r="C34" s="21"/>
      <c r="D34" s="21"/>
      <c r="E34" s="116"/>
      <c r="F34" s="116"/>
      <c r="G34" s="116"/>
      <c r="H34" s="116"/>
      <c r="I34" s="116"/>
      <c r="J34" s="116"/>
      <c r="K34" s="116"/>
      <c r="L34" s="21"/>
      <c r="M34" s="21"/>
      <c r="N34" s="116"/>
      <c r="O34" s="21"/>
      <c r="P34" s="21"/>
      <c r="Q34" s="21"/>
      <c r="R34" s="21"/>
      <c r="S34" s="21"/>
      <c r="T34" s="21"/>
      <c r="U34" s="21"/>
      <c r="V34" s="21"/>
      <c r="W34" s="21"/>
      <c r="X34" s="21"/>
      <c r="Y34" s="686">
        <f>Y33</f>
        <v>155322.54999999999</v>
      </c>
      <c r="Z34" s="10"/>
      <c r="AA34" s="319">
        <v>0</v>
      </c>
      <c r="AB34" s="319">
        <f>Y34-AA34</f>
        <v>155322.54999999999</v>
      </c>
    </row>
    <row r="35" spans="1:30">
      <c r="A35" s="20" t="s">
        <v>948</v>
      </c>
      <c r="C35" s="21">
        <v>6082</v>
      </c>
      <c r="D35" s="21"/>
      <c r="E35" s="116">
        <v>325</v>
      </c>
      <c r="F35" s="116">
        <v>58</v>
      </c>
      <c r="G35" s="116">
        <v>0</v>
      </c>
      <c r="H35" s="116">
        <v>0</v>
      </c>
      <c r="I35" s="116">
        <v>0</v>
      </c>
      <c r="J35" s="115">
        <f t="shared" ref="J35:J43" si="9">SUM(E35:I35)</f>
        <v>383</v>
      </c>
      <c r="K35" s="116"/>
      <c r="L35" s="21">
        <v>0</v>
      </c>
      <c r="M35" s="21">
        <v>0</v>
      </c>
      <c r="N35" s="116"/>
      <c r="O35" s="21">
        <v>0</v>
      </c>
      <c r="P35" s="21">
        <v>0</v>
      </c>
      <c r="Q35" s="21"/>
      <c r="R35" s="21">
        <v>0</v>
      </c>
      <c r="S35" s="21">
        <v>0</v>
      </c>
      <c r="T35" s="21"/>
      <c r="U35" s="21">
        <v>0</v>
      </c>
      <c r="V35" s="21">
        <v>0</v>
      </c>
      <c r="W35" s="21"/>
      <c r="X35" s="9">
        <f>J35+L35+O35+R35+U35</f>
        <v>383</v>
      </c>
      <c r="Y35" s="9">
        <f t="shared" ref="Y35:Y43" si="10">+C35+M35+P35+S35+V35</f>
        <v>6082</v>
      </c>
      <c r="Z35" s="10"/>
      <c r="AA35" s="10"/>
      <c r="AB35" s="10"/>
      <c r="AD35" s="7">
        <f t="shared" ref="AD35:AD43" si="11">SUM(Y35:AC35)</f>
        <v>6082</v>
      </c>
    </row>
    <row r="36" spans="1:30">
      <c r="A36" s="20" t="s">
        <v>950</v>
      </c>
      <c r="C36" s="21">
        <v>2210</v>
      </c>
      <c r="D36" s="21"/>
      <c r="E36" s="116">
        <v>196</v>
      </c>
      <c r="F36" s="116">
        <v>3</v>
      </c>
      <c r="G36" s="116">
        <v>0</v>
      </c>
      <c r="H36" s="116">
        <v>0</v>
      </c>
      <c r="I36" s="116">
        <v>0</v>
      </c>
      <c r="J36" s="115">
        <f t="shared" si="9"/>
        <v>199</v>
      </c>
      <c r="K36" s="116"/>
      <c r="L36" s="21">
        <v>0</v>
      </c>
      <c r="M36" s="21">
        <v>0</v>
      </c>
      <c r="N36" s="116"/>
      <c r="O36" s="21">
        <v>0</v>
      </c>
      <c r="P36" s="21">
        <v>0</v>
      </c>
      <c r="Q36" s="21"/>
      <c r="R36" s="21">
        <v>0</v>
      </c>
      <c r="S36" s="21">
        <v>0</v>
      </c>
      <c r="T36" s="21"/>
      <c r="U36" s="21">
        <v>0</v>
      </c>
      <c r="V36" s="21">
        <v>0</v>
      </c>
      <c r="W36" s="21"/>
      <c r="X36" s="9">
        <f t="shared" ref="X36:X43" si="12">J36+L36+O36+R36+U36</f>
        <v>199</v>
      </c>
      <c r="Y36" s="9">
        <f t="shared" si="10"/>
        <v>2210</v>
      </c>
      <c r="Z36" s="10"/>
      <c r="AA36" s="10"/>
      <c r="AB36" s="10"/>
      <c r="AD36" s="7">
        <f t="shared" si="11"/>
        <v>2210</v>
      </c>
    </row>
    <row r="37" spans="1:30">
      <c r="A37" s="20" t="s">
        <v>951</v>
      </c>
      <c r="C37" s="21">
        <v>5066</v>
      </c>
      <c r="D37" s="21"/>
      <c r="E37" s="116">
        <v>415</v>
      </c>
      <c r="F37" s="116">
        <v>17</v>
      </c>
      <c r="G37" s="116">
        <v>0</v>
      </c>
      <c r="H37" s="116">
        <v>0</v>
      </c>
      <c r="I37" s="116">
        <v>0</v>
      </c>
      <c r="J37" s="115">
        <f t="shared" si="9"/>
        <v>432</v>
      </c>
      <c r="K37" s="116"/>
      <c r="L37" s="21">
        <v>0</v>
      </c>
      <c r="M37" s="21">
        <v>0</v>
      </c>
      <c r="N37" s="116"/>
      <c r="O37" s="21">
        <v>0</v>
      </c>
      <c r="P37" s="21">
        <v>0</v>
      </c>
      <c r="Q37" s="21"/>
      <c r="R37" s="21">
        <v>0</v>
      </c>
      <c r="S37" s="21">
        <v>0</v>
      </c>
      <c r="T37" s="21"/>
      <c r="U37" s="21">
        <v>0</v>
      </c>
      <c r="V37" s="21">
        <v>0</v>
      </c>
      <c r="W37" s="21"/>
      <c r="X37" s="9">
        <f t="shared" si="12"/>
        <v>432</v>
      </c>
      <c r="Y37" s="9">
        <f t="shared" si="10"/>
        <v>5066</v>
      </c>
      <c r="Z37" s="10"/>
      <c r="AA37" s="10"/>
      <c r="AB37" s="10"/>
      <c r="AD37" s="7">
        <f t="shared" si="11"/>
        <v>5066</v>
      </c>
    </row>
    <row r="38" spans="1:30">
      <c r="A38" s="20" t="s">
        <v>952</v>
      </c>
      <c r="C38" s="21">
        <v>11381</v>
      </c>
      <c r="D38" s="21"/>
      <c r="E38" s="116">
        <v>644</v>
      </c>
      <c r="F38" s="116">
        <v>112</v>
      </c>
      <c r="G38" s="116">
        <v>0</v>
      </c>
      <c r="H38" s="116">
        <v>16</v>
      </c>
      <c r="I38" s="116">
        <v>0</v>
      </c>
      <c r="J38" s="115">
        <f t="shared" si="9"/>
        <v>772</v>
      </c>
      <c r="K38" s="116"/>
      <c r="L38" s="21">
        <v>0</v>
      </c>
      <c r="M38" s="21">
        <v>0</v>
      </c>
      <c r="N38" s="116"/>
      <c r="O38" s="21">
        <v>0</v>
      </c>
      <c r="P38" s="21">
        <v>0</v>
      </c>
      <c r="Q38" s="21"/>
      <c r="R38" s="21">
        <v>0</v>
      </c>
      <c r="S38" s="21">
        <v>0</v>
      </c>
      <c r="T38" s="21"/>
      <c r="U38" s="21">
        <v>0</v>
      </c>
      <c r="V38" s="21">
        <v>0</v>
      </c>
      <c r="W38" s="21"/>
      <c r="X38" s="9">
        <f t="shared" si="12"/>
        <v>772</v>
      </c>
      <c r="Y38" s="9">
        <f t="shared" si="10"/>
        <v>11381</v>
      </c>
      <c r="Z38" s="10"/>
      <c r="AA38" s="10"/>
      <c r="AB38" s="10"/>
      <c r="AD38" s="7">
        <f t="shared" si="11"/>
        <v>11381</v>
      </c>
    </row>
    <row r="39" spans="1:30">
      <c r="A39" s="20" t="s">
        <v>955</v>
      </c>
      <c r="C39" s="21">
        <v>6657</v>
      </c>
      <c r="D39" s="21"/>
      <c r="E39" s="116">
        <v>363</v>
      </c>
      <c r="F39" s="116">
        <v>59</v>
      </c>
      <c r="G39" s="116">
        <v>0</v>
      </c>
      <c r="H39" s="116">
        <v>0</v>
      </c>
      <c r="I39" s="116">
        <v>0</v>
      </c>
      <c r="J39" s="115">
        <f t="shared" si="9"/>
        <v>422</v>
      </c>
      <c r="K39" s="116"/>
      <c r="L39" s="21">
        <v>0</v>
      </c>
      <c r="M39" s="21">
        <v>0</v>
      </c>
      <c r="N39" s="116"/>
      <c r="O39" s="21">
        <v>0</v>
      </c>
      <c r="P39" s="21">
        <v>0</v>
      </c>
      <c r="Q39" s="21"/>
      <c r="R39" s="21">
        <v>0</v>
      </c>
      <c r="S39" s="21">
        <v>0</v>
      </c>
      <c r="T39" s="21"/>
      <c r="U39" s="21">
        <v>0</v>
      </c>
      <c r="V39" s="21">
        <v>0</v>
      </c>
      <c r="W39" s="21"/>
      <c r="X39" s="9">
        <f t="shared" si="12"/>
        <v>422</v>
      </c>
      <c r="Y39" s="9">
        <f t="shared" si="10"/>
        <v>6657</v>
      </c>
      <c r="Z39" s="10"/>
      <c r="AA39" s="10"/>
      <c r="AB39" s="10"/>
      <c r="AD39" s="7">
        <f t="shared" si="11"/>
        <v>6657</v>
      </c>
    </row>
    <row r="40" spans="1:30">
      <c r="A40" s="20" t="s">
        <v>956</v>
      </c>
      <c r="C40" s="21">
        <v>7558</v>
      </c>
      <c r="D40" s="21"/>
      <c r="E40" s="116">
        <v>541</v>
      </c>
      <c r="F40" s="116">
        <v>0</v>
      </c>
      <c r="G40" s="116">
        <v>37</v>
      </c>
      <c r="H40" s="116">
        <v>16</v>
      </c>
      <c r="I40" s="116">
        <v>0</v>
      </c>
      <c r="J40" s="115">
        <f t="shared" si="9"/>
        <v>594</v>
      </c>
      <c r="K40" s="116"/>
      <c r="L40" s="21">
        <v>0</v>
      </c>
      <c r="M40" s="21">
        <v>0</v>
      </c>
      <c r="N40" s="116"/>
      <c r="O40" s="21">
        <v>0</v>
      </c>
      <c r="P40" s="21">
        <v>0</v>
      </c>
      <c r="Q40" s="21"/>
      <c r="R40" s="21">
        <v>-11</v>
      </c>
      <c r="S40" s="21">
        <v>-135.13999999999999</v>
      </c>
      <c r="T40" s="21"/>
      <c r="U40" s="21">
        <v>0</v>
      </c>
      <c r="V40" s="21">
        <v>0</v>
      </c>
      <c r="W40" s="21"/>
      <c r="X40" s="9">
        <f t="shared" si="12"/>
        <v>583</v>
      </c>
      <c r="Y40" s="9">
        <f t="shared" si="10"/>
        <v>7422.86</v>
      </c>
      <c r="Z40" s="10"/>
      <c r="AA40" s="10"/>
      <c r="AB40" s="10"/>
      <c r="AD40" s="7">
        <f t="shared" si="11"/>
        <v>7422.86</v>
      </c>
    </row>
    <row r="41" spans="1:30">
      <c r="A41" s="20" t="s">
        <v>957</v>
      </c>
      <c r="C41" s="21">
        <v>6338</v>
      </c>
      <c r="D41" s="21"/>
      <c r="E41" s="116">
        <v>373</v>
      </c>
      <c r="F41" s="116">
        <v>38</v>
      </c>
      <c r="G41" s="116">
        <v>0</v>
      </c>
      <c r="H41" s="116">
        <v>0</v>
      </c>
      <c r="I41" s="116">
        <v>0</v>
      </c>
      <c r="J41" s="115">
        <f t="shared" si="9"/>
        <v>411</v>
      </c>
      <c r="K41" s="116"/>
      <c r="L41" s="21">
        <v>0</v>
      </c>
      <c r="M41" s="21">
        <v>0</v>
      </c>
      <c r="N41" s="116"/>
      <c r="O41" s="21">
        <v>0</v>
      </c>
      <c r="P41" s="21">
        <v>0</v>
      </c>
      <c r="Q41" s="21"/>
      <c r="R41" s="21">
        <v>0</v>
      </c>
      <c r="S41" s="21">
        <v>0</v>
      </c>
      <c r="T41" s="21"/>
      <c r="U41" s="21">
        <v>0</v>
      </c>
      <c r="V41" s="21">
        <v>0</v>
      </c>
      <c r="W41" s="21"/>
      <c r="X41" s="9">
        <f t="shared" si="12"/>
        <v>411</v>
      </c>
      <c r="Y41" s="9">
        <f t="shared" si="10"/>
        <v>6338</v>
      </c>
      <c r="Z41" s="10"/>
      <c r="AA41" s="10"/>
      <c r="AB41" s="10"/>
      <c r="AD41" s="7">
        <f t="shared" si="11"/>
        <v>6338</v>
      </c>
    </row>
    <row r="42" spans="1:30">
      <c r="A42" s="20" t="s">
        <v>945</v>
      </c>
      <c r="C42" s="21">
        <v>4917</v>
      </c>
      <c r="D42" s="21"/>
      <c r="E42" s="116">
        <v>347</v>
      </c>
      <c r="F42" s="116">
        <v>26</v>
      </c>
      <c r="G42" s="116">
        <v>0</v>
      </c>
      <c r="H42" s="116">
        <v>8</v>
      </c>
      <c r="I42" s="116">
        <v>0</v>
      </c>
      <c r="J42" s="115">
        <f t="shared" si="9"/>
        <v>381</v>
      </c>
      <c r="K42" s="116"/>
      <c r="L42" s="21">
        <v>0</v>
      </c>
      <c r="M42" s="21">
        <v>0</v>
      </c>
      <c r="N42" s="116"/>
      <c r="O42" s="21">
        <v>0</v>
      </c>
      <c r="P42" s="21">
        <v>0</v>
      </c>
      <c r="Q42" s="21"/>
      <c r="R42" s="21">
        <v>0</v>
      </c>
      <c r="S42" s="21">
        <v>0</v>
      </c>
      <c r="T42" s="21"/>
      <c r="U42" s="21">
        <v>0</v>
      </c>
      <c r="V42" s="21">
        <v>0</v>
      </c>
      <c r="W42" s="21"/>
      <c r="X42" s="21">
        <f t="shared" si="12"/>
        <v>381</v>
      </c>
      <c r="Y42" s="9">
        <f t="shared" si="10"/>
        <v>4917</v>
      </c>
      <c r="Z42" s="10"/>
      <c r="AA42" s="10"/>
      <c r="AB42" s="10"/>
      <c r="AD42" s="7">
        <f t="shared" si="11"/>
        <v>4917</v>
      </c>
    </row>
    <row r="43" spans="1:30">
      <c r="A43" s="20" t="s">
        <v>967</v>
      </c>
      <c r="C43" s="21">
        <v>0</v>
      </c>
      <c r="D43" s="21"/>
      <c r="E43" s="116">
        <v>0</v>
      </c>
      <c r="F43" s="116">
        <v>0</v>
      </c>
      <c r="G43" s="116">
        <v>0</v>
      </c>
      <c r="H43" s="116">
        <v>0</v>
      </c>
      <c r="I43" s="116">
        <v>0</v>
      </c>
      <c r="J43" s="115">
        <f t="shared" si="9"/>
        <v>0</v>
      </c>
      <c r="K43" s="116"/>
      <c r="L43" s="688"/>
      <c r="M43" s="688"/>
      <c r="N43" s="116"/>
      <c r="O43" s="688"/>
      <c r="P43" s="688"/>
      <c r="Q43" s="21"/>
      <c r="R43" s="688">
        <v>-19</v>
      </c>
      <c r="S43" s="688">
        <v>-243</v>
      </c>
      <c r="T43" s="21"/>
      <c r="U43" s="688">
        <v>0</v>
      </c>
      <c r="V43" s="688">
        <v>0</v>
      </c>
      <c r="W43" s="21"/>
      <c r="X43" s="688">
        <f t="shared" si="12"/>
        <v>-19</v>
      </c>
      <c r="Y43" s="688">
        <f t="shared" si="10"/>
        <v>-243</v>
      </c>
      <c r="Z43" s="10"/>
      <c r="AA43" s="10"/>
      <c r="AB43" s="10"/>
      <c r="AD43" s="7">
        <f t="shared" si="11"/>
        <v>-243</v>
      </c>
    </row>
    <row r="44" spans="1:30">
      <c r="A44" s="35" t="s">
        <v>123</v>
      </c>
      <c r="C44" s="680">
        <f>SUM(C35:C43)</f>
        <v>50209</v>
      </c>
      <c r="D44" s="21"/>
      <c r="E44" s="677">
        <f t="shared" ref="E44:J44" si="13">SUM(E35:E43)</f>
        <v>3204</v>
      </c>
      <c r="F44" s="677">
        <f t="shared" si="13"/>
        <v>313</v>
      </c>
      <c r="G44" s="677">
        <f t="shared" si="13"/>
        <v>37</v>
      </c>
      <c r="H44" s="677">
        <f t="shared" si="13"/>
        <v>40</v>
      </c>
      <c r="I44" s="677">
        <f t="shared" si="13"/>
        <v>0</v>
      </c>
      <c r="J44" s="677">
        <f t="shared" si="13"/>
        <v>3594</v>
      </c>
      <c r="K44" s="116"/>
      <c r="L44" s="11">
        <f>SUM(L35:L43)</f>
        <v>0</v>
      </c>
      <c r="M44" s="11">
        <f>SUM(M35:M42)</f>
        <v>0</v>
      </c>
      <c r="N44" s="116"/>
      <c r="O44" s="11">
        <f>SUM(O35:O42)</f>
        <v>0</v>
      </c>
      <c r="P44" s="11">
        <f>SUM(P35:P42)</f>
        <v>0</v>
      </c>
      <c r="Q44" s="21"/>
      <c r="R44" s="11">
        <f>SUM(R35:R43)</f>
        <v>-30</v>
      </c>
      <c r="S44" s="11">
        <f>SUM(S35:S43)</f>
        <v>-378.14</v>
      </c>
      <c r="T44" s="21"/>
      <c r="U44" s="11">
        <f>SUM(U35:U43)</f>
        <v>0</v>
      </c>
      <c r="V44" s="11">
        <f>SUM(V35:V43)</f>
        <v>0</v>
      </c>
      <c r="W44" s="21"/>
      <c r="X44" s="11">
        <f>SUM(X35:X43)</f>
        <v>3564</v>
      </c>
      <c r="Y44" s="11">
        <f>SUM(Y35:Y43)</f>
        <v>49830.86</v>
      </c>
      <c r="Z44" s="10"/>
      <c r="AA44" s="10">
        <f>+'Sch 4 - 12 Months'!O27</f>
        <v>0</v>
      </c>
      <c r="AB44" s="10">
        <f>-AA44+Y44</f>
        <v>49830.86</v>
      </c>
    </row>
    <row r="45" spans="1:30">
      <c r="C45" s="9"/>
      <c r="D45" s="21"/>
      <c r="E45" s="115"/>
      <c r="F45" s="115"/>
      <c r="G45" s="115"/>
      <c r="H45" s="115"/>
      <c r="I45" s="115"/>
      <c r="J45" s="115"/>
      <c r="K45" s="116"/>
      <c r="L45" s="9"/>
      <c r="M45" s="9"/>
      <c r="N45" s="116"/>
      <c r="O45" s="9"/>
      <c r="P45" s="9"/>
      <c r="Q45" s="21"/>
      <c r="R45" s="9"/>
      <c r="S45" s="9"/>
      <c r="T45" s="21"/>
      <c r="U45" s="9"/>
      <c r="V45" s="9"/>
      <c r="W45" s="21"/>
      <c r="X45" s="9"/>
      <c r="Y45" s="682">
        <f>Y44*100%</f>
        <v>49830.86</v>
      </c>
      <c r="Z45" s="319"/>
      <c r="AA45" s="319">
        <f>Operations!C29</f>
        <v>0</v>
      </c>
      <c r="AB45" s="319">
        <f>Y45-AA45</f>
        <v>49830.86</v>
      </c>
    </row>
    <row r="46" spans="1:30">
      <c r="A46" s="20" t="s">
        <v>656</v>
      </c>
      <c r="C46" s="9">
        <v>98093</v>
      </c>
      <c r="D46" s="21"/>
      <c r="E46" s="115">
        <v>1890</v>
      </c>
      <c r="F46" s="115">
        <v>228</v>
      </c>
      <c r="G46" s="115">
        <v>180</v>
      </c>
      <c r="H46" s="115">
        <v>48</v>
      </c>
      <c r="I46" s="115">
        <v>0</v>
      </c>
      <c r="J46" s="115">
        <f t="shared" ref="J46:J52" si="14">SUM(E46:I46)</f>
        <v>2346</v>
      </c>
      <c r="K46" s="116"/>
      <c r="L46" s="9">
        <v>-196</v>
      </c>
      <c r="M46" s="9">
        <v>-7475.44</v>
      </c>
      <c r="N46" s="116"/>
      <c r="O46" s="9">
        <v>192</v>
      </c>
      <c r="P46" s="9">
        <v>7468.8</v>
      </c>
      <c r="Q46" s="21"/>
      <c r="R46" s="9">
        <v>-16</v>
      </c>
      <c r="S46" s="9">
        <v>-614.04999999999995</v>
      </c>
      <c r="T46" s="21"/>
      <c r="U46" s="9">
        <v>19</v>
      </c>
      <c r="V46" s="9">
        <v>737</v>
      </c>
      <c r="W46" s="21"/>
      <c r="X46" s="9">
        <f t="shared" ref="X46:X52" si="15">J46+L46+O46+R46+U46</f>
        <v>2345</v>
      </c>
      <c r="Y46" s="9">
        <f>+C46+M46+P46+S46+V46</f>
        <v>98209.31</v>
      </c>
      <c r="Z46" s="10"/>
      <c r="AA46" s="10"/>
      <c r="AB46" s="10"/>
      <c r="AD46" s="7">
        <f t="shared" ref="AD46:AD52" si="16">SUM(Y46:AC46)</f>
        <v>98209.31</v>
      </c>
    </row>
    <row r="47" spans="1:30">
      <c r="A47" s="20" t="s">
        <v>1189</v>
      </c>
      <c r="C47" s="9">
        <v>59058</v>
      </c>
      <c r="D47" s="21"/>
      <c r="E47" s="115">
        <v>1673</v>
      </c>
      <c r="F47" s="115">
        <v>159</v>
      </c>
      <c r="G47" s="115">
        <v>80</v>
      </c>
      <c r="H47" s="115">
        <v>48</v>
      </c>
      <c r="I47" s="115">
        <v>0</v>
      </c>
      <c r="J47" s="115">
        <f t="shared" si="14"/>
        <v>1960</v>
      </c>
      <c r="K47" s="116"/>
      <c r="L47" s="9">
        <v>-16</v>
      </c>
      <c r="M47" s="9">
        <v>-456.48</v>
      </c>
      <c r="N47" s="116"/>
      <c r="O47" s="9">
        <v>0</v>
      </c>
      <c r="P47" s="9">
        <v>0</v>
      </c>
      <c r="Q47" s="21"/>
      <c r="R47" s="9">
        <v>-16</v>
      </c>
      <c r="S47" s="9">
        <v>-442.22</v>
      </c>
      <c r="T47" s="21"/>
      <c r="U47" s="9">
        <v>22</v>
      </c>
      <c r="V47" s="9">
        <v>628</v>
      </c>
      <c r="W47" s="21"/>
      <c r="X47" s="9">
        <f t="shared" si="15"/>
        <v>1950</v>
      </c>
      <c r="Y47" s="9">
        <f t="shared" ref="Y47:Y52" si="17">+C47+M47+P47+S47+V47</f>
        <v>58787.299999999996</v>
      </c>
      <c r="Z47" s="10"/>
      <c r="AA47" s="10"/>
      <c r="AB47" s="10"/>
      <c r="AD47" s="7">
        <f t="shared" si="16"/>
        <v>58787.299999999996</v>
      </c>
    </row>
    <row r="48" spans="1:30">
      <c r="A48" s="20" t="s">
        <v>949</v>
      </c>
      <c r="C48" s="9">
        <v>27490</v>
      </c>
      <c r="D48" s="21"/>
      <c r="E48" s="115">
        <v>1030</v>
      </c>
      <c r="F48" s="115">
        <v>230</v>
      </c>
      <c r="G48" s="115">
        <v>0</v>
      </c>
      <c r="H48" s="115">
        <v>0</v>
      </c>
      <c r="I48" s="115">
        <v>0</v>
      </c>
      <c r="J48" s="115">
        <f t="shared" si="14"/>
        <v>1260</v>
      </c>
      <c r="K48" s="116"/>
      <c r="L48" s="9">
        <v>0</v>
      </c>
      <c r="M48" s="9">
        <v>0</v>
      </c>
      <c r="N48" s="116"/>
      <c r="O48" s="9">
        <v>0</v>
      </c>
      <c r="P48" s="9">
        <v>0</v>
      </c>
      <c r="Q48" s="21"/>
      <c r="R48" s="9">
        <v>0</v>
      </c>
      <c r="S48" s="9">
        <v>0</v>
      </c>
      <c r="T48" s="21"/>
      <c r="U48" s="9">
        <v>21</v>
      </c>
      <c r="V48" s="9">
        <v>410</v>
      </c>
      <c r="W48" s="21"/>
      <c r="X48" s="9">
        <f t="shared" si="15"/>
        <v>1281</v>
      </c>
      <c r="Y48" s="9">
        <f t="shared" si="17"/>
        <v>27900</v>
      </c>
      <c r="Z48" s="10"/>
      <c r="AA48" s="10"/>
      <c r="AB48" s="10"/>
      <c r="AD48" s="7">
        <f t="shared" si="16"/>
        <v>27900</v>
      </c>
    </row>
    <row r="49" spans="1:30">
      <c r="A49" s="20" t="s">
        <v>638</v>
      </c>
      <c r="C49" s="9">
        <v>33470</v>
      </c>
      <c r="D49" s="21"/>
      <c r="E49" s="115">
        <v>1583</v>
      </c>
      <c r="F49" s="115">
        <v>144</v>
      </c>
      <c r="G49" s="115">
        <v>132</v>
      </c>
      <c r="H49" s="115">
        <v>48</v>
      </c>
      <c r="I49" s="115">
        <v>0</v>
      </c>
      <c r="J49" s="115">
        <f t="shared" si="14"/>
        <v>1907</v>
      </c>
      <c r="K49" s="116"/>
      <c r="L49" s="9">
        <v>-56</v>
      </c>
      <c r="M49" s="9">
        <v>-931.84</v>
      </c>
      <c r="N49" s="116"/>
      <c r="O49" s="9">
        <v>64</v>
      </c>
      <c r="P49" s="9">
        <v>1086.08</v>
      </c>
      <c r="Q49" s="21"/>
      <c r="R49" s="9">
        <v>-19</v>
      </c>
      <c r="S49" s="9">
        <v>-312.83</v>
      </c>
      <c r="T49" s="21"/>
      <c r="U49" s="9">
        <v>18</v>
      </c>
      <c r="V49" s="9">
        <v>301</v>
      </c>
      <c r="W49" s="21"/>
      <c r="X49" s="9">
        <f t="shared" si="15"/>
        <v>1914</v>
      </c>
      <c r="Y49" s="9">
        <f t="shared" si="17"/>
        <v>33612.409999999996</v>
      </c>
      <c r="Z49" s="10"/>
      <c r="AA49" s="10"/>
      <c r="AB49" s="10"/>
      <c r="AD49" s="7">
        <f t="shared" si="16"/>
        <v>33612.409999999996</v>
      </c>
    </row>
    <row r="50" spans="1:30">
      <c r="A50" s="20" t="s">
        <v>959</v>
      </c>
      <c r="C50" s="9">
        <v>60653</v>
      </c>
      <c r="D50" s="21"/>
      <c r="E50" s="115">
        <v>2034</v>
      </c>
      <c r="F50" s="115">
        <v>708</v>
      </c>
      <c r="G50" s="115">
        <v>88</v>
      </c>
      <c r="H50" s="115">
        <v>40</v>
      </c>
      <c r="I50" s="115">
        <v>0</v>
      </c>
      <c r="J50" s="115">
        <f t="shared" si="14"/>
        <v>2870</v>
      </c>
      <c r="K50" s="116"/>
      <c r="L50" s="9">
        <v>-64</v>
      </c>
      <c r="M50" s="9">
        <v>-1185.92</v>
      </c>
      <c r="N50" s="116"/>
      <c r="O50" s="9">
        <v>80</v>
      </c>
      <c r="P50" s="9">
        <v>1512</v>
      </c>
      <c r="Q50" s="21"/>
      <c r="R50" s="9">
        <v>-22</v>
      </c>
      <c r="S50" s="9">
        <v>-403.95</v>
      </c>
      <c r="T50" s="21"/>
      <c r="U50" s="9">
        <v>29</v>
      </c>
      <c r="V50" s="9">
        <v>546</v>
      </c>
      <c r="W50" s="21"/>
      <c r="X50" s="9">
        <f t="shared" si="15"/>
        <v>2893</v>
      </c>
      <c r="Y50" s="9">
        <f t="shared" si="17"/>
        <v>61121.130000000005</v>
      </c>
      <c r="Z50" s="10"/>
      <c r="AA50" s="10"/>
      <c r="AB50" s="10"/>
      <c r="AD50" s="7">
        <f t="shared" si="16"/>
        <v>61121.130000000005</v>
      </c>
    </row>
    <row r="51" spans="1:30">
      <c r="A51" s="20" t="s">
        <v>954</v>
      </c>
      <c r="C51" s="9">
        <v>37645</v>
      </c>
      <c r="D51" s="21"/>
      <c r="E51" s="115">
        <v>1940</v>
      </c>
      <c r="F51" s="115">
        <v>137</v>
      </c>
      <c r="G51" s="115">
        <v>16</v>
      </c>
      <c r="H51" s="115">
        <v>48</v>
      </c>
      <c r="I51" s="115">
        <v>0</v>
      </c>
      <c r="J51" s="115">
        <f t="shared" si="14"/>
        <v>2141</v>
      </c>
      <c r="K51" s="116"/>
      <c r="L51" s="9">
        <v>0</v>
      </c>
      <c r="M51" s="9">
        <v>0</v>
      </c>
      <c r="N51" s="116"/>
      <c r="O51" s="9">
        <v>40</v>
      </c>
      <c r="P51" s="9">
        <v>713.2</v>
      </c>
      <c r="Q51" s="21"/>
      <c r="R51" s="9">
        <v>-19</v>
      </c>
      <c r="S51" s="9">
        <v>-274.52</v>
      </c>
      <c r="T51" s="21"/>
      <c r="U51" s="9">
        <v>19</v>
      </c>
      <c r="V51" s="9">
        <v>331</v>
      </c>
      <c r="W51" s="21"/>
      <c r="X51" s="9">
        <f t="shared" si="15"/>
        <v>2181</v>
      </c>
      <c r="Y51" s="9">
        <f t="shared" si="17"/>
        <v>38414.68</v>
      </c>
      <c r="Z51" s="10"/>
      <c r="AA51" s="38"/>
      <c r="AB51" s="10"/>
      <c r="AD51" s="7">
        <f t="shared" si="16"/>
        <v>38414.68</v>
      </c>
    </row>
    <row r="52" spans="1:30">
      <c r="A52" s="20" t="s">
        <v>124</v>
      </c>
      <c r="C52" s="11">
        <v>38937</v>
      </c>
      <c r="D52" s="21"/>
      <c r="E52" s="674">
        <v>1885</v>
      </c>
      <c r="F52" s="674">
        <v>49</v>
      </c>
      <c r="G52" s="674">
        <v>92</v>
      </c>
      <c r="H52" s="674">
        <v>48</v>
      </c>
      <c r="I52" s="674">
        <v>28</v>
      </c>
      <c r="J52" s="115">
        <f t="shared" si="14"/>
        <v>2102</v>
      </c>
      <c r="K52" s="116"/>
      <c r="L52" s="11">
        <v>-80</v>
      </c>
      <c r="M52" s="11">
        <v>-1416.8</v>
      </c>
      <c r="N52" s="116"/>
      <c r="O52" s="11">
        <v>108</v>
      </c>
      <c r="P52" s="11">
        <v>1950.48</v>
      </c>
      <c r="Q52" s="21"/>
      <c r="R52" s="11">
        <v>-13</v>
      </c>
      <c r="S52" s="11">
        <v>-235.54</v>
      </c>
      <c r="T52" s="21"/>
      <c r="U52" s="11">
        <v>11</v>
      </c>
      <c r="V52" s="11">
        <v>207</v>
      </c>
      <c r="W52" s="21"/>
      <c r="X52" s="11">
        <f t="shared" si="15"/>
        <v>2128</v>
      </c>
      <c r="Y52" s="688">
        <f t="shared" si="17"/>
        <v>39442.14</v>
      </c>
      <c r="Z52" s="10"/>
      <c r="AA52" s="10"/>
      <c r="AB52" s="10"/>
      <c r="AD52" s="7">
        <f t="shared" si="16"/>
        <v>39442.14</v>
      </c>
    </row>
    <row r="53" spans="1:30">
      <c r="A53" s="35" t="s">
        <v>11</v>
      </c>
      <c r="C53" s="11">
        <f>SUM(C46:C52)</f>
        <v>355346</v>
      </c>
      <c r="D53" s="21"/>
      <c r="E53" s="674">
        <f t="shared" ref="E53:J53" si="18">SUM(E46:E52)</f>
        <v>12035</v>
      </c>
      <c r="F53" s="674">
        <f t="shared" si="18"/>
        <v>1655</v>
      </c>
      <c r="G53" s="674">
        <f t="shared" si="18"/>
        <v>588</v>
      </c>
      <c r="H53" s="674">
        <f t="shared" si="18"/>
        <v>280</v>
      </c>
      <c r="I53" s="674">
        <f t="shared" si="18"/>
        <v>28</v>
      </c>
      <c r="J53" s="677">
        <f t="shared" si="18"/>
        <v>14586</v>
      </c>
      <c r="K53" s="116"/>
      <c r="L53" s="11">
        <f>SUM(L46:L52)</f>
        <v>-412</v>
      </c>
      <c r="M53" s="11">
        <f>SUM(M46:M52)</f>
        <v>-11466.48</v>
      </c>
      <c r="N53" s="116"/>
      <c r="O53" s="11">
        <f>SUM(O46:O52)</f>
        <v>484</v>
      </c>
      <c r="P53" s="11">
        <f>SUM(P46:P52)</f>
        <v>12730.560000000001</v>
      </c>
      <c r="Q53" s="21"/>
      <c r="R53" s="11">
        <f>SUM(R46:R52)</f>
        <v>-105</v>
      </c>
      <c r="S53" s="11">
        <f>SUM(S46:S52)</f>
        <v>-2283.11</v>
      </c>
      <c r="T53" s="21"/>
      <c r="U53" s="11">
        <f>SUM(U46:U52)</f>
        <v>139</v>
      </c>
      <c r="V53" s="11">
        <f>SUM(V46:V52)</f>
        <v>3160</v>
      </c>
      <c r="W53" s="21"/>
      <c r="X53" s="11">
        <f>SUM(X46:X52)</f>
        <v>14692</v>
      </c>
      <c r="Y53" s="11">
        <f>SUM(Y46:Y52)</f>
        <v>357486.97000000003</v>
      </c>
      <c r="Z53" s="10"/>
      <c r="AA53" s="11">
        <f>+'Sch 4 - 12 Months'!O25</f>
        <v>382256.04000000004</v>
      </c>
      <c r="AB53" s="11">
        <f>-(AA53-Y53)</f>
        <v>-24769.070000000007</v>
      </c>
      <c r="AC53" s="11"/>
      <c r="AD53" s="11"/>
    </row>
    <row r="54" spans="1:30">
      <c r="C54" s="9"/>
      <c r="D54" s="21"/>
      <c r="E54" s="115"/>
      <c r="F54" s="115"/>
      <c r="G54" s="115"/>
      <c r="H54" s="115"/>
      <c r="I54" s="115"/>
      <c r="J54" s="115"/>
      <c r="K54" s="116"/>
      <c r="L54" s="9"/>
      <c r="M54" s="9"/>
      <c r="N54" s="116"/>
      <c r="O54" s="9"/>
      <c r="P54" s="9"/>
      <c r="Q54" s="21"/>
      <c r="R54" s="9"/>
      <c r="S54" s="9"/>
      <c r="T54" s="21"/>
      <c r="U54" s="9"/>
      <c r="V54" s="9"/>
      <c r="W54" s="21"/>
      <c r="X54" s="9"/>
      <c r="Y54" s="682">
        <f>Y53*100%</f>
        <v>357486.97000000003</v>
      </c>
      <c r="Z54" s="319"/>
      <c r="AA54" s="687">
        <f>+Operations!C26</f>
        <v>382256.04000000004</v>
      </c>
      <c r="AB54" s="687">
        <f>Y54-AA54</f>
        <v>-24769.070000000007</v>
      </c>
      <c r="AC54" s="21"/>
      <c r="AD54" s="21"/>
    </row>
    <row r="55" spans="1:30" ht="16.5" thickBot="1">
      <c r="A55" s="19"/>
      <c r="C55" s="12">
        <f>C53+C33+C29+C18+C13+C44</f>
        <v>1297123.3700000001</v>
      </c>
      <c r="D55" s="21"/>
      <c r="E55" s="683">
        <f t="shared" ref="E55:J55" si="19">E53+E33+E29+E18+E13+E44</f>
        <v>36653</v>
      </c>
      <c r="F55" s="683">
        <f t="shared" si="19"/>
        <v>4513</v>
      </c>
      <c r="G55" s="683">
        <f t="shared" si="19"/>
        <v>2167</v>
      </c>
      <c r="H55" s="683">
        <f t="shared" si="19"/>
        <v>864</v>
      </c>
      <c r="I55" s="683">
        <f t="shared" si="19"/>
        <v>84</v>
      </c>
      <c r="J55" s="683">
        <f t="shared" si="19"/>
        <v>44281</v>
      </c>
      <c r="K55" s="116"/>
      <c r="L55" s="12">
        <f>L53+L33+L29+L18+L13+L44</f>
        <v>-780</v>
      </c>
      <c r="M55" s="12">
        <f>M53+M33+M29+M18+M13+M44</f>
        <v>-19063.52</v>
      </c>
      <c r="N55" s="116"/>
      <c r="O55" s="12">
        <f>O53+O33+O29+O18+O13+O44</f>
        <v>1140</v>
      </c>
      <c r="P55" s="12">
        <f>P53+P33+P29+P18+P13+P44</f>
        <v>26521.52</v>
      </c>
      <c r="Q55" s="21"/>
      <c r="R55" s="12">
        <f>R53+R33+R29+R18+R13+R44</f>
        <v>-305</v>
      </c>
      <c r="S55" s="12">
        <f>S53+S33+S29+S18+S13+S44</f>
        <v>-6346.4600000000009</v>
      </c>
      <c r="T55" s="21"/>
      <c r="U55" s="12">
        <f>U53+U33+U29+U18+U13+U44</f>
        <v>364</v>
      </c>
      <c r="V55" s="12">
        <f>V53+V33+V29+V18+V13+V44</f>
        <v>8306</v>
      </c>
      <c r="W55" s="21"/>
      <c r="X55" s="12">
        <f>X53+X33+X29+X18+X13+X44</f>
        <v>44700</v>
      </c>
      <c r="Y55" s="12">
        <f>Y53+Y33+Y29+Y18+Y13+Y44</f>
        <v>1306540.9100000001</v>
      </c>
      <c r="Z55" s="10"/>
      <c r="AA55" s="12">
        <f>SUM(AA11:AA53)</f>
        <v>2026277.02</v>
      </c>
      <c r="AB55" s="12">
        <f>SUM(AB11:AB53)</f>
        <v>18786.21000000005</v>
      </c>
      <c r="AC55" s="12">
        <f>SUM(AC11:AC53)</f>
        <v>422133.75</v>
      </c>
      <c r="AD55" s="12">
        <f>SUM(AD11:AD53)</f>
        <v>1306540.9099999997</v>
      </c>
    </row>
    <row r="56" spans="1:30" ht="16.5" thickTop="1">
      <c r="C56" s="6"/>
      <c r="D56" s="72"/>
      <c r="E56" s="115"/>
      <c r="F56" s="115"/>
      <c r="G56" s="115"/>
      <c r="H56" s="115"/>
      <c r="I56" s="115"/>
      <c r="J56" s="115"/>
      <c r="K56" s="116"/>
      <c r="L56" s="6"/>
      <c r="M56" s="6"/>
      <c r="N56" s="116"/>
      <c r="O56" s="6"/>
      <c r="P56" s="6"/>
      <c r="Q56" s="72"/>
      <c r="R56" s="6"/>
      <c r="S56" s="6"/>
      <c r="T56" s="72"/>
      <c r="U56" s="6"/>
      <c r="V56" s="6"/>
      <c r="W56" s="72"/>
      <c r="X56" s="6"/>
      <c r="Y56" s="6"/>
    </row>
    <row r="57" spans="1:30" ht="15.75" customHeight="1">
      <c r="C57" s="7">
        <f>+'Sch 4 - 12 Months'!O23+'Sch 4 - 12 Months'!O24+'Sch 4 - 12 Months'!O25+'Sch 4 - 12 Months'!O26+'Sch 4 - 12 Months'!O27+'Sch 4 - 12 Months'!O44</f>
        <v>1102266.53</v>
      </c>
      <c r="D57" s="703"/>
      <c r="F57" s="937"/>
      <c r="G57" s="937"/>
      <c r="H57" s="937"/>
      <c r="I57" s="937"/>
      <c r="J57" s="937"/>
      <c r="V57" s="7">
        <f>+M55+P55+S55+V55</f>
        <v>9417.5399999999991</v>
      </c>
      <c r="Y57" s="7">
        <f>+C57</f>
        <v>1102266.53</v>
      </c>
      <c r="AA57" s="7">
        <f>+AA29+AA18+AA53</f>
        <v>1102266.53</v>
      </c>
    </row>
    <row r="58" spans="1:30">
      <c r="C58" s="123">
        <f>C55-C57-C12</f>
        <v>-9143.1599999999162</v>
      </c>
      <c r="F58" s="937"/>
      <c r="G58" s="937"/>
      <c r="H58" s="937"/>
      <c r="I58" s="937"/>
      <c r="J58" s="937"/>
      <c r="Y58" s="123">
        <f>Y55-Y57-Y12</f>
        <v>274.38000000012107</v>
      </c>
      <c r="AA58" s="703"/>
      <c r="AB58" s="714"/>
    </row>
    <row r="59" spans="1:30">
      <c r="C59" s="19" t="s">
        <v>640</v>
      </c>
      <c r="F59" s="937"/>
      <c r="G59" s="937"/>
      <c r="H59" s="937"/>
      <c r="I59" s="937"/>
      <c r="J59" s="937"/>
      <c r="U59" s="703"/>
      <c r="Y59" s="19" t="s">
        <v>650</v>
      </c>
    </row>
    <row r="60" spans="1:30">
      <c r="C60" s="19" t="s">
        <v>641</v>
      </c>
      <c r="F60" s="937"/>
      <c r="G60" s="937"/>
      <c r="H60" s="937"/>
      <c r="I60" s="937"/>
      <c r="J60" s="937"/>
    </row>
    <row r="61" spans="1:30">
      <c r="A61" s="20"/>
      <c r="C61" s="684"/>
      <c r="F61" s="937"/>
      <c r="G61" s="937"/>
      <c r="H61" s="937"/>
      <c r="I61" s="937"/>
      <c r="J61" s="937"/>
      <c r="S61" s="38"/>
      <c r="Y61" s="703"/>
    </row>
    <row r="62" spans="1:30" ht="15.75" customHeight="1">
      <c r="A62" s="703"/>
      <c r="B62" s="871" t="s">
        <v>1071</v>
      </c>
      <c r="C62" s="872">
        <f>+C55</f>
        <v>1297123.3700000001</v>
      </c>
      <c r="F62" s="1323" t="s">
        <v>1076</v>
      </c>
      <c r="G62" s="1323"/>
      <c r="H62" s="1323"/>
      <c r="I62" s="1323"/>
      <c r="J62" s="1323"/>
      <c r="K62" s="1323"/>
      <c r="L62" s="1323"/>
      <c r="M62" s="1323"/>
      <c r="N62" s="1323"/>
      <c r="O62" s="1323"/>
      <c r="P62" s="1323"/>
      <c r="Y62" s="703" t="s">
        <v>1001</v>
      </c>
      <c r="AB62" s="703">
        <f>+AB54+AB55</f>
        <v>-5982.8599999999569</v>
      </c>
    </row>
    <row r="63" spans="1:30">
      <c r="A63" s="703"/>
      <c r="B63" s="871" t="s">
        <v>1072</v>
      </c>
      <c r="C63" s="703">
        <f>+C12</f>
        <v>204000</v>
      </c>
      <c r="F63" s="1323"/>
      <c r="G63" s="1323"/>
      <c r="H63" s="1323"/>
      <c r="I63" s="1323"/>
      <c r="J63" s="1323"/>
      <c r="K63" s="1323"/>
      <c r="L63" s="1323"/>
      <c r="M63" s="1323"/>
      <c r="N63" s="1323"/>
      <c r="O63" s="1323"/>
      <c r="P63" s="1323"/>
      <c r="AB63" s="703">
        <f>+AB62/2</f>
        <v>-2991.4299999999785</v>
      </c>
    </row>
    <row r="64" spans="1:30" ht="15.75" customHeight="1">
      <c r="A64" s="703"/>
      <c r="B64" s="871" t="s">
        <v>1073</v>
      </c>
      <c r="C64" s="872">
        <f>+C62-C63</f>
        <v>1093123.3700000001</v>
      </c>
      <c r="F64" s="1323"/>
      <c r="G64" s="1323"/>
      <c r="H64" s="1323"/>
      <c r="I64" s="1323"/>
      <c r="J64" s="1323"/>
      <c r="K64" s="1323"/>
      <c r="L64" s="1323"/>
      <c r="M64" s="1323"/>
      <c r="N64" s="1323"/>
      <c r="O64" s="1323"/>
      <c r="P64" s="1323"/>
    </row>
    <row r="65" spans="1:16">
      <c r="A65" s="703"/>
      <c r="B65" s="871" t="s">
        <v>1074</v>
      </c>
      <c r="C65" s="703">
        <v>1093124.6200000001</v>
      </c>
      <c r="F65" s="1323"/>
      <c r="G65" s="1323"/>
      <c r="H65" s="1323"/>
      <c r="I65" s="1323"/>
      <c r="J65" s="1323"/>
      <c r="K65" s="1323"/>
      <c r="L65" s="1323"/>
      <c r="M65" s="1323"/>
      <c r="N65" s="1323"/>
      <c r="O65" s="1323"/>
      <c r="P65" s="1323"/>
    </row>
    <row r="66" spans="1:16">
      <c r="A66" s="703"/>
      <c r="B66" s="871" t="s">
        <v>994</v>
      </c>
      <c r="C66" s="872">
        <f>+C64-C65</f>
        <v>-1.25</v>
      </c>
      <c r="F66" s="1323"/>
      <c r="G66" s="1323"/>
      <c r="H66" s="1323"/>
      <c r="I66" s="1323"/>
      <c r="J66" s="1323"/>
      <c r="K66" s="1323"/>
      <c r="L66" s="1323"/>
      <c r="M66" s="1323"/>
      <c r="N66" s="1323"/>
      <c r="O66" s="1323"/>
      <c r="P66" s="1323"/>
    </row>
    <row r="67" spans="1:16">
      <c r="F67" s="1323"/>
      <c r="G67" s="1323"/>
      <c r="H67" s="1323"/>
      <c r="I67" s="1323"/>
      <c r="J67" s="1323"/>
      <c r="K67" s="1323"/>
      <c r="L67" s="1323"/>
      <c r="M67" s="1323"/>
      <c r="N67" s="1323"/>
      <c r="O67" s="1323"/>
      <c r="P67" s="1323"/>
    </row>
    <row r="68" spans="1:16">
      <c r="B68" s="871" t="s">
        <v>1075</v>
      </c>
      <c r="C68" s="703">
        <f>+J55</f>
        <v>44281</v>
      </c>
      <c r="F68" s="1323"/>
      <c r="G68" s="1323"/>
      <c r="H68" s="1323"/>
      <c r="I68" s="1323"/>
      <c r="J68" s="1323"/>
      <c r="K68" s="1323"/>
      <c r="L68" s="1323"/>
      <c r="M68" s="1323"/>
      <c r="N68" s="1323"/>
      <c r="O68" s="1323"/>
      <c r="P68" s="1323"/>
    </row>
    <row r="69" spans="1:16">
      <c r="B69" s="871" t="s">
        <v>1074</v>
      </c>
      <c r="C69" s="703">
        <v>44282.3</v>
      </c>
      <c r="F69" s="1323"/>
      <c r="G69" s="1323"/>
      <c r="H69" s="1323"/>
      <c r="I69" s="1323"/>
      <c r="J69" s="1323"/>
      <c r="K69" s="1323"/>
      <c r="L69" s="1323"/>
      <c r="M69" s="1323"/>
      <c r="N69" s="1323"/>
      <c r="O69" s="1323"/>
      <c r="P69" s="1323"/>
    </row>
    <row r="70" spans="1:16">
      <c r="B70" s="871" t="s">
        <v>994</v>
      </c>
      <c r="C70" s="703">
        <f>+C68-C69</f>
        <v>-1.3000000000029104</v>
      </c>
      <c r="F70" s="1323"/>
      <c r="G70" s="1323"/>
      <c r="H70" s="1323"/>
      <c r="I70" s="1323"/>
      <c r="J70" s="1323"/>
      <c r="K70" s="1323"/>
      <c r="L70" s="1323"/>
      <c r="M70" s="1323"/>
      <c r="N70" s="1323"/>
      <c r="O70" s="1323"/>
      <c r="P70" s="1323"/>
    </row>
    <row r="71" spans="1:16">
      <c r="F71" s="937"/>
      <c r="G71" s="937"/>
      <c r="H71" s="937"/>
      <c r="I71" s="937"/>
      <c r="J71" s="937"/>
    </row>
    <row r="72" spans="1:16" ht="49.5" customHeight="1">
      <c r="F72" s="1323" t="s">
        <v>1121</v>
      </c>
      <c r="G72" s="1323"/>
      <c r="H72" s="1323"/>
      <c r="I72" s="1323"/>
      <c r="J72" s="1323"/>
      <c r="K72" s="1323"/>
      <c r="L72" s="1323"/>
      <c r="M72" s="1323"/>
      <c r="N72" s="1323"/>
      <c r="O72" s="1323"/>
      <c r="P72" s="1323"/>
    </row>
    <row r="73" spans="1:16">
      <c r="F73" s="937"/>
      <c r="G73" s="937"/>
      <c r="H73" s="937"/>
      <c r="I73" s="937"/>
      <c r="J73" s="937"/>
    </row>
    <row r="74" spans="1:16" ht="15.75" customHeight="1">
      <c r="F74" s="1322" t="s">
        <v>1122</v>
      </c>
      <c r="G74" s="1322"/>
      <c r="H74" s="1322"/>
      <c r="I74" s="1322"/>
      <c r="J74" s="1322"/>
      <c r="K74" s="1322"/>
      <c r="L74" s="1322"/>
      <c r="M74" s="1322"/>
      <c r="N74" s="1322"/>
      <c r="O74" s="1322"/>
      <c r="P74" s="1322"/>
    </row>
    <row r="75" spans="1:16">
      <c r="F75" s="1322"/>
      <c r="G75" s="1322"/>
      <c r="H75" s="1322"/>
      <c r="I75" s="1322"/>
      <c r="J75" s="1322"/>
      <c r="K75" s="1322"/>
      <c r="L75" s="1322"/>
      <c r="M75" s="1322"/>
      <c r="N75" s="1322"/>
      <c r="O75" s="1322"/>
      <c r="P75" s="1322"/>
    </row>
    <row r="76" spans="1:16">
      <c r="F76" s="1322"/>
      <c r="G76" s="1322"/>
      <c r="H76" s="1322"/>
      <c r="I76" s="1322"/>
      <c r="J76" s="1322"/>
      <c r="K76" s="1322"/>
      <c r="L76" s="1322"/>
      <c r="M76" s="1322"/>
      <c r="N76" s="1322"/>
      <c r="O76" s="1322"/>
      <c r="P76" s="1322"/>
    </row>
    <row r="77" spans="1:16">
      <c r="F77" s="1322"/>
      <c r="G77" s="1322"/>
      <c r="H77" s="1322"/>
      <c r="I77" s="1322"/>
      <c r="J77" s="1322"/>
      <c r="K77" s="1322"/>
      <c r="L77" s="1322"/>
      <c r="M77" s="1322"/>
      <c r="N77" s="1322"/>
      <c r="O77" s="1322"/>
      <c r="P77" s="1322"/>
    </row>
    <row r="78" spans="1:16">
      <c r="F78" s="1322"/>
      <c r="G78" s="1322"/>
      <c r="H78" s="1322"/>
      <c r="I78" s="1322"/>
      <c r="J78" s="1322"/>
      <c r="K78" s="1322"/>
      <c r="L78" s="1322"/>
      <c r="M78" s="1322"/>
      <c r="N78" s="1322"/>
      <c r="O78" s="1322"/>
      <c r="P78" s="1322"/>
    </row>
    <row r="79" spans="1:16">
      <c r="F79" s="1322"/>
      <c r="G79" s="1322"/>
      <c r="H79" s="1322"/>
      <c r="I79" s="1322"/>
      <c r="J79" s="1322"/>
      <c r="K79" s="1322"/>
      <c r="L79" s="1322"/>
      <c r="M79" s="1322"/>
      <c r="N79" s="1322"/>
      <c r="O79" s="1322"/>
      <c r="P79" s="1322"/>
    </row>
    <row r="80" spans="1:16">
      <c r="F80" s="1322"/>
      <c r="G80" s="1322"/>
      <c r="H80" s="1322"/>
      <c r="I80" s="1322"/>
      <c r="J80" s="1322"/>
      <c r="K80" s="1322"/>
      <c r="L80" s="1322"/>
      <c r="M80" s="1322"/>
      <c r="N80" s="1322"/>
      <c r="O80" s="1322"/>
      <c r="P80" s="1322"/>
    </row>
    <row r="81" spans="6:16">
      <c r="F81" s="1322"/>
      <c r="G81" s="1322"/>
      <c r="H81" s="1322"/>
      <c r="I81" s="1322"/>
      <c r="J81" s="1322"/>
      <c r="K81" s="1322"/>
      <c r="L81" s="1322"/>
      <c r="M81" s="1322"/>
      <c r="N81" s="1322"/>
      <c r="O81" s="1322"/>
      <c r="P81" s="1322"/>
    </row>
    <row r="82" spans="6:16">
      <c r="F82" s="1322"/>
      <c r="G82" s="1322"/>
      <c r="H82" s="1322"/>
      <c r="I82" s="1322"/>
      <c r="J82" s="1322"/>
      <c r="K82" s="1322"/>
      <c r="L82" s="1322"/>
      <c r="M82" s="1322"/>
      <c r="N82" s="1322"/>
      <c r="O82" s="1322"/>
      <c r="P82" s="1322"/>
    </row>
    <row r="83" spans="6:16">
      <c r="F83" s="938"/>
      <c r="G83" s="938"/>
      <c r="H83" s="938"/>
      <c r="I83" s="938"/>
      <c r="J83" s="938"/>
      <c r="K83" s="938"/>
      <c r="L83" s="938"/>
      <c r="M83" s="938"/>
      <c r="N83" s="938"/>
      <c r="O83" s="938"/>
      <c r="P83" s="938"/>
    </row>
    <row r="84" spans="6:16">
      <c r="F84" s="938"/>
      <c r="G84" s="938"/>
      <c r="H84" s="938"/>
      <c r="I84" s="938"/>
      <c r="J84" s="938"/>
      <c r="K84" s="938"/>
      <c r="L84" s="938"/>
      <c r="M84" s="938"/>
      <c r="N84" s="938"/>
      <c r="O84" s="938"/>
      <c r="P84" s="938"/>
    </row>
  </sheetData>
  <mergeCells count="17">
    <mergeCell ref="F74:P82"/>
    <mergeCell ref="U9:V9"/>
    <mergeCell ref="O8:P8"/>
    <mergeCell ref="O9:P9"/>
    <mergeCell ref="U8:V8"/>
    <mergeCell ref="F62:P70"/>
    <mergeCell ref="F72:P72"/>
    <mergeCell ref="X9:Y9"/>
    <mergeCell ref="R9:S9"/>
    <mergeCell ref="C7:C8"/>
    <mergeCell ref="A1:AB1"/>
    <mergeCell ref="A3:AB3"/>
    <mergeCell ref="A5:AB5"/>
    <mergeCell ref="R8:S8"/>
    <mergeCell ref="L7:V7"/>
    <mergeCell ref="L8:M8"/>
    <mergeCell ref="L9:M9"/>
  </mergeCells>
  <phoneticPr fontId="0" type="noConversion"/>
  <pageMargins left="0.5" right="0.5" top="0.75" bottom="0.5" header="0.22" footer="0.26"/>
  <pageSetup scale="46" orientation="landscape"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4"/>
  <dimension ref="A1:AF68"/>
  <sheetViews>
    <sheetView zoomScale="85" zoomScaleNormal="85" workbookViewId="0">
      <selection sqref="A1:P1"/>
    </sheetView>
  </sheetViews>
  <sheetFormatPr defaultRowHeight="15.75"/>
  <cols>
    <col min="1" max="1" width="37.77734375" style="7" customWidth="1"/>
    <col min="2" max="2" width="6.5546875" style="19" customWidth="1"/>
    <col min="3" max="3" width="22.77734375" style="19" customWidth="1"/>
    <col min="4" max="4" width="11.44140625" style="19" customWidth="1"/>
    <col min="5" max="5" width="9.21875" style="19" bestFit="1" customWidth="1"/>
    <col min="6" max="6" width="9" style="19" bestFit="1" customWidth="1"/>
    <col min="7" max="7" width="10.109375" style="19" bestFit="1" customWidth="1"/>
    <col min="8" max="8" width="10.44140625" style="19" customWidth="1"/>
    <col min="9" max="9" width="12" style="19" hidden="1" customWidth="1"/>
    <col min="10" max="10" width="1.77734375" style="19" customWidth="1"/>
    <col min="11" max="11" width="8.44140625" style="7" bestFit="1" customWidth="1"/>
    <col min="12" max="12" width="9.88671875" style="7" customWidth="1"/>
    <col min="13" max="13" width="1.77734375" style="7" customWidth="1"/>
    <col min="14" max="14" width="10.33203125" style="19" bestFit="1" customWidth="1"/>
    <col min="15" max="15" width="10.33203125" style="19" hidden="1" customWidth="1"/>
    <col min="16" max="16" width="11.33203125" style="19" bestFit="1" customWidth="1"/>
    <col min="17" max="17" width="9.77734375" style="19" hidden="1" customWidth="1"/>
    <col min="18" max="18" width="12" style="19" customWidth="1"/>
    <col min="19" max="19" width="9.77734375" style="7" customWidth="1"/>
    <col min="20" max="20" width="15" style="7" customWidth="1"/>
    <col min="21" max="21" width="11.5546875" style="7" customWidth="1"/>
    <col min="22" max="22" width="9.77734375" style="7" customWidth="1"/>
    <col min="23" max="23" width="12.109375" style="7" customWidth="1"/>
    <col min="24" max="24" width="11.21875" style="7" customWidth="1"/>
    <col min="25" max="28" width="9.77734375" style="7" customWidth="1"/>
    <col min="29" max="29" width="11.6640625" style="7" customWidth="1"/>
    <col min="30" max="30" width="8.44140625" style="7" bestFit="1" customWidth="1"/>
    <col min="31" max="31" width="10.5546875" style="7" customWidth="1"/>
    <col min="32" max="32" width="11.88671875" style="7" customWidth="1"/>
    <col min="33" max="16384" width="8.88671875" style="7"/>
  </cols>
  <sheetData>
    <row r="1" spans="1:31" ht="16.5">
      <c r="A1" s="1325" t="s">
        <v>9</v>
      </c>
      <c r="B1" s="1325"/>
      <c r="C1" s="1325"/>
      <c r="D1" s="1325"/>
      <c r="E1" s="1325"/>
      <c r="F1" s="1325"/>
      <c r="G1" s="1325"/>
      <c r="H1" s="1325"/>
      <c r="I1" s="1325"/>
      <c r="J1" s="1325"/>
      <c r="K1" s="1325"/>
      <c r="L1" s="1325"/>
      <c r="M1" s="1325"/>
      <c r="N1" s="1325"/>
      <c r="O1" s="1325"/>
      <c r="P1" s="1325"/>
      <c r="Q1" s="1326" t="str">
        <f>+A1</f>
        <v>WASTE CONTROL, INC.</v>
      </c>
      <c r="R1" s="1326"/>
      <c r="S1" s="1326"/>
      <c r="T1" s="1326"/>
      <c r="U1" s="1326"/>
      <c r="V1" s="1326"/>
      <c r="W1" s="1326"/>
      <c r="X1" s="1326"/>
      <c r="Y1" s="1326"/>
      <c r="Z1" s="1326"/>
      <c r="AA1" s="1326"/>
      <c r="AB1" s="1326"/>
      <c r="AC1" s="1326"/>
      <c r="AD1" s="1326"/>
      <c r="AE1" s="117"/>
    </row>
    <row r="2" spans="1:31" ht="13.5" customHeight="1">
      <c r="A2" s="118"/>
      <c r="B2" s="7"/>
      <c r="P2" s="7"/>
      <c r="R2" s="118"/>
      <c r="S2" s="19"/>
      <c r="T2" s="19"/>
      <c r="U2" s="19"/>
      <c r="V2" s="19"/>
      <c r="W2" s="19"/>
      <c r="X2" s="19"/>
      <c r="Y2" s="19"/>
      <c r="AB2" s="19"/>
      <c r="AE2" s="19"/>
    </row>
    <row r="3" spans="1:31" ht="16.5">
      <c r="A3" s="1325" t="s">
        <v>1002</v>
      </c>
      <c r="B3" s="1325"/>
      <c r="C3" s="1325"/>
      <c r="D3" s="1325"/>
      <c r="E3" s="1325"/>
      <c r="F3" s="1325"/>
      <c r="G3" s="1325"/>
      <c r="H3" s="1325"/>
      <c r="I3" s="1325"/>
      <c r="J3" s="1325"/>
      <c r="K3" s="1325"/>
      <c r="L3" s="1325"/>
      <c r="M3" s="1325"/>
      <c r="N3" s="1325"/>
      <c r="O3" s="1325"/>
      <c r="P3" s="1325"/>
      <c r="Q3" s="1326" t="s">
        <v>214</v>
      </c>
      <c r="R3" s="1326"/>
      <c r="S3" s="1326"/>
      <c r="T3" s="1326"/>
      <c r="U3" s="1326"/>
      <c r="V3" s="1326"/>
      <c r="W3" s="1326"/>
      <c r="X3" s="1326"/>
      <c r="Y3" s="1326"/>
      <c r="Z3" s="1326"/>
      <c r="AA3" s="1326"/>
      <c r="AB3" s="1326"/>
      <c r="AC3" s="1326"/>
      <c r="AD3" s="1326"/>
      <c r="AE3" s="117"/>
    </row>
    <row r="4" spans="1:31">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117"/>
    </row>
    <row r="5" spans="1:31" ht="15.75" customHeight="1">
      <c r="A5" s="1319"/>
      <c r="B5" s="1325"/>
      <c r="C5" s="1325"/>
      <c r="D5" s="1325"/>
      <c r="E5" s="1325"/>
      <c r="F5" s="1325"/>
      <c r="G5" s="1325"/>
      <c r="H5" s="1325"/>
      <c r="I5" s="1325"/>
      <c r="J5" s="1325"/>
      <c r="K5" s="1325"/>
      <c r="L5" s="1325"/>
      <c r="M5" s="1325"/>
      <c r="N5" s="1325"/>
      <c r="O5" s="1325"/>
      <c r="P5" s="1325"/>
      <c r="Q5" s="1319" t="str">
        <f>'WP-2 - Labor Analysis'!I4</f>
        <v>In Support of Tariff 19 effective September 7, 2018</v>
      </c>
      <c r="R5" s="1325"/>
      <c r="S5" s="1325"/>
      <c r="T5" s="1325"/>
      <c r="U5" s="1325"/>
      <c r="V5" s="1325"/>
      <c r="W5" s="1325"/>
      <c r="X5" s="1325"/>
      <c r="Y5" s="1325"/>
      <c r="Z5" s="1325"/>
      <c r="AA5" s="1325"/>
      <c r="AB5" s="1325"/>
      <c r="AC5" s="1325"/>
      <c r="AD5" s="1325"/>
      <c r="AE5" s="117"/>
    </row>
    <row r="6" spans="1:31" ht="15.75" customHeight="1">
      <c r="A6" s="119"/>
      <c r="B6" s="1073"/>
      <c r="C6" s="1319" t="s">
        <v>1379</v>
      </c>
      <c r="D6" s="1319"/>
      <c r="E6" s="1319"/>
      <c r="F6" s="1319"/>
      <c r="G6" s="1319"/>
      <c r="H6" s="1080"/>
      <c r="I6" s="1080"/>
      <c r="J6" s="1080"/>
      <c r="K6" s="1080"/>
      <c r="L6" s="1080"/>
      <c r="M6" s="1080"/>
      <c r="N6" s="1080"/>
      <c r="O6" s="22"/>
      <c r="P6" s="22"/>
      <c r="Q6" s="22"/>
      <c r="R6" s="22"/>
      <c r="S6" s="22"/>
      <c r="T6" s="22"/>
      <c r="U6" s="22"/>
      <c r="V6" s="22"/>
      <c r="W6" s="22"/>
      <c r="X6" s="22"/>
      <c r="Y6" s="22"/>
      <c r="Z6" s="22"/>
      <c r="AA6" s="22"/>
      <c r="AB6" s="22"/>
      <c r="AC6" s="22"/>
      <c r="AD6" s="22"/>
      <c r="AE6" s="117"/>
    </row>
    <row r="7" spans="1:31">
      <c r="A7" s="120"/>
      <c r="B7" s="32"/>
      <c r="C7" s="32"/>
      <c r="D7" s="32"/>
      <c r="E7" s="32"/>
      <c r="F7" s="32"/>
      <c r="G7" s="32"/>
      <c r="H7" s="895" t="s">
        <v>1118</v>
      </c>
      <c r="I7" s="30"/>
      <c r="J7" s="32"/>
      <c r="R7" s="939" t="s">
        <v>391</v>
      </c>
      <c r="W7" s="122" t="s">
        <v>648</v>
      </c>
      <c r="X7" s="1074">
        <v>47300</v>
      </c>
      <c r="Y7" s="1075">
        <v>2.3803000000000001</v>
      </c>
      <c r="Z7" s="212" t="s">
        <v>197</v>
      </c>
      <c r="AA7" s="703"/>
    </row>
    <row r="8" spans="1:31">
      <c r="A8" s="5"/>
      <c r="B8" s="97"/>
      <c r="C8" s="97"/>
      <c r="D8" s="97"/>
      <c r="E8" s="97"/>
      <c r="F8" s="97"/>
      <c r="G8" s="97" t="s">
        <v>643</v>
      </c>
      <c r="H8" s="30" t="s">
        <v>644</v>
      </c>
      <c r="I8" s="30"/>
      <c r="J8" s="97"/>
      <c r="K8" s="1327"/>
      <c r="L8" s="1327"/>
      <c r="M8" s="5"/>
      <c r="N8" s="30">
        <v>12</v>
      </c>
      <c r="O8" s="30">
        <v>0</v>
      </c>
      <c r="P8" s="30">
        <v>12</v>
      </c>
      <c r="Q8" s="30">
        <v>0</v>
      </c>
      <c r="R8" s="30" t="s">
        <v>1125</v>
      </c>
      <c r="S8" s="5"/>
      <c r="T8" s="940">
        <f>100%</f>
        <v>1</v>
      </c>
      <c r="U8" s="30" t="s">
        <v>0</v>
      </c>
      <c r="V8" s="5"/>
      <c r="W8" s="122" t="s">
        <v>649</v>
      </c>
      <c r="X8" s="1075">
        <f>0.0025</f>
        <v>2.5000000000000001E-3</v>
      </c>
      <c r="Y8" s="1075">
        <v>0.13439999999999999</v>
      </c>
      <c r="Z8" s="212" t="s">
        <v>196</v>
      </c>
    </row>
    <row r="9" spans="1:31">
      <c r="A9" s="5"/>
      <c r="B9" s="30" t="s">
        <v>172</v>
      </c>
      <c r="C9" s="30" t="s">
        <v>183</v>
      </c>
      <c r="D9" s="30" t="s">
        <v>173</v>
      </c>
      <c r="E9" s="30" t="s">
        <v>93</v>
      </c>
      <c r="F9" s="30" t="s">
        <v>179</v>
      </c>
      <c r="G9" s="36" t="s">
        <v>202</v>
      </c>
      <c r="H9" s="696">
        <v>43282</v>
      </c>
      <c r="I9" s="696"/>
      <c r="J9" s="36"/>
      <c r="K9" s="1287" t="s">
        <v>645</v>
      </c>
      <c r="L9" s="1287"/>
      <c r="M9" s="5"/>
      <c r="N9" s="30" t="s">
        <v>184</v>
      </c>
      <c r="O9" s="30" t="s">
        <v>184</v>
      </c>
      <c r="P9" s="30" t="s">
        <v>187</v>
      </c>
      <c r="Q9" s="30" t="s">
        <v>187</v>
      </c>
      <c r="R9" s="895" t="s">
        <v>1124</v>
      </c>
      <c r="S9" s="30"/>
      <c r="T9" s="30" t="s">
        <v>185</v>
      </c>
      <c r="U9" s="30" t="s">
        <v>188</v>
      </c>
      <c r="V9" s="30"/>
      <c r="W9" s="5"/>
      <c r="X9" s="30" t="s">
        <v>192</v>
      </c>
      <c r="Y9" s="5"/>
      <c r="Z9" s="98">
        <v>7.0000000000000007E-2</v>
      </c>
      <c r="AA9" s="30"/>
      <c r="AB9" s="30" t="s">
        <v>179</v>
      </c>
      <c r="AC9" s="30" t="s">
        <v>0</v>
      </c>
    </row>
    <row r="10" spans="1:31">
      <c r="A10" s="92" t="s">
        <v>1</v>
      </c>
      <c r="B10" s="92" t="s">
        <v>126</v>
      </c>
      <c r="C10" s="92" t="s">
        <v>63</v>
      </c>
      <c r="D10" s="92" t="s">
        <v>176</v>
      </c>
      <c r="E10" s="92" t="s">
        <v>171</v>
      </c>
      <c r="F10" s="92" t="s">
        <v>180</v>
      </c>
      <c r="G10" s="92" t="s">
        <v>63</v>
      </c>
      <c r="H10" s="92" t="s">
        <v>63</v>
      </c>
      <c r="I10" s="92"/>
      <c r="J10" s="53"/>
      <c r="K10" s="92" t="s">
        <v>2</v>
      </c>
      <c r="L10" s="92" t="s">
        <v>3</v>
      </c>
      <c r="M10" s="5"/>
      <c r="N10" s="53" t="s">
        <v>1070</v>
      </c>
      <c r="O10" s="53" t="s">
        <v>646</v>
      </c>
      <c r="P10" s="53" t="s">
        <v>1070</v>
      </c>
      <c r="Q10" s="53" t="s">
        <v>647</v>
      </c>
      <c r="R10" s="895" t="s">
        <v>1123</v>
      </c>
      <c r="S10" s="53" t="s">
        <v>178</v>
      </c>
      <c r="T10" s="53" t="s">
        <v>186</v>
      </c>
      <c r="U10" s="53" t="s">
        <v>4</v>
      </c>
      <c r="V10" s="53" t="s">
        <v>191</v>
      </c>
      <c r="W10" s="53" t="s">
        <v>194</v>
      </c>
      <c r="X10" s="53" t="s">
        <v>193</v>
      </c>
      <c r="Y10" s="53" t="s">
        <v>195</v>
      </c>
      <c r="Z10" s="30" t="s">
        <v>189</v>
      </c>
      <c r="AA10" s="30" t="s">
        <v>93</v>
      </c>
      <c r="AB10" s="30" t="s">
        <v>180</v>
      </c>
      <c r="AC10" s="30" t="s">
        <v>198</v>
      </c>
    </row>
    <row r="11" spans="1:31">
      <c r="A11" s="20" t="str">
        <f>+'WP-2 - Labor Analysis'!A11</f>
        <v>Richard Ensign - db mg (all cos)</v>
      </c>
      <c r="B11" s="19" t="s">
        <v>175</v>
      </c>
      <c r="C11" s="19" t="s">
        <v>1119</v>
      </c>
      <c r="D11" s="19" t="s">
        <v>177</v>
      </c>
      <c r="E11" s="19" t="s">
        <v>177</v>
      </c>
      <c r="F11" s="19" t="s">
        <v>177</v>
      </c>
      <c r="G11" s="689">
        <v>34.33</v>
      </c>
      <c r="H11" s="689">
        <f>G11*1.036</f>
        <v>35.56588</v>
      </c>
      <c r="I11" s="689">
        <v>0</v>
      </c>
      <c r="K11" s="9">
        <f>+'WP-2 - Labor Analysis'!X11</f>
        <v>2080</v>
      </c>
      <c r="L11" s="9">
        <f>+'WP-2 - Labor Analysis'!Y11</f>
        <v>78575.350000000006</v>
      </c>
      <c r="N11" s="34">
        <f>H11*K11</f>
        <v>73977.030400000003</v>
      </c>
      <c r="O11" s="34">
        <v>0</v>
      </c>
      <c r="P11" s="34">
        <v>0</v>
      </c>
      <c r="Q11" s="34">
        <v>0</v>
      </c>
      <c r="R11" s="34">
        <v>4786</v>
      </c>
      <c r="S11" s="10">
        <v>2707.09</v>
      </c>
      <c r="T11" s="10">
        <f>SUM(N11:S11)</f>
        <v>81470.1204</v>
      </c>
      <c r="U11" s="10">
        <f>T11-L11</f>
        <v>2894.770399999994</v>
      </c>
      <c r="V11" s="10">
        <f>T11*0.0765</f>
        <v>6232.4642106000001</v>
      </c>
      <c r="W11" s="10">
        <f>IF(T11&gt;7000,7000*0.008,T11*0.008)</f>
        <v>56</v>
      </c>
      <c r="X11" s="10">
        <f>IF(T11&gt;$X$7,$X$7*$X$8,+T11*$X$8)</f>
        <v>118.25</v>
      </c>
      <c r="Y11" s="38">
        <f>$Y$8*K11</f>
        <v>279.55199999999996</v>
      </c>
      <c r="Z11" s="10">
        <f>T11*$Z$9</f>
        <v>5702.9084280000006</v>
      </c>
      <c r="AA11" s="10">
        <f>+'WP-2, pg 3 - Benefits Analysis'!J11</f>
        <v>54.72</v>
      </c>
      <c r="AB11" s="10">
        <f>+'WP-2, pg 3 - Benefits Analysis'!I11</f>
        <v>7474.4400000000014</v>
      </c>
      <c r="AC11" s="10">
        <f>SUM(V11:AB11)</f>
        <v>19918.334638600001</v>
      </c>
    </row>
    <row r="12" spans="1:31">
      <c r="A12" s="20" t="str">
        <f>+'WP-2 - Labor Analysis'!A12</f>
        <v>Management Fees</v>
      </c>
      <c r="G12" s="689"/>
      <c r="H12" s="689"/>
      <c r="I12" s="689"/>
      <c r="K12" s="9"/>
      <c r="L12" s="9">
        <f>+'WP-2 - Labor Analysis'!C12</f>
        <v>204000</v>
      </c>
      <c r="N12" s="34"/>
      <c r="O12" s="34">
        <v>0</v>
      </c>
      <c r="P12" s="34"/>
      <c r="Q12" s="34">
        <v>0</v>
      </c>
      <c r="R12" s="34"/>
      <c r="S12" s="10"/>
      <c r="T12" s="11">
        <f>17000*12</f>
        <v>204000</v>
      </c>
      <c r="U12" s="11">
        <f>T12-L12</f>
        <v>0</v>
      </c>
      <c r="V12" s="11">
        <v>0</v>
      </c>
      <c r="W12" s="11">
        <v>0</v>
      </c>
      <c r="X12" s="11">
        <v>0</v>
      </c>
      <c r="Y12" s="11">
        <v>0</v>
      </c>
      <c r="Z12" s="11">
        <v>0</v>
      </c>
      <c r="AA12" s="11">
        <v>0</v>
      </c>
      <c r="AB12" s="11">
        <v>0</v>
      </c>
      <c r="AC12" s="11">
        <f>SUM(V12:AB12)</f>
        <v>0</v>
      </c>
    </row>
    <row r="13" spans="1:31">
      <c r="A13" s="35" t="str">
        <f>+'WP-2 - Labor Analysis'!A13</f>
        <v>MANAGEMENT</v>
      </c>
      <c r="B13" s="1072"/>
      <c r="C13" s="1072"/>
      <c r="D13" s="1072"/>
      <c r="E13" s="1072"/>
      <c r="F13" s="1072"/>
      <c r="G13" s="690"/>
      <c r="H13" s="690"/>
      <c r="I13" s="690"/>
      <c r="J13" s="1072"/>
      <c r="K13" s="680">
        <f>SUM(K11:K12)</f>
        <v>2080</v>
      </c>
      <c r="L13" s="680">
        <f>SUM(L11:L12)</f>
        <v>282575.34999999998</v>
      </c>
      <c r="N13" s="34"/>
      <c r="O13" s="34"/>
      <c r="P13" s="34"/>
      <c r="Q13" s="34"/>
      <c r="R13" s="34"/>
      <c r="S13" s="10"/>
      <c r="T13" s="11">
        <f>SUM(T11:T12)</f>
        <v>285470.12040000001</v>
      </c>
      <c r="U13" s="11">
        <f t="shared" ref="U13:AC13" si="0">SUM(U11:U12)</f>
        <v>2894.770399999994</v>
      </c>
      <c r="V13" s="11">
        <f t="shared" si="0"/>
        <v>6232.4642106000001</v>
      </c>
      <c r="W13" s="11">
        <f t="shared" si="0"/>
        <v>56</v>
      </c>
      <c r="X13" s="11">
        <f t="shared" si="0"/>
        <v>118.25</v>
      </c>
      <c r="Y13" s="11">
        <f t="shared" si="0"/>
        <v>279.55199999999996</v>
      </c>
      <c r="Z13" s="11">
        <f t="shared" si="0"/>
        <v>5702.9084280000006</v>
      </c>
      <c r="AA13" s="11">
        <f t="shared" si="0"/>
        <v>54.72</v>
      </c>
      <c r="AB13" s="11">
        <f t="shared" si="0"/>
        <v>7474.4400000000014</v>
      </c>
      <c r="AC13" s="11">
        <f t="shared" si="0"/>
        <v>19918.334638600001</v>
      </c>
      <c r="AD13" s="213">
        <f>(K13/$K$57)*$Y$56</f>
        <v>-394.31738571365224</v>
      </c>
      <c r="AE13" s="7">
        <f>+(AC13+AD13)*T$8</f>
        <v>19524.017252886348</v>
      </c>
    </row>
    <row r="14" spans="1:31">
      <c r="G14" s="689"/>
      <c r="H14" s="689"/>
      <c r="I14" s="689"/>
      <c r="K14" s="9"/>
      <c r="L14" s="9"/>
      <c r="N14" s="34"/>
      <c r="O14" s="34"/>
      <c r="P14" s="34"/>
      <c r="Q14" s="34"/>
      <c r="R14" s="34"/>
      <c r="S14" s="10"/>
      <c r="T14" s="10"/>
      <c r="U14" s="10"/>
      <c r="V14" s="10"/>
      <c r="W14" s="10"/>
      <c r="X14" s="10"/>
      <c r="Y14" s="10"/>
      <c r="Z14" s="10"/>
      <c r="AA14" s="10"/>
      <c r="AB14" s="10"/>
      <c r="AC14" s="10"/>
    </row>
    <row r="15" spans="1:31">
      <c r="A15" s="20" t="str">
        <f>+'WP-2 - Labor Analysis'!A15</f>
        <v>Terri Turner - office mg</v>
      </c>
      <c r="B15" s="19" t="s">
        <v>174</v>
      </c>
      <c r="C15" s="19" t="s">
        <v>182</v>
      </c>
      <c r="D15" s="19" t="s">
        <v>177</v>
      </c>
      <c r="E15" s="19" t="s">
        <v>177</v>
      </c>
      <c r="F15" s="19" t="s">
        <v>177</v>
      </c>
      <c r="G15" s="689">
        <v>38.99</v>
      </c>
      <c r="H15" s="689">
        <f>G15*1.036</f>
        <v>40.393640000000005</v>
      </c>
      <c r="I15" s="689">
        <v>0</v>
      </c>
      <c r="K15" s="9">
        <f>+'WP-2 - Labor Analysis'!J15</f>
        <v>2373</v>
      </c>
      <c r="L15" s="9">
        <f>+'WP-2 - Labor Analysis'!Y15</f>
        <v>99286.96</v>
      </c>
      <c r="N15" s="876">
        <f>H15*(K15-'WP-2 - Labor Analysis'!F15)</f>
        <v>85594.123160000017</v>
      </c>
      <c r="O15" s="34">
        <v>0</v>
      </c>
      <c r="P15" s="34">
        <f>(H15*1.5)*'WP-2 - Labor Analysis'!F15</f>
        <v>15389.976840000001</v>
      </c>
      <c r="Q15" s="34">
        <v>0</v>
      </c>
      <c r="R15" s="34">
        <v>0</v>
      </c>
      <c r="S15" s="10">
        <v>2707.09</v>
      </c>
      <c r="T15" s="10">
        <f>SUM(N15:S15)</f>
        <v>103691.19000000002</v>
      </c>
      <c r="U15" s="10">
        <f>T15-L15</f>
        <v>4404.2300000000105</v>
      </c>
      <c r="V15" s="10">
        <f>T15*0.0765</f>
        <v>7932.3760350000011</v>
      </c>
      <c r="W15" s="10">
        <f>IF(T15&gt;7000,7000*0.008,T15*0.008)</f>
        <v>56</v>
      </c>
      <c r="X15" s="10">
        <f>IF(T15&gt;$X$7,$X$7*$X$8,+T15*$X$8)</f>
        <v>118.25</v>
      </c>
      <c r="Y15" s="10">
        <f>$Y$8*K15</f>
        <v>318.93119999999999</v>
      </c>
      <c r="Z15" s="10">
        <f>T15*$Z$9</f>
        <v>7258.3833000000022</v>
      </c>
      <c r="AA15" s="10">
        <f>+'WP-2, pg 3 - Benefits Analysis'!J15</f>
        <v>54.72</v>
      </c>
      <c r="AB15" s="10">
        <f>+'WP-2, pg 3 - Benefits Analysis'!I15</f>
        <v>7696.0800000000017</v>
      </c>
      <c r="AC15" s="10">
        <f>SUM(V15:AB15)</f>
        <v>23434.740535000004</v>
      </c>
    </row>
    <row r="16" spans="1:31">
      <c r="A16" s="20" t="str">
        <f>+'WP-2 - Labor Analysis'!A16</f>
        <v>Kami Dykstra</v>
      </c>
      <c r="B16" s="19" t="s">
        <v>174</v>
      </c>
      <c r="C16" s="19" t="s">
        <v>182</v>
      </c>
      <c r="D16" s="19" t="s">
        <v>177</v>
      </c>
      <c r="E16" s="19" t="s">
        <v>177</v>
      </c>
      <c r="F16" s="19" t="s">
        <v>177</v>
      </c>
      <c r="G16" s="689">
        <v>18.54</v>
      </c>
      <c r="H16" s="689">
        <f>G16*1.036</f>
        <v>19.207439999999998</v>
      </c>
      <c r="I16" s="689">
        <v>0</v>
      </c>
      <c r="K16" s="9">
        <f>+'WP-2 - Labor Analysis'!J16</f>
        <v>1974</v>
      </c>
      <c r="L16" s="9">
        <f>+'WP-2 - Labor Analysis'!Y16</f>
        <v>37512.44</v>
      </c>
      <c r="N16" s="34">
        <f>H16*K16</f>
        <v>37915.486559999998</v>
      </c>
      <c r="O16" s="34">
        <v>0</v>
      </c>
      <c r="P16" s="34">
        <f>(H16*1.5)*'WP-2 - Labor Analysis'!F16</f>
        <v>172.86695999999998</v>
      </c>
      <c r="Q16" s="34">
        <v>0</v>
      </c>
      <c r="R16" s="34">
        <v>0</v>
      </c>
      <c r="S16" s="10">
        <v>651.29</v>
      </c>
      <c r="T16" s="10">
        <f>SUM(N16:S16)</f>
        <v>38739.643519999998</v>
      </c>
      <c r="U16" s="10">
        <f>T16-L16</f>
        <v>1227.2035199999955</v>
      </c>
      <c r="V16" s="10">
        <f>T16*0.0765</f>
        <v>2963.58272928</v>
      </c>
      <c r="W16" s="10">
        <f>IF(T16&gt;7000,7000*0.008,T16*0.008)</f>
        <v>56</v>
      </c>
      <c r="X16" s="10">
        <f>IF(T16&gt;$X$7,$X$7*$X$8,+T16*$X$8)</f>
        <v>96.849108799999996</v>
      </c>
      <c r="Y16" s="10">
        <f>$Y$8*K16</f>
        <v>265.30559999999997</v>
      </c>
      <c r="Z16" s="10">
        <f>T16*$Z$9</f>
        <v>2711.7750464000001</v>
      </c>
      <c r="AA16" s="10">
        <f>+'WP-2, pg 3 - Benefits Analysis'!J16</f>
        <v>54.72</v>
      </c>
      <c r="AB16" s="10">
        <f>+'WP-2, pg 3 - Benefits Analysis'!I16</f>
        <v>4447.4400000000005</v>
      </c>
      <c r="AC16" s="10">
        <f t="shared" ref="AC16:AC53" si="1">SUM(V16:AB16)</f>
        <v>10595.672484480001</v>
      </c>
    </row>
    <row r="17" spans="1:31">
      <c r="A17" s="20" t="str">
        <f>+'WP-2 - Labor Analysis'!A17</f>
        <v>Lacey Gray</v>
      </c>
      <c r="B17" s="19" t="s">
        <v>174</v>
      </c>
      <c r="C17" s="19" t="s">
        <v>182</v>
      </c>
      <c r="D17" s="19" t="s">
        <v>181</v>
      </c>
      <c r="E17" s="19" t="s">
        <v>181</v>
      </c>
      <c r="F17" s="19" t="s">
        <v>181</v>
      </c>
      <c r="G17" s="689">
        <v>20.71</v>
      </c>
      <c r="H17" s="689">
        <f>G17*1.036</f>
        <v>21.455560000000002</v>
      </c>
      <c r="I17" s="689">
        <v>0</v>
      </c>
      <c r="K17" s="9">
        <f>+'WP-2 - Labor Analysis'!J17</f>
        <v>130</v>
      </c>
      <c r="L17" s="9">
        <f>+'WP-2 - Labor Analysis'!Y17</f>
        <v>2759</v>
      </c>
      <c r="N17" s="34">
        <v>0</v>
      </c>
      <c r="O17" s="34">
        <v>0</v>
      </c>
      <c r="P17" s="34">
        <v>0</v>
      </c>
      <c r="Q17" s="34">
        <v>0</v>
      </c>
      <c r="R17" s="34">
        <v>0</v>
      </c>
      <c r="S17" s="10">
        <v>0</v>
      </c>
      <c r="T17" s="11">
        <v>0</v>
      </c>
      <c r="U17" s="704">
        <f>T17-L17</f>
        <v>-2759</v>
      </c>
      <c r="V17" s="11">
        <f>T17*0.0765</f>
        <v>0</v>
      </c>
      <c r="W17" s="11">
        <f>IF(T17&gt;7000,7000*0.008,T17*0.008)</f>
        <v>0</v>
      </c>
      <c r="X17" s="704">
        <f>IF(T17&gt;$X$7,$X$7*$X$8,+T17*$X$8)</f>
        <v>0</v>
      </c>
      <c r="Y17" s="704">
        <v>0</v>
      </c>
      <c r="Z17" s="11">
        <v>0</v>
      </c>
      <c r="AA17" s="11">
        <v>0</v>
      </c>
      <c r="AB17" s="704">
        <v>0</v>
      </c>
      <c r="AC17" s="11">
        <f t="shared" si="1"/>
        <v>0</v>
      </c>
      <c r="AD17" s="7" t="s">
        <v>1068</v>
      </c>
    </row>
    <row r="18" spans="1:31">
      <c r="A18" s="35" t="str">
        <f>+'WP-2 - Labor Analysis'!A18</f>
        <v>SUPER/BILLING/OFFICE</v>
      </c>
      <c r="B18" s="1072"/>
      <c r="C18" s="1072"/>
      <c r="D18" s="1072"/>
      <c r="E18" s="1072"/>
      <c r="F18" s="1072"/>
      <c r="G18" s="690"/>
      <c r="H18" s="690"/>
      <c r="I18" s="690"/>
      <c r="J18" s="1072"/>
      <c r="K18" s="680">
        <f>SUM(K15:K17)</f>
        <v>4477</v>
      </c>
      <c r="L18" s="680">
        <f>SUM(L15:L17)</f>
        <v>139558.40000000002</v>
      </c>
      <c r="N18" s="34"/>
      <c r="O18" s="34"/>
      <c r="P18" s="34"/>
      <c r="Q18" s="34"/>
      <c r="R18" s="34"/>
      <c r="S18" s="10"/>
      <c r="T18" s="11">
        <f>SUM(T15:T17)</f>
        <v>142430.83352000001</v>
      </c>
      <c r="U18" s="11">
        <f t="shared" ref="U18:AC18" si="2">SUM(U15:U17)</f>
        <v>2872.433520000006</v>
      </c>
      <c r="V18" s="11">
        <f t="shared" si="2"/>
        <v>10895.958764280002</v>
      </c>
      <c r="W18" s="11">
        <f t="shared" si="2"/>
        <v>112</v>
      </c>
      <c r="X18" s="11">
        <f t="shared" si="2"/>
        <v>215.09910880000001</v>
      </c>
      <c r="Y18" s="11">
        <f t="shared" si="2"/>
        <v>584.2367999999999</v>
      </c>
      <c r="Z18" s="11">
        <f t="shared" si="2"/>
        <v>9970.1583464000032</v>
      </c>
      <c r="AA18" s="11">
        <f t="shared" si="2"/>
        <v>109.44</v>
      </c>
      <c r="AB18" s="11">
        <f t="shared" si="2"/>
        <v>12143.520000000002</v>
      </c>
      <c r="AC18" s="11">
        <f t="shared" si="2"/>
        <v>34030.413019480009</v>
      </c>
      <c r="AD18" s="21">
        <f>(K18/$K$57)*$Y$56</f>
        <v>-848.73025761539486</v>
      </c>
      <c r="AE18" s="7">
        <f>+(AC18+AD18)*T$8</f>
        <v>33181.682761864613</v>
      </c>
    </row>
    <row r="19" spans="1:31">
      <c r="G19" s="689"/>
      <c r="H19" s="689"/>
      <c r="I19" s="689"/>
      <c r="K19" s="10"/>
      <c r="L19" s="10"/>
      <c r="N19" s="34"/>
      <c r="O19" s="34"/>
      <c r="P19" s="34"/>
      <c r="Q19" s="34"/>
      <c r="R19" s="34"/>
      <c r="S19" s="10"/>
      <c r="T19" s="10"/>
      <c r="U19" s="10"/>
      <c r="V19" s="10"/>
      <c r="W19" s="10"/>
      <c r="X19" s="10"/>
      <c r="Y19" s="10"/>
      <c r="Z19" s="10"/>
      <c r="AA19" s="10"/>
      <c r="AB19" s="10"/>
      <c r="AC19" s="10"/>
    </row>
    <row r="20" spans="1:31">
      <c r="A20" s="20" t="str">
        <f>+'WP-2 - Labor Analysis'!A20</f>
        <v>Jason Bebout</v>
      </c>
      <c r="B20" s="19" t="s">
        <v>175</v>
      </c>
      <c r="C20" s="19" t="s">
        <v>1120</v>
      </c>
      <c r="D20" s="19" t="s">
        <v>177</v>
      </c>
      <c r="E20" s="19" t="s">
        <v>177</v>
      </c>
      <c r="F20" s="19" t="s">
        <v>177</v>
      </c>
      <c r="G20" s="689">
        <v>19.68</v>
      </c>
      <c r="H20" s="689">
        <f>G20*1.036</f>
        <v>20.388480000000001</v>
      </c>
      <c r="I20" s="689">
        <v>0</v>
      </c>
      <c r="K20" s="9">
        <f>+'WP-2 - Labor Analysis'!X20</f>
        <v>2062</v>
      </c>
      <c r="L20" s="9">
        <f>+'WP-2 - Labor Analysis'!Y20</f>
        <v>49036.880000000005</v>
      </c>
      <c r="N20" s="34">
        <f>H20*K20</f>
        <v>42041.045760000001</v>
      </c>
      <c r="O20" s="34">
        <v>0</v>
      </c>
      <c r="P20" s="34">
        <f>156*(H20*1.5)</f>
        <v>4770.9043200000006</v>
      </c>
      <c r="Q20" s="34">
        <v>0</v>
      </c>
      <c r="R20" s="34">
        <v>0</v>
      </c>
      <c r="S20" s="10">
        <v>1000</v>
      </c>
      <c r="T20" s="10">
        <f t="shared" ref="T20:T25" si="3">SUM(N20:S20)</f>
        <v>47811.950080000002</v>
      </c>
      <c r="U20" s="10">
        <f t="shared" ref="U20:U29" si="4">T20-L20</f>
        <v>-1224.9299200000023</v>
      </c>
      <c r="V20" s="10">
        <f t="shared" ref="V20:V28" si="5">T20*0.0765</f>
        <v>3657.61418112</v>
      </c>
      <c r="W20" s="10">
        <f t="shared" ref="W20:W28" si="6">IF(T20&gt;7000,7000*0.008,T20*0.008)</f>
        <v>56</v>
      </c>
      <c r="X20" s="10">
        <f t="shared" ref="X20:X28" si="7">IF(T20&gt;$X$7,$X$7*$X$8,+T20*$X$8)</f>
        <v>118.25</v>
      </c>
      <c r="Y20" s="10">
        <f t="shared" ref="Y20:Y23" si="8">$Y$7*K20</f>
        <v>4908.1786000000002</v>
      </c>
      <c r="Z20" s="10">
        <f t="shared" ref="Z20:Z25" si="9">T20*$Z$9</f>
        <v>3346.8365056000007</v>
      </c>
      <c r="AA20" s="10">
        <f>+'WP-2, pg 3 - Benefits Analysis'!J20</f>
        <v>54.72</v>
      </c>
      <c r="AB20" s="10">
        <f>+'WP-2, pg 3 - Benefits Analysis'!I20</f>
        <v>4201.92</v>
      </c>
      <c r="AC20" s="10">
        <f t="shared" si="1"/>
        <v>16343.51928672</v>
      </c>
    </row>
    <row r="21" spans="1:31">
      <c r="A21" s="20" t="str">
        <f>+'WP-2 - Labor Analysis'!A22</f>
        <v>Rafael Garcia</v>
      </c>
      <c r="B21" s="19" t="s">
        <v>175</v>
      </c>
      <c r="C21" s="19" t="s">
        <v>1120</v>
      </c>
      <c r="D21" s="19" t="s">
        <v>177</v>
      </c>
      <c r="E21" s="19" t="s">
        <v>177</v>
      </c>
      <c r="F21" s="19" t="s">
        <v>177</v>
      </c>
      <c r="G21" s="689">
        <v>21.45</v>
      </c>
      <c r="H21" s="689">
        <f>G21*1.036</f>
        <v>22.222200000000001</v>
      </c>
      <c r="I21" s="689">
        <v>0</v>
      </c>
      <c r="K21" s="9">
        <f>+'WP-2 - Labor Analysis'!J22</f>
        <v>2195</v>
      </c>
      <c r="L21" s="9">
        <f>+'WP-2 - Labor Analysis'!Y22</f>
        <v>51457.049999999996</v>
      </c>
      <c r="N21" s="876">
        <v>0</v>
      </c>
      <c r="O21" s="34">
        <v>0</v>
      </c>
      <c r="P21" s="34">
        <v>0</v>
      </c>
      <c r="Q21" s="34">
        <v>0</v>
      </c>
      <c r="R21" s="34">
        <v>0</v>
      </c>
      <c r="S21" s="10">
        <v>0</v>
      </c>
      <c r="T21" s="10">
        <f t="shared" si="3"/>
        <v>0</v>
      </c>
      <c r="U21" s="10">
        <f t="shared" si="4"/>
        <v>-51457.049999999996</v>
      </c>
      <c r="V21" s="10">
        <f t="shared" si="5"/>
        <v>0</v>
      </c>
      <c r="W21" s="10">
        <f t="shared" si="6"/>
        <v>0</v>
      </c>
      <c r="X21" s="10">
        <f t="shared" si="7"/>
        <v>0</v>
      </c>
      <c r="Y21" s="10"/>
      <c r="Z21" s="10">
        <f t="shared" si="9"/>
        <v>0</v>
      </c>
      <c r="AA21" s="10"/>
      <c r="AB21" s="10">
        <v>0</v>
      </c>
      <c r="AC21" s="10">
        <f t="shared" si="1"/>
        <v>0</v>
      </c>
      <c r="AD21" s="7" t="s">
        <v>1131</v>
      </c>
    </row>
    <row r="22" spans="1:31">
      <c r="A22" s="20" t="s">
        <v>1130</v>
      </c>
      <c r="B22" s="19" t="s">
        <v>174</v>
      </c>
      <c r="C22" s="19" t="s">
        <v>182</v>
      </c>
      <c r="D22" s="19" t="s">
        <v>177</v>
      </c>
      <c r="E22" s="19" t="s">
        <v>177</v>
      </c>
      <c r="F22" s="19" t="s">
        <v>177</v>
      </c>
      <c r="G22" s="689"/>
      <c r="H22" s="689">
        <v>17.22</v>
      </c>
      <c r="I22" s="689"/>
      <c r="K22" s="9"/>
      <c r="L22" s="9"/>
      <c r="N22" s="876">
        <f>2080*H22</f>
        <v>35817.599999999999</v>
      </c>
      <c r="O22" s="34"/>
      <c r="P22" s="34">
        <f>132*(H22*1.5)</f>
        <v>3409.56</v>
      </c>
      <c r="Q22" s="34"/>
      <c r="R22" s="34"/>
      <c r="S22" s="10"/>
      <c r="T22" s="10">
        <f t="shared" si="3"/>
        <v>39227.159999999996</v>
      </c>
      <c r="U22" s="10">
        <f t="shared" si="4"/>
        <v>39227.159999999996</v>
      </c>
      <c r="V22" s="10">
        <f t="shared" ref="V22" si="10">T22*0.0765</f>
        <v>3000.8777399999994</v>
      </c>
      <c r="W22" s="10">
        <f t="shared" ref="W22" si="11">IF(T22&gt;7000,7000*0.008,T22*0.008)</f>
        <v>56</v>
      </c>
      <c r="X22" s="10">
        <f t="shared" ref="X22" si="12">IF(T22&gt;$X$7,$X$7*$X$8,+T22*$X$8)</f>
        <v>98.067899999999995</v>
      </c>
      <c r="Y22" s="10">
        <f>$Y$7*2080</f>
        <v>4951.0240000000003</v>
      </c>
      <c r="Z22" s="10">
        <f t="shared" ref="Z22" si="13">T22*$Z$9</f>
        <v>2745.9011999999998</v>
      </c>
      <c r="AA22" s="10">
        <f>+'WP-2, pg 3 - Benefits Analysis'!J22</f>
        <v>54.72</v>
      </c>
      <c r="AB22" s="10">
        <f>+'WP-2, pg 3 - Benefits Analysis'!G22</f>
        <v>4200</v>
      </c>
      <c r="AC22" s="10">
        <f t="shared" ref="AC22" si="14">SUM(V22:AB22)</f>
        <v>15106.590839999999</v>
      </c>
      <c r="AD22" s="7" t="s">
        <v>1139</v>
      </c>
    </row>
    <row r="23" spans="1:31">
      <c r="A23" s="20" t="str">
        <f>+'WP-2 - Labor Analysis'!A23</f>
        <v>Kevin Salinas</v>
      </c>
      <c r="B23" s="19" t="s">
        <v>175</v>
      </c>
      <c r="C23" s="19" t="s">
        <v>1120</v>
      </c>
      <c r="D23" s="19" t="s">
        <v>177</v>
      </c>
      <c r="E23" s="19" t="s">
        <v>177</v>
      </c>
      <c r="F23" s="19" t="s">
        <v>177</v>
      </c>
      <c r="G23" s="689">
        <v>21.45</v>
      </c>
      <c r="H23" s="689">
        <f t="shared" ref="H23:H28" si="15">G23*1.036</f>
        <v>22.222200000000001</v>
      </c>
      <c r="I23" s="689">
        <v>0</v>
      </c>
      <c r="K23" s="9">
        <f>+'WP-2 - Labor Analysis'!J23</f>
        <v>2325</v>
      </c>
      <c r="L23" s="9">
        <f>+'WP-2 - Labor Analysis'!Y23</f>
        <v>54844.58</v>
      </c>
      <c r="N23" s="876">
        <f>H23*(K23-'WP-2 - Labor Analysis'!F23)</f>
        <v>47377.7304</v>
      </c>
      <c r="O23" s="34">
        <v>0</v>
      </c>
      <c r="P23" s="34">
        <f>156*(H23*1.5)</f>
        <v>5199.9948000000004</v>
      </c>
      <c r="Q23" s="34">
        <v>0</v>
      </c>
      <c r="R23" s="34">
        <v>0</v>
      </c>
      <c r="S23" s="10">
        <v>1963.84</v>
      </c>
      <c r="T23" s="10">
        <f t="shared" si="3"/>
        <v>54541.565199999997</v>
      </c>
      <c r="U23" s="10">
        <f t="shared" si="4"/>
        <v>-303.01480000000447</v>
      </c>
      <c r="V23" s="10">
        <f t="shared" si="5"/>
        <v>4172.4297378000001</v>
      </c>
      <c r="W23" s="10">
        <f t="shared" si="6"/>
        <v>56</v>
      </c>
      <c r="X23" s="10">
        <f t="shared" si="7"/>
        <v>118.25</v>
      </c>
      <c r="Y23" s="10">
        <f t="shared" si="8"/>
        <v>5534.1975000000002</v>
      </c>
      <c r="Z23" s="10">
        <f t="shared" si="9"/>
        <v>3817.909564</v>
      </c>
      <c r="AA23" s="10">
        <f>+'WP-2, pg 3 - Benefits Analysis'!J23</f>
        <v>54.72</v>
      </c>
      <c r="AB23" s="10">
        <f>+'WP-2, pg 3 - Benefits Analysis'!I23</f>
        <v>6192.96</v>
      </c>
      <c r="AC23" s="10">
        <f t="shared" si="1"/>
        <v>19946.466801799997</v>
      </c>
    </row>
    <row r="24" spans="1:31">
      <c r="A24" s="20" t="str">
        <f>+'WP-2 - Labor Analysis'!A24</f>
        <v>Jeff Sugg</v>
      </c>
      <c r="B24" s="19" t="s">
        <v>175</v>
      </c>
      <c r="C24" s="19" t="s">
        <v>182</v>
      </c>
      <c r="D24" s="19" t="s">
        <v>177</v>
      </c>
      <c r="E24" s="19" t="s">
        <v>177</v>
      </c>
      <c r="F24" s="19" t="s">
        <v>177</v>
      </c>
      <c r="G24" s="689">
        <v>23.8</v>
      </c>
      <c r="H24" s="689">
        <f t="shared" si="15"/>
        <v>24.6568</v>
      </c>
      <c r="I24" s="689">
        <v>0</v>
      </c>
      <c r="K24" s="9">
        <v>2080</v>
      </c>
      <c r="L24" s="9">
        <f>+'WP-2 - Labor Analysis'!Y24</f>
        <v>50790.49</v>
      </c>
      <c r="N24" s="34">
        <f>H24*K24</f>
        <v>51286.144</v>
      </c>
      <c r="O24" s="34">
        <v>0</v>
      </c>
      <c r="P24" s="34">
        <v>0</v>
      </c>
      <c r="Q24" s="34">
        <v>0</v>
      </c>
      <c r="R24" s="34">
        <v>0</v>
      </c>
      <c r="S24" s="10">
        <v>1635.77</v>
      </c>
      <c r="T24" s="10">
        <f t="shared" si="3"/>
        <v>52921.913999999997</v>
      </c>
      <c r="U24" s="10">
        <f t="shared" si="4"/>
        <v>2131.4239999999991</v>
      </c>
      <c r="V24" s="10">
        <f t="shared" si="5"/>
        <v>4048.5264209999996</v>
      </c>
      <c r="W24" s="10">
        <f t="shared" si="6"/>
        <v>56</v>
      </c>
      <c r="X24" s="10">
        <f t="shared" si="7"/>
        <v>118.25</v>
      </c>
      <c r="Y24" s="10">
        <f>$Y$7*K24</f>
        <v>4951.0240000000003</v>
      </c>
      <c r="Z24" s="10">
        <f t="shared" si="9"/>
        <v>3704.5339800000002</v>
      </c>
      <c r="AA24" s="10">
        <f>+'WP-2, pg 3 - Benefits Analysis'!J24</f>
        <v>54.72</v>
      </c>
      <c r="AB24" s="10">
        <f>+'WP-2, pg 3 - Benefits Analysis'!I24</f>
        <v>4436.88</v>
      </c>
      <c r="AC24" s="10">
        <f t="shared" si="1"/>
        <v>17369.934400999999</v>
      </c>
    </row>
    <row r="25" spans="1:31">
      <c r="A25" s="20" t="str">
        <f>+'WP-2 - Labor Analysis'!A25</f>
        <v>William Hainline</v>
      </c>
      <c r="B25" s="19" t="s">
        <v>175</v>
      </c>
      <c r="C25" s="19" t="s">
        <v>1120</v>
      </c>
      <c r="D25" s="19" t="s">
        <v>177</v>
      </c>
      <c r="E25" s="19" t="s">
        <v>177</v>
      </c>
      <c r="F25" s="19" t="s">
        <v>177</v>
      </c>
      <c r="G25" s="689">
        <v>18.09</v>
      </c>
      <c r="H25" s="689">
        <f t="shared" si="15"/>
        <v>18.741240000000001</v>
      </c>
      <c r="I25" s="689">
        <v>0</v>
      </c>
      <c r="K25" s="9">
        <f>+'WP-2 - Labor Analysis'!J25</f>
        <v>1839</v>
      </c>
      <c r="L25" s="9">
        <f>+'WP-2 - Labor Analysis'!Y25</f>
        <v>44518.98</v>
      </c>
      <c r="N25" s="34">
        <v>0</v>
      </c>
      <c r="O25" s="34">
        <v>0</v>
      </c>
      <c r="P25" s="34">
        <v>0</v>
      </c>
      <c r="Q25" s="34">
        <v>0</v>
      </c>
      <c r="R25" s="34">
        <v>0</v>
      </c>
      <c r="S25" s="10">
        <v>0</v>
      </c>
      <c r="T25" s="10">
        <f t="shared" si="3"/>
        <v>0</v>
      </c>
      <c r="U25" s="10">
        <f t="shared" si="4"/>
        <v>-44518.98</v>
      </c>
      <c r="V25" s="10">
        <f t="shared" si="5"/>
        <v>0</v>
      </c>
      <c r="W25" s="10">
        <f t="shared" si="6"/>
        <v>0</v>
      </c>
      <c r="X25" s="10">
        <f t="shared" si="7"/>
        <v>0</v>
      </c>
      <c r="Y25" s="10">
        <v>0</v>
      </c>
      <c r="Z25" s="10">
        <f t="shared" si="9"/>
        <v>0</v>
      </c>
      <c r="AA25" s="10">
        <f>+'WP-2, pg 3 - Benefits Analysis'!J25</f>
        <v>54.72</v>
      </c>
      <c r="AB25" s="10">
        <f>+'WP-2, pg 3 - Benefits Analysis'!I25</f>
        <v>10899.480000000001</v>
      </c>
      <c r="AC25" s="10">
        <f t="shared" si="1"/>
        <v>10954.2</v>
      </c>
      <c r="AD25" s="7" t="s">
        <v>1132</v>
      </c>
    </row>
    <row r="26" spans="1:31">
      <c r="A26" s="20" t="str">
        <f>+'WP-2 - Labor Analysis'!A26</f>
        <v>Kyle Horton</v>
      </c>
      <c r="B26" s="19" t="s">
        <v>174</v>
      </c>
      <c r="C26" s="19" t="s">
        <v>182</v>
      </c>
      <c r="D26" s="19" t="s">
        <v>181</v>
      </c>
      <c r="E26" s="19" t="s">
        <v>181</v>
      </c>
      <c r="F26" s="19" t="s">
        <v>181</v>
      </c>
      <c r="G26" s="689">
        <v>17.22</v>
      </c>
      <c r="H26" s="689">
        <f t="shared" si="15"/>
        <v>17.839919999999999</v>
      </c>
      <c r="I26" s="689">
        <v>0</v>
      </c>
      <c r="K26" s="9">
        <f>+'WP-2 - Labor Analysis'!J26</f>
        <v>121</v>
      </c>
      <c r="L26" s="9">
        <f>+'WP-2 - Labor Analysis'!Y26</f>
        <v>2002.02</v>
      </c>
      <c r="N26" s="34">
        <v>0</v>
      </c>
      <c r="O26" s="34">
        <v>0</v>
      </c>
      <c r="P26" s="34">
        <v>0</v>
      </c>
      <c r="Q26" s="34">
        <v>0</v>
      </c>
      <c r="R26" s="34">
        <v>0</v>
      </c>
      <c r="S26" s="10">
        <v>0</v>
      </c>
      <c r="T26" s="10">
        <v>0</v>
      </c>
      <c r="U26" s="10">
        <f t="shared" si="4"/>
        <v>-2002.02</v>
      </c>
      <c r="V26" s="10">
        <f t="shared" si="5"/>
        <v>0</v>
      </c>
      <c r="W26" s="10">
        <f t="shared" si="6"/>
        <v>0</v>
      </c>
      <c r="X26" s="10">
        <f t="shared" si="7"/>
        <v>0</v>
      </c>
      <c r="Y26" s="10">
        <v>0</v>
      </c>
      <c r="Z26" s="10">
        <v>0</v>
      </c>
      <c r="AA26" s="10">
        <v>0</v>
      </c>
      <c r="AB26" s="10">
        <v>0</v>
      </c>
      <c r="AC26" s="10">
        <f t="shared" si="1"/>
        <v>0</v>
      </c>
      <c r="AD26" s="7" t="s">
        <v>1068</v>
      </c>
    </row>
    <row r="27" spans="1:31">
      <c r="A27" s="20" t="str">
        <f>+'WP-2 - Labor Analysis'!A27</f>
        <v>Cody Bartel</v>
      </c>
      <c r="B27" s="19" t="s">
        <v>174</v>
      </c>
      <c r="C27" s="19" t="s">
        <v>182</v>
      </c>
      <c r="D27" s="19" t="s">
        <v>177</v>
      </c>
      <c r="E27" s="19" t="s">
        <v>177</v>
      </c>
      <c r="F27" s="19" t="s">
        <v>177</v>
      </c>
      <c r="G27" s="689">
        <v>17.899999999999999</v>
      </c>
      <c r="H27" s="689">
        <f t="shared" si="15"/>
        <v>18.5444</v>
      </c>
      <c r="I27" s="689">
        <v>0</v>
      </c>
      <c r="K27" s="9">
        <f>+'WP-2 - Labor Analysis'!J27</f>
        <v>2418</v>
      </c>
      <c r="L27" s="9">
        <f>+'WP-2 - Labor Analysis'!Y27</f>
        <v>43607.78</v>
      </c>
      <c r="N27" s="876">
        <f>H27*(K27-'WP-2 - Labor Analysis'!F27)</f>
        <v>39462.483200000002</v>
      </c>
      <c r="O27" s="34">
        <v>0</v>
      </c>
      <c r="P27" s="34">
        <f>(H27*1.5)*'WP-2 - Labor Analysis'!F27</f>
        <v>8066.8140000000003</v>
      </c>
      <c r="Q27" s="34">
        <v>0</v>
      </c>
      <c r="R27" s="34">
        <v>0</v>
      </c>
      <c r="S27" s="10">
        <v>0</v>
      </c>
      <c r="T27" s="21">
        <f>SUM(N27:S27)</f>
        <v>47529.297200000001</v>
      </c>
      <c r="U27" s="21">
        <f t="shared" si="4"/>
        <v>3921.517200000002</v>
      </c>
      <c r="V27" s="676">
        <f t="shared" si="5"/>
        <v>3635.9912358000001</v>
      </c>
      <c r="W27" s="676">
        <f t="shared" si="6"/>
        <v>56</v>
      </c>
      <c r="X27" s="10">
        <f t="shared" si="7"/>
        <v>118.25</v>
      </c>
      <c r="Y27" s="10">
        <f>$Y$7*K27</f>
        <v>5755.5654000000004</v>
      </c>
      <c r="Z27" s="10">
        <f>T27*$Z$9</f>
        <v>3327.0508040000004</v>
      </c>
      <c r="AA27" s="10">
        <f>+'WP-2, pg 3 - Benefits Analysis'!J27</f>
        <v>54.72</v>
      </c>
      <c r="AB27" s="10">
        <f>+'WP-2, pg 3 - Benefits Analysis'!I27</f>
        <v>7474.4400000000014</v>
      </c>
      <c r="AC27" s="10">
        <f t="shared" si="1"/>
        <v>20422.017439800002</v>
      </c>
    </row>
    <row r="28" spans="1:31">
      <c r="A28" s="20" t="str">
        <f>+'WP-2 - Labor Analysis'!A28</f>
        <v>Tyler Inman</v>
      </c>
      <c r="B28" s="19" t="s">
        <v>175</v>
      </c>
      <c r="C28" s="19" t="s">
        <v>1120</v>
      </c>
      <c r="D28" s="19" t="s">
        <v>177</v>
      </c>
      <c r="E28" s="19" t="s">
        <v>177</v>
      </c>
      <c r="F28" s="19" t="s">
        <v>177</v>
      </c>
      <c r="G28" s="689">
        <v>17.22</v>
      </c>
      <c r="H28" s="689">
        <f t="shared" si="15"/>
        <v>17.839919999999999</v>
      </c>
      <c r="I28" s="689"/>
      <c r="K28" s="9">
        <f>+'WP-2 - Labor Analysis'!J28</f>
        <v>1626</v>
      </c>
      <c r="L28" s="9">
        <f>+'WP-2 - Labor Analysis'!Y28</f>
        <v>25509</v>
      </c>
      <c r="N28" s="34">
        <f>H28*2080</f>
        <v>37107.033599999995</v>
      </c>
      <c r="O28" s="34"/>
      <c r="P28" s="34">
        <f>156*(H28*1.5)</f>
        <v>4174.5412799999995</v>
      </c>
      <c r="Q28" s="34"/>
      <c r="R28" s="34">
        <v>0</v>
      </c>
      <c r="S28" s="10">
        <v>0</v>
      </c>
      <c r="T28" s="21">
        <f>SUM(N28:S28)</f>
        <v>41281.574879999993</v>
      </c>
      <c r="U28" s="21">
        <f t="shared" si="4"/>
        <v>15772.574879999993</v>
      </c>
      <c r="V28" s="676">
        <f t="shared" si="5"/>
        <v>3158.0404783199992</v>
      </c>
      <c r="W28" s="676">
        <f t="shared" si="6"/>
        <v>56</v>
      </c>
      <c r="X28" s="10">
        <f t="shared" si="7"/>
        <v>103.20393719999998</v>
      </c>
      <c r="Y28" s="10">
        <f>$Y$7*K28</f>
        <v>3870.3678</v>
      </c>
      <c r="Z28" s="10">
        <f>T28*$Z$9</f>
        <v>2889.7102415999998</v>
      </c>
      <c r="AA28" s="10">
        <f>+'WP-2, pg 3 - Benefits Analysis'!J28</f>
        <v>54.72</v>
      </c>
      <c r="AB28" s="10">
        <f>+'WP-2, pg 3 - Benefits Analysis'!I28</f>
        <v>4796.88</v>
      </c>
      <c r="AC28" s="10">
        <f t="shared" si="1"/>
        <v>14928.922457119999</v>
      </c>
      <c r="AD28" s="7" t="s">
        <v>1138</v>
      </c>
    </row>
    <row r="29" spans="1:31">
      <c r="A29" s="20" t="s">
        <v>1133</v>
      </c>
      <c r="B29" s="19" t="s">
        <v>174</v>
      </c>
      <c r="C29" s="19" t="s">
        <v>182</v>
      </c>
      <c r="D29" s="19" t="s">
        <v>177</v>
      </c>
      <c r="E29" s="19" t="s">
        <v>177</v>
      </c>
      <c r="F29" s="19" t="s">
        <v>177</v>
      </c>
      <c r="G29" s="689"/>
      <c r="H29" s="689">
        <v>13.1</v>
      </c>
      <c r="I29" s="689"/>
      <c r="K29" s="9"/>
      <c r="L29" s="9"/>
      <c r="N29" s="34">
        <f>2080*H29</f>
        <v>27248</v>
      </c>
      <c r="O29" s="34"/>
      <c r="P29" s="34">
        <f>230.11*(H29*1.5)</f>
        <v>4521.6615000000002</v>
      </c>
      <c r="Q29" s="34"/>
      <c r="R29" s="34"/>
      <c r="S29" s="10"/>
      <c r="T29" s="21">
        <f>SUM(N29:S29)</f>
        <v>31769.661500000002</v>
      </c>
      <c r="U29" s="21">
        <f t="shared" si="4"/>
        <v>31769.661500000002</v>
      </c>
      <c r="V29" s="676">
        <f t="shared" ref="V29" si="16">T29*0.0765</f>
        <v>2430.3791047499999</v>
      </c>
      <c r="W29" s="676">
        <f t="shared" ref="W29" si="17">IF(T29&gt;7000,7000*0.008,T29*0.008)</f>
        <v>56</v>
      </c>
      <c r="X29" s="10">
        <f t="shared" ref="X29" si="18">IF(T29&gt;$X$7,$X$7*$X$8,+T29*$X$8)</f>
        <v>79.424153750000002</v>
      </c>
      <c r="Y29" s="10">
        <f>$Y$7*2080</f>
        <v>4951.0240000000003</v>
      </c>
      <c r="Z29" s="10">
        <v>0</v>
      </c>
      <c r="AA29" s="10"/>
      <c r="AB29" s="10"/>
      <c r="AC29" s="10">
        <f t="shared" ref="AC29" si="19">SUM(V29:AB29)</f>
        <v>7516.8272585000004</v>
      </c>
    </row>
    <row r="30" spans="1:31">
      <c r="A30" s="35" t="str">
        <f>+'WP-2 - Labor Analysis'!A29</f>
        <v>DRIVERS</v>
      </c>
      <c r="B30" s="30"/>
      <c r="C30" s="30"/>
      <c r="D30" s="30"/>
      <c r="E30" s="30"/>
      <c r="F30" s="30"/>
      <c r="G30" s="690"/>
      <c r="H30" s="690"/>
      <c r="I30" s="690"/>
      <c r="J30" s="30"/>
      <c r="K30" s="680">
        <f>SUM(K20:K29)</f>
        <v>14666</v>
      </c>
      <c r="L30" s="680">
        <f>SUM(L20:L29)</f>
        <v>321766.78000000003</v>
      </c>
      <c r="N30" s="34"/>
      <c r="O30" s="34"/>
      <c r="P30" s="34"/>
      <c r="Q30" s="34"/>
      <c r="R30" s="34"/>
      <c r="S30" s="10"/>
      <c r="T30" s="680">
        <f>SUM(T20:T29)</f>
        <v>315083.12285999994</v>
      </c>
      <c r="U30" s="680">
        <f t="shared" ref="U30:AC30" si="20">SUM(U20:U29)</f>
        <v>-6683.6571400000103</v>
      </c>
      <c r="V30" s="680">
        <f t="shared" si="20"/>
        <v>24103.85889879</v>
      </c>
      <c r="W30" s="680">
        <f t="shared" si="20"/>
        <v>392</v>
      </c>
      <c r="X30" s="680">
        <f t="shared" si="20"/>
        <v>753.6959909499999</v>
      </c>
      <c r="Y30" s="680">
        <f t="shared" si="20"/>
        <v>34921.381300000001</v>
      </c>
      <c r="Z30" s="680">
        <f t="shared" si="20"/>
        <v>19831.942295200002</v>
      </c>
      <c r="AA30" s="680">
        <f t="shared" si="20"/>
        <v>383.04000000000008</v>
      </c>
      <c r="AB30" s="680">
        <f t="shared" si="20"/>
        <v>42202.560000000005</v>
      </c>
      <c r="AC30" s="680">
        <f t="shared" si="20"/>
        <v>122588.47848494</v>
      </c>
      <c r="AD30" s="21">
        <f>(K30/$K$57)*$Y$56</f>
        <v>-2780.3167206136659</v>
      </c>
      <c r="AE30" s="7">
        <f>+(AC30+AD30)*T$8</f>
        <v>119808.16176432633</v>
      </c>
    </row>
    <row r="31" spans="1:31">
      <c r="G31" s="689"/>
      <c r="H31" s="689"/>
      <c r="I31" s="689"/>
      <c r="K31" s="10"/>
      <c r="L31" s="10"/>
      <c r="N31" s="34"/>
      <c r="O31" s="34"/>
      <c r="P31" s="34"/>
      <c r="Q31" s="34"/>
      <c r="R31" s="34"/>
      <c r="S31" s="10"/>
      <c r="T31" s="10"/>
      <c r="U31" s="10"/>
      <c r="V31" s="10"/>
      <c r="W31" s="10"/>
      <c r="X31" s="10"/>
      <c r="Y31" s="10"/>
      <c r="Z31" s="10"/>
      <c r="AA31" s="10"/>
      <c r="AB31" s="10"/>
      <c r="AC31" s="10"/>
    </row>
    <row r="32" spans="1:31">
      <c r="A32" s="20" t="str">
        <f>+'WP-2 - Labor Analysis'!A31</f>
        <v>Dave Ritola (100% drop box)</v>
      </c>
      <c r="B32" s="19" t="s">
        <v>174</v>
      </c>
      <c r="C32" s="19" t="s">
        <v>182</v>
      </c>
      <c r="D32" s="19" t="s">
        <v>177</v>
      </c>
      <c r="E32" s="19" t="s">
        <v>177</v>
      </c>
      <c r="F32" s="19" t="s">
        <v>177</v>
      </c>
      <c r="G32" s="689">
        <v>22.6</v>
      </c>
      <c r="H32" s="689">
        <f>G32*1.036</f>
        <v>23.413600000000002</v>
      </c>
      <c r="I32" s="689">
        <v>0</v>
      </c>
      <c r="K32" s="9">
        <f>+'WP-2 - Labor Analysis'!J31</f>
        <v>2863</v>
      </c>
      <c r="L32" s="9">
        <f>+'WP-2 - Labor Analysis'!Y31</f>
        <v>80184.06</v>
      </c>
      <c r="N32" s="876">
        <f>H32*(K32-'WP-2 - Labor Analysis'!F31)</f>
        <v>50549.962400000004</v>
      </c>
      <c r="O32" s="34">
        <v>0</v>
      </c>
      <c r="P32" s="34">
        <f>(H32*1.5)*'WP-2 - Labor Analysis'!F31</f>
        <v>24724.761600000002</v>
      </c>
      <c r="Q32" s="34">
        <v>0</v>
      </c>
      <c r="R32" s="34">
        <v>4945.08</v>
      </c>
      <c r="S32" s="10">
        <v>2445.41</v>
      </c>
      <c r="T32" s="10">
        <f>SUM(N32:S32)</f>
        <v>82665.214000000007</v>
      </c>
      <c r="U32" s="10">
        <f>T32-L32</f>
        <v>2481.1540000000095</v>
      </c>
      <c r="V32" s="10">
        <f>T32*0.0765</f>
        <v>6323.8888710000001</v>
      </c>
      <c r="W32" s="10">
        <f>IF(T32&gt;7000,7000*0.008,T32*0.008)</f>
        <v>56</v>
      </c>
      <c r="X32" s="10">
        <f>IF(T32&gt;$X$7,$X$7*$X$8,+T32*$X$8)</f>
        <v>118.25</v>
      </c>
      <c r="Y32" s="10">
        <f>$Y$7*K32</f>
        <v>6814.7989000000007</v>
      </c>
      <c r="Z32" s="10">
        <f>T32*$Z$9</f>
        <v>5786.564980000001</v>
      </c>
      <c r="AA32" s="10">
        <f>+'WP-2, pg 3 - Benefits Analysis'!J32</f>
        <v>54.72</v>
      </c>
      <c r="AB32" s="10">
        <f>+'WP-2, pg 3 - Benefits Analysis'!I32</f>
        <v>7674.8400000000011</v>
      </c>
      <c r="AC32" s="10">
        <f t="shared" si="1"/>
        <v>26829.062751000001</v>
      </c>
    </row>
    <row r="33" spans="1:31">
      <c r="A33" s="20" t="str">
        <f>+'WP-2 - Labor Analysis'!A32</f>
        <v>Henry Peltier (100% drop box)</v>
      </c>
      <c r="B33" s="19" t="s">
        <v>174</v>
      </c>
      <c r="C33" s="19" t="s">
        <v>182</v>
      </c>
      <c r="D33" s="19" t="s">
        <v>177</v>
      </c>
      <c r="E33" s="19" t="s">
        <v>177</v>
      </c>
      <c r="F33" s="19" t="s">
        <v>177</v>
      </c>
      <c r="G33" s="689">
        <v>22.6</v>
      </c>
      <c r="H33" s="689">
        <f>G33*1.036</f>
        <v>23.413600000000002</v>
      </c>
      <c r="I33" s="689">
        <v>0</v>
      </c>
      <c r="K33" s="9">
        <f>+'WP-2 - Labor Analysis'!J32</f>
        <v>2840</v>
      </c>
      <c r="L33" s="9">
        <f>+'WP-2 - Labor Analysis'!Y32</f>
        <v>75138.490000000005</v>
      </c>
      <c r="N33" s="876">
        <f>H33*(K33-'WP-2 - Labor Analysis'!F32)</f>
        <v>50643.616800000003</v>
      </c>
      <c r="O33" s="34">
        <v>0</v>
      </c>
      <c r="P33" s="34">
        <f>(H33*1.5)*'WP-2 - Labor Analysis'!F32</f>
        <v>23776.510800000004</v>
      </c>
      <c r="Q33" s="34">
        <v>0</v>
      </c>
      <c r="R33" s="34">
        <v>0</v>
      </c>
      <c r="S33" s="10">
        <v>2337.0700000000002</v>
      </c>
      <c r="T33" s="10">
        <f>SUM(N33:S33)</f>
        <v>76757.197600000014</v>
      </c>
      <c r="U33" s="10">
        <f>T33-L33</f>
        <v>1618.7076000000088</v>
      </c>
      <c r="V33" s="10">
        <f>T33*0.0765</f>
        <v>5871.9256164000008</v>
      </c>
      <c r="W33" s="10">
        <f>IF(T33&gt;7000,7000*0.008,T33*0.008)</f>
        <v>56</v>
      </c>
      <c r="X33" s="10">
        <f>IF(T33&gt;$X$7,$X$7*$X$8,+T33*$X$8)</f>
        <v>118.25</v>
      </c>
      <c r="Y33" s="10">
        <f>$Y$7*K33</f>
        <v>6760.0520000000006</v>
      </c>
      <c r="Z33" s="10">
        <f>T33*$Z$9</f>
        <v>5373.0038320000012</v>
      </c>
      <c r="AA33" s="10">
        <f>+'WP-2, pg 3 - Benefits Analysis'!J33</f>
        <v>54.72</v>
      </c>
      <c r="AB33" s="10">
        <f>+'WP-2, pg 3 - Benefits Analysis'!I33</f>
        <v>9098.880000000001</v>
      </c>
      <c r="AC33" s="10">
        <f t="shared" si="1"/>
        <v>27332.831448400004</v>
      </c>
    </row>
    <row r="34" spans="1:31">
      <c r="A34" s="35" t="str">
        <f>+'WP-2 - Labor Analysis'!A33</f>
        <v>DROP BOX</v>
      </c>
      <c r="B34" s="30"/>
      <c r="C34" s="30"/>
      <c r="D34" s="30"/>
      <c r="E34" s="30"/>
      <c r="F34" s="30"/>
      <c r="G34" s="690"/>
      <c r="H34" s="690"/>
      <c r="I34" s="690"/>
      <c r="J34" s="30"/>
      <c r="K34" s="680">
        <f>SUM(K32:K33)</f>
        <v>5703</v>
      </c>
      <c r="L34" s="680">
        <f>SUM(L32:L33)</f>
        <v>155322.54999999999</v>
      </c>
      <c r="N34" s="34"/>
      <c r="O34" s="34"/>
      <c r="P34" s="34"/>
      <c r="Q34" s="34"/>
      <c r="R34" s="34"/>
      <c r="S34" s="10"/>
      <c r="T34" s="680">
        <f>SUM(T32:T33)</f>
        <v>159422.41160000002</v>
      </c>
      <c r="U34" s="680">
        <f t="shared" ref="U34:AC34" si="21">SUM(U32:U33)</f>
        <v>4099.8616000000184</v>
      </c>
      <c r="V34" s="680">
        <f t="shared" si="21"/>
        <v>12195.814487400001</v>
      </c>
      <c r="W34" s="680">
        <f t="shared" si="21"/>
        <v>112</v>
      </c>
      <c r="X34" s="680">
        <f t="shared" si="21"/>
        <v>236.5</v>
      </c>
      <c r="Y34" s="680">
        <f t="shared" si="21"/>
        <v>13574.850900000001</v>
      </c>
      <c r="Z34" s="680">
        <f t="shared" si="21"/>
        <v>11159.568812000001</v>
      </c>
      <c r="AA34" s="680">
        <f t="shared" si="21"/>
        <v>109.44</v>
      </c>
      <c r="AB34" s="680">
        <f t="shared" si="21"/>
        <v>16773.72</v>
      </c>
      <c r="AC34" s="680">
        <f t="shared" si="21"/>
        <v>54161.894199400005</v>
      </c>
      <c r="AD34" s="21">
        <f>(K34/$K$57)*$Y$56</f>
        <v>-1081.1500243869993</v>
      </c>
      <c r="AE34" s="7">
        <f>+(AC34+AD34)*T$8</f>
        <v>53080.744175013009</v>
      </c>
    </row>
    <row r="35" spans="1:31">
      <c r="A35" s="37"/>
      <c r="G35" s="689"/>
      <c r="H35" s="689"/>
      <c r="I35" s="689"/>
      <c r="K35" s="21"/>
      <c r="L35" s="21"/>
      <c r="N35" s="34"/>
      <c r="O35" s="34"/>
      <c r="P35" s="34"/>
      <c r="Q35" s="34"/>
      <c r="R35" s="34"/>
      <c r="S35" s="10"/>
      <c r="T35" s="10"/>
      <c r="U35" s="10"/>
      <c r="V35" s="10"/>
      <c r="W35" s="10"/>
      <c r="X35" s="10"/>
      <c r="Y35" s="10"/>
      <c r="Z35" s="10"/>
      <c r="AA35" s="10"/>
      <c r="AB35" s="10"/>
      <c r="AC35" s="10"/>
    </row>
    <row r="36" spans="1:31">
      <c r="A36" s="20" t="str">
        <f>+'WP-2 - Labor Analysis'!A35</f>
        <v>Loren Gonzales</v>
      </c>
      <c r="B36" s="19" t="s">
        <v>174</v>
      </c>
      <c r="C36" s="19" t="s">
        <v>182</v>
      </c>
      <c r="D36" s="19" t="s">
        <v>181</v>
      </c>
      <c r="E36" s="19" t="s">
        <v>181</v>
      </c>
      <c r="F36" s="19" t="s">
        <v>181</v>
      </c>
      <c r="G36" s="689">
        <v>15.83</v>
      </c>
      <c r="H36" s="689">
        <f t="shared" ref="H36:H43" si="22">G36*1.036</f>
        <v>16.39988</v>
      </c>
      <c r="I36" s="689">
        <v>0</v>
      </c>
      <c r="K36" s="9">
        <f>+'WP-2 - Labor Analysis'!J35</f>
        <v>383</v>
      </c>
      <c r="L36" s="9">
        <f>+'WP-2 - Labor Analysis'!Y35</f>
        <v>6082</v>
      </c>
      <c r="N36" s="34">
        <f>H36*2080</f>
        <v>34111.750399999997</v>
      </c>
      <c r="O36" s="34">
        <v>0</v>
      </c>
      <c r="P36" s="34">
        <f>(H36*1.5)*'WP-2 - Labor Analysis'!F35</f>
        <v>1426.7895600000002</v>
      </c>
      <c r="Q36" s="34">
        <v>0</v>
      </c>
      <c r="R36" s="34">
        <v>0</v>
      </c>
      <c r="S36" s="10">
        <v>0</v>
      </c>
      <c r="T36" s="10">
        <f>SUM(N36:S36)</f>
        <v>35538.539959999995</v>
      </c>
      <c r="U36" s="10">
        <f>T36-L36</f>
        <v>29456.539959999995</v>
      </c>
      <c r="V36" s="10">
        <f t="shared" ref="V36:V43" si="23">T36*0.0765</f>
        <v>2718.6983069399994</v>
      </c>
      <c r="W36" s="10">
        <f t="shared" ref="W36:W43" si="24">IF(T36&gt;7000,7000*0.008,T36*0.008)</f>
        <v>56</v>
      </c>
      <c r="X36" s="10">
        <f t="shared" ref="X36:X43" si="25">IF(T36&gt;$X$7,$X$7*$X$8,+T36*$X$8)</f>
        <v>88.846349899999993</v>
      </c>
      <c r="Y36" s="10">
        <f>$Y$7*K36</f>
        <v>911.6549</v>
      </c>
      <c r="Z36" s="10">
        <f>T36*$Z$9</f>
        <v>2487.6977972</v>
      </c>
      <c r="AA36" s="10">
        <f>+'WP-2, pg 3 - Benefits Analysis'!J36</f>
        <v>0</v>
      </c>
      <c r="AB36" s="10">
        <f>+'WP-2, pg 3 - Benefits Analysis'!I36</f>
        <v>4799.9999999999991</v>
      </c>
      <c r="AC36" s="10">
        <f t="shared" si="1"/>
        <v>11062.897354039998</v>
      </c>
    </row>
    <row r="37" spans="1:31">
      <c r="A37" s="20" t="str">
        <f>+'WP-2 - Labor Analysis'!A36</f>
        <v>David Akans</v>
      </c>
      <c r="B37" s="19" t="s">
        <v>174</v>
      </c>
      <c r="C37" s="19" t="s">
        <v>182</v>
      </c>
      <c r="D37" s="19" t="s">
        <v>181</v>
      </c>
      <c r="E37" s="19" t="s">
        <v>181</v>
      </c>
      <c r="F37" s="19" t="s">
        <v>181</v>
      </c>
      <c r="G37" s="689">
        <v>11</v>
      </c>
      <c r="H37" s="689">
        <f t="shared" si="22"/>
        <v>11.396000000000001</v>
      </c>
      <c r="I37" s="689">
        <v>0</v>
      </c>
      <c r="K37" s="9">
        <f>+'WP-2 - Labor Analysis'!J36</f>
        <v>199</v>
      </c>
      <c r="L37" s="9">
        <f>+'WP-2 - Labor Analysis'!Y36</f>
        <v>2210</v>
      </c>
      <c r="N37" s="34">
        <v>0</v>
      </c>
      <c r="O37" s="34">
        <v>0</v>
      </c>
      <c r="P37" s="34">
        <v>0</v>
      </c>
      <c r="Q37" s="34">
        <v>0</v>
      </c>
      <c r="R37" s="34">
        <v>0</v>
      </c>
      <c r="S37" s="10">
        <v>0</v>
      </c>
      <c r="T37" s="10">
        <v>0</v>
      </c>
      <c r="U37" s="10">
        <f t="shared" ref="U37:U39" si="26">T37-L37</f>
        <v>-2210</v>
      </c>
      <c r="V37" s="10">
        <f t="shared" si="23"/>
        <v>0</v>
      </c>
      <c r="W37" s="10">
        <f t="shared" si="24"/>
        <v>0</v>
      </c>
      <c r="X37" s="10">
        <f t="shared" si="25"/>
        <v>0</v>
      </c>
      <c r="Y37" s="10">
        <v>0</v>
      </c>
      <c r="Z37" s="10">
        <v>0</v>
      </c>
      <c r="AA37" s="10">
        <v>0</v>
      </c>
      <c r="AB37" s="10">
        <v>0</v>
      </c>
      <c r="AC37" s="10">
        <f t="shared" si="1"/>
        <v>0</v>
      </c>
      <c r="AD37" s="7" t="s">
        <v>1136</v>
      </c>
    </row>
    <row r="38" spans="1:31">
      <c r="A38" s="20" t="str">
        <f>+'WP-2 - Labor Analysis'!A37</f>
        <v>Clayton Carney</v>
      </c>
      <c r="B38" s="19" t="s">
        <v>174</v>
      </c>
      <c r="C38" s="19" t="s">
        <v>182</v>
      </c>
      <c r="D38" s="19" t="s">
        <v>181</v>
      </c>
      <c r="E38" s="19" t="s">
        <v>181</v>
      </c>
      <c r="F38" s="19" t="s">
        <v>181</v>
      </c>
      <c r="G38" s="689">
        <v>11.5</v>
      </c>
      <c r="H38" s="689">
        <f t="shared" si="22"/>
        <v>11.914</v>
      </c>
      <c r="I38" s="689">
        <v>0</v>
      </c>
      <c r="K38" s="9">
        <f>+'WP-2 - Labor Analysis'!J37</f>
        <v>432</v>
      </c>
      <c r="L38" s="9">
        <f>+'WP-2 - Labor Analysis'!Y37</f>
        <v>5066</v>
      </c>
      <c r="N38" s="34">
        <f>H38*(K38+K37)</f>
        <v>7517.7339999999995</v>
      </c>
      <c r="O38" s="34">
        <v>0</v>
      </c>
      <c r="P38" s="34">
        <f>(H38*1.5)*'WP-2 - Labor Analysis'!F37</f>
        <v>303.80699999999996</v>
      </c>
      <c r="Q38" s="34">
        <v>0</v>
      </c>
      <c r="R38" s="34">
        <v>0</v>
      </c>
      <c r="S38" s="10">
        <v>0</v>
      </c>
      <c r="T38" s="10">
        <f>SUM(N38:S38)</f>
        <v>7821.5409999999993</v>
      </c>
      <c r="U38" s="10">
        <f t="shared" si="26"/>
        <v>2755.5409999999993</v>
      </c>
      <c r="V38" s="10">
        <f t="shared" si="23"/>
        <v>598.34788649999996</v>
      </c>
      <c r="W38" s="10">
        <f t="shared" si="24"/>
        <v>56</v>
      </c>
      <c r="X38" s="10">
        <f t="shared" si="25"/>
        <v>19.553852499999998</v>
      </c>
      <c r="Y38" s="10">
        <f>$Y$7*K38</f>
        <v>1028.2896000000001</v>
      </c>
      <c r="Z38" s="10">
        <v>0</v>
      </c>
      <c r="AA38" s="10">
        <f>+'WP-2, pg 3 - Benefits Analysis'!J38</f>
        <v>0</v>
      </c>
      <c r="AB38" s="10">
        <f>+'WP-2, pg 3 - Benefits Analysis'!I38</f>
        <v>4932.4800000000005</v>
      </c>
      <c r="AC38" s="10">
        <f t="shared" si="1"/>
        <v>6634.6713390000004</v>
      </c>
      <c r="AD38" s="7" t="s">
        <v>1135</v>
      </c>
    </row>
    <row r="39" spans="1:31">
      <c r="A39" s="20" t="str">
        <f>+'WP-2 - Labor Analysis'!A38</f>
        <v>Weslie Coates</v>
      </c>
      <c r="B39" s="19" t="s">
        <v>174</v>
      </c>
      <c r="C39" s="19" t="s">
        <v>182</v>
      </c>
      <c r="D39" s="19" t="s">
        <v>181</v>
      </c>
      <c r="E39" s="19" t="s">
        <v>181</v>
      </c>
      <c r="F39" s="19" t="s">
        <v>181</v>
      </c>
      <c r="G39" s="689">
        <v>14.17</v>
      </c>
      <c r="H39" s="689">
        <f t="shared" si="22"/>
        <v>14.680120000000001</v>
      </c>
      <c r="I39" s="689">
        <v>0</v>
      </c>
      <c r="K39" s="9">
        <f>+'WP-2 - Labor Analysis'!J38</f>
        <v>772</v>
      </c>
      <c r="L39" s="9">
        <f>+'WP-2 - Labor Analysis'!Y38</f>
        <v>11381</v>
      </c>
      <c r="N39" s="34">
        <v>0</v>
      </c>
      <c r="O39" s="34">
        <v>0</v>
      </c>
      <c r="P39" s="34">
        <v>0</v>
      </c>
      <c r="Q39" s="34">
        <v>0</v>
      </c>
      <c r="R39" s="34">
        <v>0</v>
      </c>
      <c r="S39" s="10">
        <v>0</v>
      </c>
      <c r="T39" s="10">
        <v>0</v>
      </c>
      <c r="U39" s="10">
        <f t="shared" si="26"/>
        <v>-11381</v>
      </c>
      <c r="V39" s="10">
        <f t="shared" si="23"/>
        <v>0</v>
      </c>
      <c r="W39" s="10">
        <f t="shared" si="24"/>
        <v>0</v>
      </c>
      <c r="X39" s="10">
        <f t="shared" si="25"/>
        <v>0</v>
      </c>
      <c r="Y39" s="10">
        <v>0</v>
      </c>
      <c r="Z39" s="10">
        <v>0</v>
      </c>
      <c r="AA39" s="10">
        <v>0</v>
      </c>
      <c r="AB39" s="10">
        <v>0</v>
      </c>
      <c r="AC39" s="10">
        <f t="shared" si="1"/>
        <v>0</v>
      </c>
      <c r="AD39" s="7" t="s">
        <v>1137</v>
      </c>
    </row>
    <row r="40" spans="1:31">
      <c r="A40" s="20" t="str">
        <f>+'WP-2 - Labor Analysis'!A39</f>
        <v>Jagmeet Deol</v>
      </c>
      <c r="B40" s="19" t="s">
        <v>174</v>
      </c>
      <c r="C40" s="19" t="s">
        <v>182</v>
      </c>
      <c r="D40" s="19" t="s">
        <v>181</v>
      </c>
      <c r="E40" s="19" t="s">
        <v>181</v>
      </c>
      <c r="F40" s="19" t="s">
        <v>181</v>
      </c>
      <c r="G40" s="689">
        <v>14.74</v>
      </c>
      <c r="H40" s="689">
        <f t="shared" si="22"/>
        <v>15.27064</v>
      </c>
      <c r="I40" s="689">
        <v>0</v>
      </c>
      <c r="K40" s="9">
        <f>+'WP-2 - Labor Analysis'!J39</f>
        <v>422</v>
      </c>
      <c r="L40" s="9">
        <f>+'WP-2 - Labor Analysis'!Y39</f>
        <v>6657</v>
      </c>
      <c r="N40" s="34">
        <f t="shared" ref="N40:N43" si="27">H40*K40</f>
        <v>6444.2100799999998</v>
      </c>
      <c r="O40" s="34">
        <v>0</v>
      </c>
      <c r="P40" s="34">
        <f>(H40*1.5)*'WP-2 - Labor Analysis'!F39</f>
        <v>1351.45164</v>
      </c>
      <c r="Q40" s="34">
        <v>0</v>
      </c>
      <c r="R40" s="34">
        <v>0</v>
      </c>
      <c r="S40" s="10">
        <v>0</v>
      </c>
      <c r="T40" s="10">
        <f>SUM(N40:S40)</f>
        <v>7795.6617200000001</v>
      </c>
      <c r="U40" s="10">
        <f>T40-L40</f>
        <v>1138.6617200000001</v>
      </c>
      <c r="V40" s="10">
        <f t="shared" si="23"/>
        <v>596.36812157999998</v>
      </c>
      <c r="W40" s="10">
        <f t="shared" si="24"/>
        <v>56</v>
      </c>
      <c r="X40" s="10">
        <f t="shared" si="25"/>
        <v>19.489154299999999</v>
      </c>
      <c r="Y40" s="10">
        <f>$Y$7*K40</f>
        <v>1004.4866000000001</v>
      </c>
      <c r="Z40" s="10">
        <v>0</v>
      </c>
      <c r="AA40" s="10">
        <f>+'WP-2, pg 3 - Benefits Analysis'!J40</f>
        <v>0</v>
      </c>
      <c r="AB40" s="10">
        <f>+'WP-2, pg 3 - Benefits Analysis'!G40</f>
        <v>0</v>
      </c>
      <c r="AC40" s="10">
        <f t="shared" si="1"/>
        <v>1676.34387588</v>
      </c>
    </row>
    <row r="41" spans="1:31">
      <c r="A41" s="20" t="str">
        <f>+'WP-2 - Labor Analysis'!A40</f>
        <v>David Murray</v>
      </c>
      <c r="B41" s="19" t="s">
        <v>174</v>
      </c>
      <c r="C41" s="19" t="s">
        <v>182</v>
      </c>
      <c r="D41" s="19" t="s">
        <v>177</v>
      </c>
      <c r="E41" s="19" t="s">
        <v>177</v>
      </c>
      <c r="F41" s="19" t="s">
        <v>177</v>
      </c>
      <c r="G41" s="689">
        <v>12.88</v>
      </c>
      <c r="H41" s="689">
        <f t="shared" si="22"/>
        <v>13.343680000000001</v>
      </c>
      <c r="I41" s="689">
        <v>0</v>
      </c>
      <c r="K41" s="9">
        <f>+'WP-2 - Labor Analysis'!J40</f>
        <v>594</v>
      </c>
      <c r="L41" s="9">
        <f>+'WP-2 - Labor Analysis'!Y40</f>
        <v>7422.86</v>
      </c>
      <c r="N41" s="34">
        <f t="shared" si="27"/>
        <v>7926.1459200000008</v>
      </c>
      <c r="O41" s="34">
        <v>0</v>
      </c>
      <c r="P41" s="34">
        <f>(H41*1.5)*'WP-2 - Labor Analysis'!F40</f>
        <v>0</v>
      </c>
      <c r="Q41" s="34">
        <v>0</v>
      </c>
      <c r="R41" s="34">
        <v>0</v>
      </c>
      <c r="S41" s="10">
        <v>0</v>
      </c>
      <c r="T41" s="10">
        <f>SUM(N41:S41)</f>
        <v>7926.1459200000008</v>
      </c>
      <c r="U41" s="10">
        <f>T41-L41</f>
        <v>503.28592000000117</v>
      </c>
      <c r="V41" s="10">
        <f t="shared" si="23"/>
        <v>606.35016288000008</v>
      </c>
      <c r="W41" s="10">
        <f t="shared" si="24"/>
        <v>56</v>
      </c>
      <c r="X41" s="10">
        <f t="shared" si="25"/>
        <v>19.815364800000001</v>
      </c>
      <c r="Y41" s="10">
        <f>$Y$7*K41</f>
        <v>1413.8982000000001</v>
      </c>
      <c r="Z41" s="10">
        <v>0</v>
      </c>
      <c r="AA41" s="10">
        <f>+'WP-2, pg 3 - Benefits Analysis'!J41</f>
        <v>0</v>
      </c>
      <c r="AB41" s="10">
        <f>+'WP-2, pg 3 - Benefits Analysis'!G41</f>
        <v>0</v>
      </c>
      <c r="AC41" s="10">
        <f t="shared" si="1"/>
        <v>2096.0637276800003</v>
      </c>
    </row>
    <row r="42" spans="1:31">
      <c r="A42" s="20" t="str">
        <f>+'WP-2 - Labor Analysis'!A41</f>
        <v>Arnold Messex</v>
      </c>
      <c r="B42" s="19" t="s">
        <v>174</v>
      </c>
      <c r="C42" s="19" t="s">
        <v>182</v>
      </c>
      <c r="D42" s="19" t="s">
        <v>181</v>
      </c>
      <c r="E42" s="19" t="s">
        <v>181</v>
      </c>
      <c r="F42" s="19" t="s">
        <v>181</v>
      </c>
      <c r="G42" s="689">
        <v>15.83</v>
      </c>
      <c r="H42" s="689">
        <f t="shared" si="22"/>
        <v>16.39988</v>
      </c>
      <c r="I42" s="689">
        <v>0</v>
      </c>
      <c r="K42" s="9">
        <f>+'WP-2 - Labor Analysis'!J41</f>
        <v>411</v>
      </c>
      <c r="L42" s="9">
        <f>+'WP-2 - Labor Analysis'!Y41</f>
        <v>6338</v>
      </c>
      <c r="N42" s="34">
        <f t="shared" si="27"/>
        <v>6740.3506799999996</v>
      </c>
      <c r="O42" s="34">
        <v>0</v>
      </c>
      <c r="P42" s="34">
        <f>(H42*1.5)*'WP-2 - Labor Analysis'!F41</f>
        <v>934.79316000000006</v>
      </c>
      <c r="Q42" s="34">
        <v>0</v>
      </c>
      <c r="R42" s="34">
        <v>0</v>
      </c>
      <c r="S42" s="10">
        <v>0</v>
      </c>
      <c r="T42" s="10">
        <f>SUM(N42:S42)</f>
        <v>7675.1438399999997</v>
      </c>
      <c r="U42" s="10">
        <f>T42-L42</f>
        <v>1337.1438399999997</v>
      </c>
      <c r="V42" s="10">
        <f t="shared" si="23"/>
        <v>587.14850375999993</v>
      </c>
      <c r="W42" s="10">
        <f t="shared" si="24"/>
        <v>56</v>
      </c>
      <c r="X42" s="10">
        <f t="shared" si="25"/>
        <v>19.187859599999999</v>
      </c>
      <c r="Y42" s="10">
        <f>$Y$7*K42</f>
        <v>978.30330000000004</v>
      </c>
      <c r="Z42" s="10">
        <v>0</v>
      </c>
      <c r="AA42" s="10">
        <f>+'WP-2, pg 3 - Benefits Analysis'!J42</f>
        <v>0</v>
      </c>
      <c r="AB42" s="10">
        <f>+'WP-2, pg 3 - Benefits Analysis'!G42</f>
        <v>0</v>
      </c>
      <c r="AC42" s="10">
        <f t="shared" si="1"/>
        <v>1640.63966336</v>
      </c>
    </row>
    <row r="43" spans="1:31">
      <c r="A43" s="20" t="str">
        <f>+'WP-2 - Labor Analysis'!A42</f>
        <v>Maxwell Tilton</v>
      </c>
      <c r="B43" s="19" t="s">
        <v>174</v>
      </c>
      <c r="C43" s="19" t="s">
        <v>182</v>
      </c>
      <c r="D43" s="19" t="s">
        <v>181</v>
      </c>
      <c r="E43" s="19" t="s">
        <v>181</v>
      </c>
      <c r="F43" s="19" t="s">
        <v>181</v>
      </c>
      <c r="G43" s="689">
        <v>12.55</v>
      </c>
      <c r="H43" s="689">
        <f t="shared" si="22"/>
        <v>13.001800000000001</v>
      </c>
      <c r="I43" s="689">
        <v>0</v>
      </c>
      <c r="K43" s="9">
        <f>+'WP-2 - Labor Analysis'!J42</f>
        <v>381</v>
      </c>
      <c r="L43" s="9">
        <f>+'WP-2 - Labor Analysis'!Y42</f>
        <v>4917</v>
      </c>
      <c r="N43" s="34">
        <f t="shared" si="27"/>
        <v>4953.6858000000002</v>
      </c>
      <c r="O43" s="34">
        <v>0</v>
      </c>
      <c r="P43" s="34">
        <f>(H43*1.5)*'WP-2 - Labor Analysis'!F42</f>
        <v>507.0702</v>
      </c>
      <c r="Q43" s="34">
        <v>0</v>
      </c>
      <c r="R43" s="34">
        <v>0</v>
      </c>
      <c r="S43" s="10">
        <v>0</v>
      </c>
      <c r="T43" s="10">
        <f>SUM(N43:S43)</f>
        <v>5460.7560000000003</v>
      </c>
      <c r="U43" s="10">
        <f>T43-L43</f>
        <v>543.75600000000031</v>
      </c>
      <c r="V43" s="10">
        <f t="shared" si="23"/>
        <v>417.74783400000001</v>
      </c>
      <c r="W43" s="10">
        <f t="shared" si="24"/>
        <v>43.686048000000007</v>
      </c>
      <c r="X43" s="10">
        <f t="shared" si="25"/>
        <v>13.651890000000002</v>
      </c>
      <c r="Y43" s="10">
        <v>0</v>
      </c>
      <c r="Z43" s="10">
        <v>0</v>
      </c>
      <c r="AA43" s="10">
        <v>0</v>
      </c>
      <c r="AB43" s="10">
        <v>0</v>
      </c>
      <c r="AC43" s="10">
        <f t="shared" si="1"/>
        <v>475.08577200000002</v>
      </c>
      <c r="AD43" s="7" t="s">
        <v>1068</v>
      </c>
    </row>
    <row r="44" spans="1:31">
      <c r="A44" s="20" t="s">
        <v>967</v>
      </c>
      <c r="B44" s="19" t="s">
        <v>174</v>
      </c>
      <c r="D44" s="19" t="s">
        <v>181</v>
      </c>
      <c r="E44" s="19" t="s">
        <v>181</v>
      </c>
      <c r="F44" s="19" t="s">
        <v>181</v>
      </c>
      <c r="G44" s="689"/>
      <c r="H44" s="689"/>
      <c r="I44" s="689"/>
      <c r="K44" s="9"/>
      <c r="L44" s="9">
        <f>+'WP-2 - Labor Analysis'!Y43</f>
        <v>-243</v>
      </c>
      <c r="N44" s="34"/>
      <c r="O44" s="34"/>
      <c r="P44" s="34"/>
      <c r="Q44" s="34"/>
      <c r="R44" s="34"/>
      <c r="S44" s="10"/>
      <c r="T44" s="10">
        <v>0</v>
      </c>
      <c r="U44" s="10">
        <f>T44-L44</f>
        <v>243</v>
      </c>
      <c r="V44" s="10">
        <f t="shared" ref="V44" si="28">T44*0.0765</f>
        <v>0</v>
      </c>
      <c r="W44" s="10">
        <f t="shared" ref="W44" si="29">IF(T44&gt;7000,7000*0.008,T44*0.008)</f>
        <v>0</v>
      </c>
      <c r="X44" s="10">
        <f t="shared" ref="X44" si="30">IF(T44&gt;$X$7,$X$7*$X$8,+T44*$X$8)</f>
        <v>0</v>
      </c>
      <c r="Y44" s="10">
        <v>0</v>
      </c>
      <c r="Z44" s="10">
        <v>0</v>
      </c>
      <c r="AA44" s="10">
        <v>0</v>
      </c>
      <c r="AB44" s="10">
        <v>0</v>
      </c>
      <c r="AC44" s="10">
        <f t="shared" ref="AC44" si="31">SUM(V44:AB44)</f>
        <v>0</v>
      </c>
      <c r="AD44" s="7" t="s">
        <v>1068</v>
      </c>
    </row>
    <row r="45" spans="1:31">
      <c r="A45" s="35" t="str">
        <f>+'WP-2 - Labor Analysis'!A44</f>
        <v>OTHER LABOR</v>
      </c>
      <c r="B45" s="30"/>
      <c r="C45" s="30"/>
      <c r="D45" s="30"/>
      <c r="E45" s="30"/>
      <c r="F45" s="30"/>
      <c r="G45" s="690"/>
      <c r="H45" s="690"/>
      <c r="I45" s="690"/>
      <c r="J45" s="30"/>
      <c r="K45" s="680">
        <f>SUM(K36:K44)</f>
        <v>3594</v>
      </c>
      <c r="L45" s="680">
        <f>SUM(L36:L44)</f>
        <v>49830.86</v>
      </c>
      <c r="N45" s="34"/>
      <c r="O45" s="34"/>
      <c r="P45" s="34"/>
      <c r="Q45" s="34"/>
      <c r="R45" s="34"/>
      <c r="S45" s="10"/>
      <c r="T45" s="680">
        <f>SUM(T36:T44)</f>
        <v>72217.788439999989</v>
      </c>
      <c r="U45" s="680">
        <f t="shared" ref="U45:AC45" si="32">SUM(U36:U44)</f>
        <v>22386.928439999996</v>
      </c>
      <c r="V45" s="680">
        <f t="shared" si="32"/>
        <v>5524.6608156599987</v>
      </c>
      <c r="W45" s="680">
        <f t="shared" si="32"/>
        <v>323.68604800000003</v>
      </c>
      <c r="X45" s="680">
        <f t="shared" si="32"/>
        <v>180.54447109999998</v>
      </c>
      <c r="Y45" s="680">
        <f t="shared" si="32"/>
        <v>5336.6326000000008</v>
      </c>
      <c r="Z45" s="680">
        <f t="shared" si="32"/>
        <v>2487.6977972</v>
      </c>
      <c r="AA45" s="680">
        <f t="shared" si="32"/>
        <v>0</v>
      </c>
      <c r="AB45" s="680">
        <f t="shared" si="32"/>
        <v>9732.48</v>
      </c>
      <c r="AC45" s="680">
        <f t="shared" si="32"/>
        <v>23585.701731959998</v>
      </c>
      <c r="AD45" s="21">
        <f>(K45/$K$57)*$Y$56</f>
        <v>-681.33494435330113</v>
      </c>
      <c r="AE45" s="7">
        <f>+(AC45+AD45)*T$8</f>
        <v>22904.366787606697</v>
      </c>
    </row>
    <row r="46" spans="1:31">
      <c r="G46" s="689"/>
      <c r="H46" s="689"/>
      <c r="I46" s="689"/>
      <c r="K46" s="9"/>
      <c r="L46" s="9"/>
      <c r="N46" s="34"/>
      <c r="O46" s="34"/>
      <c r="P46" s="34"/>
      <c r="Q46" s="34"/>
      <c r="R46" s="34"/>
      <c r="S46" s="10"/>
      <c r="T46" s="10"/>
      <c r="U46" s="10"/>
      <c r="V46" s="10"/>
      <c r="W46" s="10"/>
      <c r="X46" s="10"/>
      <c r="Y46" s="10"/>
      <c r="Z46" s="10"/>
      <c r="AA46" s="10"/>
      <c r="AB46" s="10"/>
      <c r="AC46" s="10"/>
    </row>
    <row r="47" spans="1:31">
      <c r="A47" s="20" t="str">
        <f>+'WP-2 - Labor Analysis'!A46</f>
        <v>Larry Lamkin - maint super</v>
      </c>
      <c r="B47" s="19" t="s">
        <v>174</v>
      </c>
      <c r="C47" s="19" t="s">
        <v>182</v>
      </c>
      <c r="D47" s="19" t="s">
        <v>177</v>
      </c>
      <c r="E47" s="19" t="s">
        <v>177</v>
      </c>
      <c r="F47" s="19" t="s">
        <v>177</v>
      </c>
      <c r="G47" s="689">
        <v>38.9</v>
      </c>
      <c r="H47" s="689">
        <f t="shared" ref="H47:H53" si="33">G47*1.036</f>
        <v>40.300399999999996</v>
      </c>
      <c r="I47" s="689">
        <v>0</v>
      </c>
      <c r="K47" s="9">
        <f>+'WP-2 - Labor Analysis'!J46</f>
        <v>2346</v>
      </c>
      <c r="L47" s="9">
        <f>+'WP-2 - Labor Analysis'!Y46</f>
        <v>98209.31</v>
      </c>
      <c r="N47" s="876">
        <f>H47*(K47-'WP-2 - Labor Analysis'!F46)</f>
        <v>85356.247199999998</v>
      </c>
      <c r="O47" s="34">
        <v>0</v>
      </c>
      <c r="P47" s="34">
        <f>(H47*1.5)*'WP-2 - Labor Analysis'!F46</f>
        <v>13782.736799999999</v>
      </c>
      <c r="Q47" s="34">
        <v>0</v>
      </c>
      <c r="R47" s="34">
        <v>0</v>
      </c>
      <c r="S47" s="10">
        <v>2707.09</v>
      </c>
      <c r="T47" s="10">
        <f>SUM(N47:S47)</f>
        <v>101846.07399999999</v>
      </c>
      <c r="U47" s="10">
        <f t="shared" ref="U47:U53" si="34">T47-L47</f>
        <v>3636.7639999999956</v>
      </c>
      <c r="V47" s="10">
        <f t="shared" ref="V47:V53" si="35">T47*0.0765</f>
        <v>7791.2246609999993</v>
      </c>
      <c r="W47" s="10">
        <f t="shared" ref="W47:W53" si="36">IF(T47&gt;7000,7000*0.008,T47*0.008)</f>
        <v>56</v>
      </c>
      <c r="X47" s="10">
        <f t="shared" ref="X47:X53" si="37">IF(T47&gt;$X$7,$X$7*$X$8,+T47*$X$8)</f>
        <v>118.25</v>
      </c>
      <c r="Y47" s="10">
        <f>$Y$7*K47</f>
        <v>5584.1837999999998</v>
      </c>
      <c r="Z47" s="10">
        <f>T47*$Z$9</f>
        <v>7129.2251800000004</v>
      </c>
      <c r="AA47" s="10">
        <f>+'WP-2, pg 3 - Benefits Analysis'!J46</f>
        <v>54.72</v>
      </c>
      <c r="AB47" s="10">
        <f>+'WP-2, pg 3 - Benefits Analysis'!I46</f>
        <v>3835.4400000000005</v>
      </c>
      <c r="AC47" s="10">
        <f>SUM(V47:AB47)</f>
        <v>24569.043641000004</v>
      </c>
    </row>
    <row r="48" spans="1:31">
      <c r="A48" s="20" t="str">
        <f>+'WP-2 - Labor Analysis'!A47</f>
        <v>Glenn Miller</v>
      </c>
      <c r="B48" s="19" t="s">
        <v>174</v>
      </c>
      <c r="C48" s="19" t="s">
        <v>182</v>
      </c>
      <c r="D48" s="19" t="s">
        <v>177</v>
      </c>
      <c r="E48" s="19" t="s">
        <v>177</v>
      </c>
      <c r="F48" s="19" t="s">
        <v>177</v>
      </c>
      <c r="G48" s="689">
        <v>29.1</v>
      </c>
      <c r="H48" s="689">
        <f t="shared" si="33"/>
        <v>30.147600000000004</v>
      </c>
      <c r="I48" s="689">
        <v>0</v>
      </c>
      <c r="K48" s="9">
        <f>+'WP-2 - Labor Analysis'!J47</f>
        <v>1960</v>
      </c>
      <c r="L48" s="9">
        <f>+'WP-2 - Labor Analysis'!Y47</f>
        <v>58787.299999999996</v>
      </c>
      <c r="N48" s="34">
        <f t="shared" ref="N48" si="38">H48*K48</f>
        <v>59089.296000000009</v>
      </c>
      <c r="O48" s="34">
        <v>0</v>
      </c>
      <c r="P48" s="34">
        <f>(H48*1.5)*'WP-2 - Labor Analysis'!F47</f>
        <v>7190.2026000000005</v>
      </c>
      <c r="Q48" s="34">
        <v>0</v>
      </c>
      <c r="R48" s="34">
        <v>0</v>
      </c>
      <c r="S48" s="10">
        <v>0</v>
      </c>
      <c r="T48" s="10">
        <f>SUM(N48:S48)</f>
        <v>66279.498600000006</v>
      </c>
      <c r="U48" s="10">
        <f t="shared" si="34"/>
        <v>7492.1986000000106</v>
      </c>
      <c r="V48" s="10">
        <f t="shared" si="35"/>
        <v>5070.3816429000008</v>
      </c>
      <c r="W48" s="10">
        <f t="shared" si="36"/>
        <v>56</v>
      </c>
      <c r="X48" s="10">
        <f t="shared" si="37"/>
        <v>118.25</v>
      </c>
      <c r="Y48" s="10">
        <f>$Y$7*K48</f>
        <v>4665.3879999999999</v>
      </c>
      <c r="Z48" s="10">
        <f t="shared" ref="Z48:Z53" si="39">T48*$Z$9</f>
        <v>4639.564902000001</v>
      </c>
      <c r="AA48" s="10">
        <f>+'WP-2, pg 3 - Benefits Analysis'!J47</f>
        <v>54.72</v>
      </c>
      <c r="AB48" s="10">
        <f>+'WP-2, pg 3 - Benefits Analysis'!I47</f>
        <v>4267.4400000000005</v>
      </c>
      <c r="AC48" s="10">
        <f>SUM(V48:AB48)</f>
        <v>18871.744544900001</v>
      </c>
    </row>
    <row r="49" spans="1:32">
      <c r="A49" s="20" t="str">
        <f>+'WP-2 - Labor Analysis'!A48</f>
        <v>Todd Hall</v>
      </c>
      <c r="B49" s="19" t="s">
        <v>174</v>
      </c>
      <c r="C49" s="19" t="s">
        <v>182</v>
      </c>
      <c r="D49" s="19" t="s">
        <v>177</v>
      </c>
      <c r="E49" s="19" t="s">
        <v>177</v>
      </c>
      <c r="F49" s="19" t="s">
        <v>177</v>
      </c>
      <c r="G49" s="689">
        <v>22.5</v>
      </c>
      <c r="H49" s="689">
        <f t="shared" si="33"/>
        <v>23.310000000000002</v>
      </c>
      <c r="I49" s="689">
        <v>0</v>
      </c>
      <c r="K49" s="9">
        <f>+'WP-2 - Labor Analysis'!J48</f>
        <v>1260</v>
      </c>
      <c r="L49" s="9">
        <f>+'WP-2 - Labor Analysis'!Y48</f>
        <v>27900</v>
      </c>
      <c r="N49" s="34">
        <f>H49*2080</f>
        <v>48484.800000000003</v>
      </c>
      <c r="O49" s="34">
        <v>0</v>
      </c>
      <c r="P49" s="34">
        <f>(H49*1.5)*'WP-2 - Labor Analysis'!F48</f>
        <v>8041.9500000000007</v>
      </c>
      <c r="Q49" s="34">
        <v>0</v>
      </c>
      <c r="R49" s="34">
        <v>0</v>
      </c>
      <c r="S49" s="10">
        <v>0</v>
      </c>
      <c r="T49" s="10">
        <f>SUM(N49:S49)</f>
        <v>56526.75</v>
      </c>
      <c r="U49" s="10">
        <f t="shared" si="34"/>
        <v>28626.75</v>
      </c>
      <c r="V49" s="10">
        <f t="shared" si="35"/>
        <v>4324.2963749999999</v>
      </c>
      <c r="W49" s="10">
        <f t="shared" si="36"/>
        <v>56</v>
      </c>
      <c r="X49" s="10">
        <f t="shared" si="37"/>
        <v>118.25</v>
      </c>
      <c r="Y49" s="10">
        <f>$Y$7*K49</f>
        <v>2999.1779999999999</v>
      </c>
      <c r="Z49" s="10">
        <f t="shared" si="39"/>
        <v>3956.8725000000004</v>
      </c>
      <c r="AA49" s="10">
        <f>+'WP-2, pg 3 - Benefits Analysis'!J48</f>
        <v>54.72</v>
      </c>
      <c r="AB49" s="10">
        <f>+'WP-2, pg 3 - Benefits Analysis'!I48</f>
        <v>3335.4000000000005</v>
      </c>
      <c r="AC49" s="10">
        <f>SUM(V49:AB49)</f>
        <v>14844.716874999998</v>
      </c>
    </row>
    <row r="50" spans="1:32">
      <c r="A50" s="20" t="str">
        <f>+'WP-2 - Labor Analysis'!A49</f>
        <v>Devon Curtis</v>
      </c>
      <c r="B50" s="19" t="s">
        <v>174</v>
      </c>
      <c r="C50" s="19" t="s">
        <v>182</v>
      </c>
      <c r="D50" s="19" t="s">
        <v>177</v>
      </c>
      <c r="E50" s="19" t="s">
        <v>177</v>
      </c>
      <c r="F50" s="19" t="s">
        <v>177</v>
      </c>
      <c r="G50" s="689">
        <v>16.97</v>
      </c>
      <c r="H50" s="689">
        <f t="shared" si="33"/>
        <v>17.580919999999999</v>
      </c>
      <c r="I50" s="689">
        <v>0</v>
      </c>
      <c r="K50" s="9">
        <f>+'WP-2 - Labor Analysis'!J49</f>
        <v>1907</v>
      </c>
      <c r="L50" s="9">
        <f>+'WP-2 - Labor Analysis'!Y49</f>
        <v>33612.409999999996</v>
      </c>
      <c r="N50" s="34">
        <v>0</v>
      </c>
      <c r="O50" s="34">
        <v>0</v>
      </c>
      <c r="P50" s="34">
        <v>0</v>
      </c>
      <c r="Q50" s="34">
        <v>0</v>
      </c>
      <c r="R50" s="34">
        <v>0</v>
      </c>
      <c r="S50" s="10">
        <v>0</v>
      </c>
      <c r="T50" s="10">
        <v>0</v>
      </c>
      <c r="U50" s="10">
        <f t="shared" si="34"/>
        <v>-33612.409999999996</v>
      </c>
      <c r="V50" s="10">
        <f t="shared" si="35"/>
        <v>0</v>
      </c>
      <c r="W50" s="10">
        <f t="shared" si="36"/>
        <v>0</v>
      </c>
      <c r="X50" s="10">
        <f t="shared" si="37"/>
        <v>0</v>
      </c>
      <c r="Y50" s="10">
        <v>0</v>
      </c>
      <c r="Z50" s="10">
        <f t="shared" si="39"/>
        <v>0</v>
      </c>
      <c r="AA50" s="10">
        <f>+'WP-2, pg 3 - Benefits Analysis'!J49</f>
        <v>54.72</v>
      </c>
      <c r="AB50" s="10">
        <f>+'WP-2, pg 3 - Benefits Analysis'!G49</f>
        <v>0</v>
      </c>
      <c r="AC50" s="10">
        <f>SUM(V50:AB50)</f>
        <v>54.72</v>
      </c>
      <c r="AD50" s="7" t="s">
        <v>1134</v>
      </c>
    </row>
    <row r="51" spans="1:32">
      <c r="A51" s="20" t="str">
        <f>+'WP-2 - Labor Analysis'!A50</f>
        <v>Ryan Larsen</v>
      </c>
      <c r="B51" s="19" t="s">
        <v>174</v>
      </c>
      <c r="C51" s="19" t="s">
        <v>182</v>
      </c>
      <c r="D51" s="19" t="s">
        <v>177</v>
      </c>
      <c r="E51" s="19" t="s">
        <v>177</v>
      </c>
      <c r="F51" s="19" t="s">
        <v>177</v>
      </c>
      <c r="G51" s="689">
        <v>18.899999999999999</v>
      </c>
      <c r="H51" s="689">
        <f t="shared" si="33"/>
        <v>19.580399999999997</v>
      </c>
      <c r="I51" s="689">
        <v>0</v>
      </c>
      <c r="K51" s="9">
        <f>+'WP-2 - Labor Analysis'!J50</f>
        <v>2870</v>
      </c>
      <c r="L51" s="9">
        <f>+'WP-2 - Labor Analysis'!Y50</f>
        <v>61121.130000000005</v>
      </c>
      <c r="N51" s="876">
        <f>H51*(K51-'WP-2 - Labor Analysis'!F50)</f>
        <v>42332.824799999995</v>
      </c>
      <c r="O51" s="34">
        <v>0</v>
      </c>
      <c r="P51" s="34">
        <f>(H51*1.5)*'WP-2 - Labor Analysis'!F50</f>
        <v>20794.384799999996</v>
      </c>
      <c r="Q51" s="34">
        <v>0</v>
      </c>
      <c r="R51" s="34">
        <v>0</v>
      </c>
      <c r="S51" s="10">
        <v>0</v>
      </c>
      <c r="T51" s="10">
        <f>SUM(N51:S51)</f>
        <v>63127.209599999987</v>
      </c>
      <c r="U51" s="10">
        <f t="shared" si="34"/>
        <v>2006.0795999999827</v>
      </c>
      <c r="V51" s="10">
        <f t="shared" si="35"/>
        <v>4829.231534399999</v>
      </c>
      <c r="W51" s="10">
        <f t="shared" si="36"/>
        <v>56</v>
      </c>
      <c r="X51" s="10">
        <f t="shared" si="37"/>
        <v>118.25</v>
      </c>
      <c r="Y51" s="10">
        <f>$Y$7*K51</f>
        <v>6831.4610000000002</v>
      </c>
      <c r="Z51" s="10">
        <f t="shared" si="39"/>
        <v>4418.9046719999997</v>
      </c>
      <c r="AA51" s="10">
        <f>+'WP-2, pg 3 - Benefits Analysis'!J50</f>
        <v>54.72</v>
      </c>
      <c r="AB51" s="10">
        <f>+'WP-2, pg 3 - Benefits Analysis'!I50</f>
        <v>4385.0399999999991</v>
      </c>
      <c r="AC51" s="10">
        <f>SUM(V51:AB51)</f>
        <v>20693.607206399996</v>
      </c>
    </row>
    <row r="52" spans="1:32">
      <c r="A52" s="20" t="str">
        <f>+'WP-2 - Labor Analysis'!A51</f>
        <v>Nathan Richardson</v>
      </c>
      <c r="B52" s="19" t="s">
        <v>174</v>
      </c>
      <c r="C52" s="19" t="s">
        <v>182</v>
      </c>
      <c r="D52" s="19" t="s">
        <v>177</v>
      </c>
      <c r="E52" s="19" t="s">
        <v>177</v>
      </c>
      <c r="F52" s="19" t="s">
        <v>177</v>
      </c>
      <c r="G52" s="689">
        <v>17.829999999999998</v>
      </c>
      <c r="H52" s="689">
        <f t="shared" si="33"/>
        <v>18.471879999999999</v>
      </c>
      <c r="I52" s="689">
        <v>0</v>
      </c>
      <c r="K52" s="9">
        <f>+'WP-2 - Labor Analysis'!J51</f>
        <v>2141</v>
      </c>
      <c r="L52" s="9">
        <f>+'WP-2 - Labor Analysis'!Y51</f>
        <v>38414.68</v>
      </c>
      <c r="N52" s="876">
        <f>H52*(K52-'WP-2 - Labor Analysis'!F51)</f>
        <v>37017.647519999999</v>
      </c>
      <c r="O52" s="34">
        <v>0</v>
      </c>
      <c r="P52" s="34">
        <f>(H52*1.5)*'WP-2 - Labor Analysis'!F51</f>
        <v>3795.9713399999996</v>
      </c>
      <c r="Q52" s="34">
        <v>0</v>
      </c>
      <c r="R52" s="34">
        <v>0</v>
      </c>
      <c r="S52" s="10">
        <v>0</v>
      </c>
      <c r="T52" s="10">
        <f>SUM(N52:S52)</f>
        <v>40813.618859999995</v>
      </c>
      <c r="U52" s="10">
        <f t="shared" si="34"/>
        <v>2398.9388599999947</v>
      </c>
      <c r="V52" s="10">
        <f t="shared" si="35"/>
        <v>3122.2418427899997</v>
      </c>
      <c r="W52" s="10">
        <f t="shared" si="36"/>
        <v>56</v>
      </c>
      <c r="X52" s="10">
        <f t="shared" si="37"/>
        <v>102.03404714999999</v>
      </c>
      <c r="Y52" s="10">
        <f>$Y$7*K52</f>
        <v>5096.2223000000004</v>
      </c>
      <c r="Z52" s="10">
        <f t="shared" si="39"/>
        <v>2856.9533201999998</v>
      </c>
      <c r="AA52" s="10">
        <f>+'WP-2, pg 3 - Benefits Analysis'!J51</f>
        <v>54.72</v>
      </c>
      <c r="AB52" s="10">
        <f>+'WP-2, pg 3 - Benefits Analysis'!I51</f>
        <v>7314.72</v>
      </c>
      <c r="AC52" s="10">
        <f t="shared" si="1"/>
        <v>18602.891510140002</v>
      </c>
    </row>
    <row r="53" spans="1:32">
      <c r="A53" s="20" t="str">
        <f>+'WP-2 - Labor Analysis'!A52</f>
        <v>Travis Smith</v>
      </c>
      <c r="B53" s="19" t="s">
        <v>174</v>
      </c>
      <c r="C53" s="19" t="s">
        <v>182</v>
      </c>
      <c r="D53" s="19" t="s">
        <v>177</v>
      </c>
      <c r="E53" s="19" t="s">
        <v>177</v>
      </c>
      <c r="F53" s="19" t="s">
        <v>177</v>
      </c>
      <c r="G53" s="689">
        <v>18.059999999999999</v>
      </c>
      <c r="H53" s="689">
        <f t="shared" si="33"/>
        <v>18.710159999999998</v>
      </c>
      <c r="I53" s="689">
        <v>0</v>
      </c>
      <c r="K53" s="9">
        <f>+'WP-2 - Labor Analysis'!J52</f>
        <v>2102</v>
      </c>
      <c r="L53" s="9">
        <f>+'WP-2 - Labor Analysis'!Y52</f>
        <v>39442.14</v>
      </c>
      <c r="N53" s="876">
        <f>H53*(K53-'WP-2 - Labor Analysis'!F52)</f>
        <v>38411.958479999994</v>
      </c>
      <c r="O53" s="34">
        <v>0</v>
      </c>
      <c r="P53" s="34">
        <f>(H53*1.5)*'WP-2 - Labor Analysis'!F52</f>
        <v>1375.1967599999998</v>
      </c>
      <c r="Q53" s="34">
        <v>0</v>
      </c>
      <c r="R53" s="34">
        <v>0</v>
      </c>
      <c r="S53" s="10">
        <v>708</v>
      </c>
      <c r="T53" s="11">
        <f>SUM(N53:S53)</f>
        <v>40495.155239999993</v>
      </c>
      <c r="U53" s="11">
        <f t="shared" si="34"/>
        <v>1053.0152399999934</v>
      </c>
      <c r="V53" s="10">
        <f t="shared" si="35"/>
        <v>3097.8793758599995</v>
      </c>
      <c r="W53" s="10">
        <f t="shared" si="36"/>
        <v>56</v>
      </c>
      <c r="X53" s="10">
        <f t="shared" si="37"/>
        <v>101.23788809999998</v>
      </c>
      <c r="Y53" s="10">
        <f>$Y$7*K53</f>
        <v>5003.3905999999997</v>
      </c>
      <c r="Z53" s="10">
        <f t="shared" si="39"/>
        <v>2834.6608667999999</v>
      </c>
      <c r="AA53" s="10">
        <f>+'WP-2, pg 3 - Benefits Analysis'!J52</f>
        <v>54.72</v>
      </c>
      <c r="AB53" s="10">
        <f>+'WP-2, pg 3 - Benefits Analysis'!I52</f>
        <v>4385.0399999999991</v>
      </c>
      <c r="AC53" s="10">
        <f t="shared" si="1"/>
        <v>15532.928730759999</v>
      </c>
    </row>
    <row r="54" spans="1:32" ht="16.5" thickBot="1">
      <c r="A54" s="35" t="str">
        <f>+'WP-2 - Labor Analysis'!A53</f>
        <v>MECHANICS</v>
      </c>
      <c r="B54" s="30"/>
      <c r="C54" s="30"/>
      <c r="D54" s="30"/>
      <c r="E54" s="30"/>
      <c r="F54" s="30"/>
      <c r="G54" s="690"/>
      <c r="H54" s="30"/>
      <c r="I54" s="30"/>
      <c r="J54" s="30"/>
      <c r="K54" s="680">
        <f>SUM(K47:K53)</f>
        <v>14586</v>
      </c>
      <c r="L54" s="680">
        <f>SUM(L47:L53)</f>
        <v>357486.97000000003</v>
      </c>
      <c r="N54" s="34"/>
      <c r="O54" s="34"/>
      <c r="P54" s="34"/>
      <c r="Q54" s="34"/>
      <c r="R54" s="34"/>
      <c r="S54" s="10"/>
      <c r="T54" s="680">
        <f>SUM(T47:T53)</f>
        <v>369088.3063</v>
      </c>
      <c r="U54" s="680">
        <f t="shared" ref="U54:AC54" si="40">SUM(U47:U53)</f>
        <v>11601.336299999981</v>
      </c>
      <c r="V54" s="680">
        <f t="shared" si="40"/>
        <v>28235.255431949998</v>
      </c>
      <c r="W54" s="680">
        <f t="shared" si="40"/>
        <v>336</v>
      </c>
      <c r="X54" s="680">
        <f t="shared" si="40"/>
        <v>676.27193524999996</v>
      </c>
      <c r="Y54" s="680">
        <f t="shared" si="40"/>
        <v>30179.823700000001</v>
      </c>
      <c r="Z54" s="680">
        <f t="shared" si="40"/>
        <v>25836.181441000001</v>
      </c>
      <c r="AA54" s="680">
        <f t="shared" si="40"/>
        <v>383.04000000000008</v>
      </c>
      <c r="AB54" s="680">
        <f t="shared" si="40"/>
        <v>27523.08</v>
      </c>
      <c r="AC54" s="680">
        <f t="shared" si="40"/>
        <v>113169.6525082</v>
      </c>
      <c r="AD54" s="21">
        <f>(K54/$K$57)*$Y$56</f>
        <v>-2765.1506673169865</v>
      </c>
      <c r="AE54" s="7">
        <f>+(AC54+AD54)*T$8</f>
        <v>110404.50184088301</v>
      </c>
    </row>
    <row r="55" spans="1:32">
      <c r="A55" s="35" t="s">
        <v>516</v>
      </c>
      <c r="B55" s="30"/>
      <c r="C55" s="30"/>
      <c r="D55" s="30"/>
      <c r="E55" s="30"/>
      <c r="F55" s="30"/>
      <c r="G55" s="763"/>
      <c r="H55" s="30"/>
      <c r="I55" s="30"/>
      <c r="J55" s="30"/>
      <c r="K55" s="21"/>
      <c r="L55" s="21"/>
      <c r="N55" s="34">
        <f t="shared" ref="N55:S55" si="41">SUM(N11:N53)</f>
        <v>957406.90715999994</v>
      </c>
      <c r="O55" s="34">
        <f t="shared" si="41"/>
        <v>0</v>
      </c>
      <c r="P55" s="34">
        <f t="shared" si="41"/>
        <v>153711.94595999998</v>
      </c>
      <c r="Q55" s="34">
        <f t="shared" si="41"/>
        <v>0</v>
      </c>
      <c r="R55" s="34">
        <f t="shared" si="41"/>
        <v>9731.08</v>
      </c>
      <c r="S55" s="7">
        <f t="shared" si="41"/>
        <v>18862.650000000001</v>
      </c>
      <c r="T55" s="10"/>
      <c r="U55" s="10"/>
      <c r="V55" s="10"/>
      <c r="W55" s="10"/>
      <c r="X55" s="10"/>
      <c r="Y55" s="10"/>
      <c r="Z55" s="21"/>
      <c r="AA55" s="21"/>
      <c r="AB55" s="21"/>
      <c r="AC55" s="21"/>
      <c r="AF55" s="214" t="s">
        <v>198</v>
      </c>
    </row>
    <row r="56" spans="1:32">
      <c r="A56" s="5"/>
      <c r="G56" s="689"/>
      <c r="K56" s="9"/>
      <c r="L56" s="9"/>
      <c r="N56" s="34"/>
      <c r="O56" s="34"/>
      <c r="P56" s="34"/>
      <c r="Q56" s="691"/>
      <c r="R56" s="693"/>
      <c r="S56" s="764"/>
      <c r="T56" s="10"/>
      <c r="U56" s="10"/>
      <c r="V56" s="10"/>
      <c r="W56" s="10"/>
      <c r="X56" s="10"/>
      <c r="Y56" s="10">
        <f>+'IS-PBC'!O74</f>
        <v>-8551</v>
      </c>
      <c r="Z56" s="10"/>
      <c r="AA56" s="10"/>
      <c r="AB56" s="10"/>
      <c r="AC56" s="10">
        <f>+Y56</f>
        <v>-8551</v>
      </c>
      <c r="AF56" s="215" t="s">
        <v>658</v>
      </c>
    </row>
    <row r="57" spans="1:32" ht="16.5" thickBot="1">
      <c r="A57" s="941" t="s">
        <v>974</v>
      </c>
      <c r="G57" s="689"/>
      <c r="K57" s="12">
        <f>K54+K34+K30+K18+K13+K45</f>
        <v>45106</v>
      </c>
      <c r="L57" s="12">
        <f>L54+L34+L30+L18+L13+L45</f>
        <v>1306540.9100000001</v>
      </c>
      <c r="N57" s="34"/>
      <c r="O57" s="34"/>
      <c r="P57" s="34"/>
      <c r="Q57" s="692"/>
      <c r="R57" s="34"/>
      <c r="S57" s="10"/>
      <c r="T57" s="12">
        <f>T54+T34+T30+T18+T13+T45</f>
        <v>1343712.5831200001</v>
      </c>
      <c r="U57" s="12">
        <f t="shared" ref="U57:AC57" si="42">U54+U34+U30+U18+U13+U45</f>
        <v>37171.673119999985</v>
      </c>
      <c r="V57" s="12">
        <f t="shared" si="42"/>
        <v>87188.012608679986</v>
      </c>
      <c r="W57" s="12">
        <f t="shared" si="42"/>
        <v>1331.686048</v>
      </c>
      <c r="X57" s="688">
        <f>X54+X34+X30+X18+X13+X45</f>
        <v>2180.3615061</v>
      </c>
      <c r="Y57" s="12">
        <f>Y54+Y34+Y30+Y18+Y13+Y45</f>
        <v>84876.477299999999</v>
      </c>
      <c r="Z57" s="12">
        <f t="shared" si="42"/>
        <v>74988.457119800005</v>
      </c>
      <c r="AA57" s="12">
        <f>AA54+AA34+AA30+AA18+AA13+AA45</f>
        <v>1039.6800000000003</v>
      </c>
      <c r="AB57" s="12">
        <f t="shared" si="42"/>
        <v>115849.80000000002</v>
      </c>
      <c r="AC57" s="12">
        <f t="shared" si="42"/>
        <v>367454.47458258003</v>
      </c>
      <c r="AD57" s="12"/>
      <c r="AE57" s="7">
        <f>+(AC57+AD57)*T$8</f>
        <v>367454.47458258003</v>
      </c>
      <c r="AF57" s="216">
        <f>+AC57/T58</f>
        <v>0.32240977245040281</v>
      </c>
    </row>
    <row r="58" spans="1:32" ht="17.25" thickTop="1" thickBot="1">
      <c r="A58" s="7" t="s">
        <v>968</v>
      </c>
      <c r="G58" s="689"/>
      <c r="K58" s="6"/>
      <c r="L58" s="6">
        <f>+L57-L12</f>
        <v>1102540.9100000001</v>
      </c>
      <c r="N58" s="34"/>
      <c r="O58" s="34"/>
      <c r="P58" s="34"/>
      <c r="Q58" s="691"/>
      <c r="R58" s="765">
        <f>+U58/L58</f>
        <v>3.3714552251852478E-2</v>
      </c>
      <c r="S58" s="10" t="s">
        <v>443</v>
      </c>
      <c r="T58" s="10">
        <f>+T57-T12</f>
        <v>1139712.5831200001</v>
      </c>
      <c r="U58" s="10">
        <f>+U57-U12</f>
        <v>37171.673119999985</v>
      </c>
      <c r="V58" s="766">
        <f>+U58/L58</f>
        <v>3.3714552251852478E-2</v>
      </c>
      <c r="W58" s="10"/>
      <c r="X58" s="995">
        <f>SUM(V57:X57)</f>
        <v>90700.060162779992</v>
      </c>
      <c r="Y58" s="10"/>
      <c r="Z58" s="10"/>
      <c r="AA58" s="10"/>
      <c r="AB58" s="10"/>
      <c r="AC58" s="10"/>
      <c r="AF58" s="217" t="s">
        <v>659</v>
      </c>
    </row>
    <row r="59" spans="1:32" ht="16.5" thickTop="1">
      <c r="A59" s="7" t="s">
        <v>1126</v>
      </c>
      <c r="G59" s="689"/>
      <c r="I59" s="121"/>
      <c r="L59" s="7">
        <f>+L12</f>
        <v>204000</v>
      </c>
      <c r="M59" s="7" t="s">
        <v>992</v>
      </c>
      <c r="N59" s="34"/>
      <c r="O59" s="34"/>
      <c r="P59" s="34"/>
      <c r="Q59" s="34"/>
      <c r="R59" s="765">
        <f>+U59/L59</f>
        <v>0</v>
      </c>
      <c r="S59" s="10" t="s">
        <v>657</v>
      </c>
      <c r="T59" s="10">
        <f>+T12</f>
        <v>204000</v>
      </c>
      <c r="U59" s="10">
        <f>+U12</f>
        <v>0</v>
      </c>
      <c r="V59" s="766">
        <f>+U59/L59</f>
        <v>0</v>
      </c>
      <c r="W59" s="10"/>
      <c r="X59" s="10">
        <f>+Operations!C75</f>
        <v>83067.47</v>
      </c>
      <c r="Y59" s="10">
        <f>+Operations!C74</f>
        <v>71859.45</v>
      </c>
      <c r="Z59" s="10">
        <f>+Operations!C82</f>
        <v>66634.06</v>
      </c>
      <c r="AA59" s="7">
        <f>+Operations!C77</f>
        <v>1009.8000000000002</v>
      </c>
      <c r="AB59" s="7">
        <f>+'WP-2, pg 3 - Benefits Analysis'!G59</f>
        <v>111898.97999999998</v>
      </c>
      <c r="AC59" s="7">
        <f>SUM(X59:AB59)</f>
        <v>334469.75999999995</v>
      </c>
      <c r="AE59" s="7">
        <f>+AE57-AC59</f>
        <v>32984.714582580084</v>
      </c>
    </row>
    <row r="60" spans="1:32" ht="16.5" thickBot="1">
      <c r="A60" s="7" t="s">
        <v>1127</v>
      </c>
      <c r="I60" s="121"/>
      <c r="L60" s="699">
        <f>SUM(L58:L59)</f>
        <v>1306540.9100000001</v>
      </c>
      <c r="S60" s="764"/>
      <c r="T60" s="767">
        <f>SUM(T58:T59)</f>
        <v>1343712.5831200001</v>
      </c>
      <c r="U60" s="767">
        <f>SUM(U58:U59)</f>
        <v>37171.673119999985</v>
      </c>
      <c r="V60" s="766">
        <f>+U60/L60</f>
        <v>2.8450447158214112E-2</v>
      </c>
      <c r="W60" s="21"/>
      <c r="X60" s="21"/>
      <c r="Y60" s="21"/>
      <c r="Z60" s="10"/>
      <c r="AE60" s="766">
        <f>+AE59/AC59</f>
        <v>9.8617927619465778E-2</v>
      </c>
    </row>
    <row r="61" spans="1:32" ht="16.5" thickTop="1">
      <c r="Q61" s="127"/>
      <c r="R61" s="127"/>
      <c r="T61" s="10">
        <f>+T57+AC57</f>
        <v>1711167.05770258</v>
      </c>
      <c r="U61" s="10"/>
      <c r="V61" s="10"/>
      <c r="W61" s="10"/>
      <c r="X61" s="680">
        <f>V57+W57+X57-X59</f>
        <v>7632.5901627799904</v>
      </c>
      <c r="Y61" s="680">
        <f>Y57-Y59-Y60</f>
        <v>13017.027300000002</v>
      </c>
      <c r="Z61" s="680">
        <f>Z57-Z59</f>
        <v>8354.3971198000072</v>
      </c>
      <c r="AA61" s="680">
        <f>AA57-AA59</f>
        <v>29.880000000000109</v>
      </c>
      <c r="AB61" s="680">
        <f>AB57-AB59</f>
        <v>3950.8200000000361</v>
      </c>
      <c r="AC61" s="997">
        <f>SUM(X61:AB61)</f>
        <v>32984.71458258004</v>
      </c>
      <c r="AD61" s="768"/>
    </row>
    <row r="62" spans="1:32" s="19" customFormat="1">
      <c r="L62" s="122"/>
      <c r="Q62" s="127"/>
      <c r="R62" s="127"/>
      <c r="U62" s="765"/>
      <c r="X62" s="19" t="s">
        <v>190</v>
      </c>
      <c r="Y62" s="19" t="s">
        <v>190</v>
      </c>
      <c r="Z62" s="19" t="s">
        <v>190</v>
      </c>
      <c r="AA62" s="19" t="s">
        <v>190</v>
      </c>
      <c r="AB62" s="19" t="s">
        <v>190</v>
      </c>
      <c r="AC62" s="998">
        <f>+U60</f>
        <v>37171.673119999985</v>
      </c>
    </row>
    <row r="63" spans="1:32" ht="17.25" customHeight="1" thickBot="1">
      <c r="A63" s="1324"/>
      <c r="B63" s="1324"/>
      <c r="C63" s="1324"/>
      <c r="D63" s="1324"/>
      <c r="E63" s="1324"/>
      <c r="F63" s="1324"/>
      <c r="G63" s="1324"/>
      <c r="H63" s="1324"/>
      <c r="I63" s="1324"/>
      <c r="Q63" s="127"/>
      <c r="R63" s="127"/>
      <c r="T63" s="19"/>
      <c r="AC63" s="999">
        <f>+AC61+AC62</f>
        <v>70156.387702580018</v>
      </c>
      <c r="AD63" s="1000"/>
    </row>
    <row r="64" spans="1:32" ht="16.5" thickTop="1">
      <c r="C64" s="221"/>
      <c r="D64" s="222"/>
      <c r="F64" s="541"/>
      <c r="G64" s="121"/>
      <c r="U64" s="996"/>
      <c r="AC64" s="19" t="s">
        <v>0</v>
      </c>
    </row>
    <row r="65" spans="3:29">
      <c r="C65" s="220"/>
      <c r="D65" s="220"/>
      <c r="E65" s="220"/>
      <c r="F65" s="541"/>
      <c r="G65" s="121"/>
      <c r="AC65" s="19" t="s">
        <v>1129</v>
      </c>
    </row>
    <row r="66" spans="3:29">
      <c r="S66" s="7" t="s">
        <v>1265</v>
      </c>
      <c r="T66" s="7">
        <f>+T57+AC57-T59</f>
        <v>1507167.05770258</v>
      </c>
      <c r="AC66" s="19" t="s">
        <v>1128</v>
      </c>
    </row>
    <row r="68" spans="3:29">
      <c r="AC68" s="703"/>
    </row>
  </sheetData>
  <mergeCells count="10">
    <mergeCell ref="A63:I63"/>
    <mergeCell ref="A1:P1"/>
    <mergeCell ref="A3:P3"/>
    <mergeCell ref="A5:P5"/>
    <mergeCell ref="Q1:AD1"/>
    <mergeCell ref="K9:L9"/>
    <mergeCell ref="Q3:AD3"/>
    <mergeCell ref="Q5:AD5"/>
    <mergeCell ref="K8:L8"/>
    <mergeCell ref="C6:G6"/>
  </mergeCells>
  <pageMargins left="0.5" right="0.5" top="0.75" bottom="0.5" header="0" footer="0.25"/>
  <pageSetup scale="46" fitToWidth="2" orientation="landscape" horizontalDpi="300" verticalDpi="300" r:id="rId1"/>
  <headerFooter alignWithMargins="0"/>
  <colBreaks count="1" manualBreakCount="1">
    <brk id="19" max="65" man="1"/>
  </col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25">
    <pageSetUpPr fitToPage="1"/>
  </sheetPr>
  <dimension ref="A1:AC62"/>
  <sheetViews>
    <sheetView zoomScaleNormal="100" zoomScaleSheetLayoutView="40" workbookViewId="0">
      <selection sqref="A1:K1"/>
    </sheetView>
  </sheetViews>
  <sheetFormatPr defaultColWidth="9.77734375" defaultRowHeight="15.75"/>
  <cols>
    <col min="1" max="1" width="30.33203125" style="7" customWidth="1"/>
    <col min="2" max="2" width="9.109375" style="19" bestFit="1" customWidth="1"/>
    <col min="3" max="3" width="8.109375" style="19" bestFit="1" customWidth="1"/>
    <col min="4" max="9" width="9.77734375" style="7"/>
    <col min="10" max="10" width="10.109375" style="7" customWidth="1"/>
    <col min="11" max="12" width="2.6640625" style="7" customWidth="1"/>
    <col min="13" max="13" width="9.77734375" style="7"/>
    <col min="14" max="15" width="9.77734375" style="684"/>
    <col min="16" max="16384" width="9.77734375" style="7"/>
  </cols>
  <sheetData>
    <row r="1" spans="1:18" ht="16.5">
      <c r="A1" s="1326" t="s">
        <v>9</v>
      </c>
      <c r="B1" s="1326"/>
      <c r="C1" s="1326"/>
      <c r="D1" s="1326"/>
      <c r="E1" s="1326"/>
      <c r="F1" s="1326"/>
      <c r="G1" s="1326"/>
      <c r="H1" s="1326"/>
      <c r="I1" s="1326"/>
      <c r="J1" s="1326"/>
      <c r="K1" s="1326"/>
    </row>
    <row r="2" spans="1:18" ht="13.5" customHeight="1">
      <c r="A2" s="118"/>
    </row>
    <row r="3" spans="1:18" ht="16.5">
      <c r="A3" s="1326" t="s">
        <v>1002</v>
      </c>
      <c r="B3" s="1326"/>
      <c r="C3" s="1326"/>
      <c r="D3" s="1326"/>
      <c r="E3" s="1326"/>
      <c r="F3" s="1326"/>
      <c r="G3" s="1326"/>
      <c r="H3" s="1326"/>
      <c r="I3" s="1326"/>
      <c r="J3" s="1326"/>
      <c r="K3" s="1326"/>
    </row>
    <row r="4" spans="1:18">
      <c r="A4" s="956"/>
      <c r="B4" s="956"/>
      <c r="C4" s="956"/>
      <c r="D4" s="956"/>
      <c r="E4" s="956"/>
      <c r="F4" s="956"/>
      <c r="G4" s="956"/>
      <c r="H4" s="1001"/>
      <c r="I4" s="1001"/>
      <c r="J4" s="956"/>
      <c r="K4" s="956"/>
    </row>
    <row r="5" spans="1:18">
      <c r="A5" s="1319" t="s">
        <v>1379</v>
      </c>
      <c r="B5" s="1319"/>
      <c r="C5" s="1319"/>
      <c r="D5" s="1319"/>
      <c r="E5" s="1319"/>
      <c r="F5" s="1319"/>
      <c r="G5" s="1319"/>
      <c r="H5" s="1319"/>
      <c r="I5" s="1319"/>
      <c r="J5" s="1319"/>
      <c r="K5" s="1319"/>
    </row>
    <row r="6" spans="1:18">
      <c r="A6" s="120"/>
      <c r="B6" s="32"/>
      <c r="C6" s="32"/>
      <c r="D6" s="698"/>
      <c r="E6" s="698"/>
      <c r="F6" s="698"/>
    </row>
    <row r="7" spans="1:18">
      <c r="A7" s="120"/>
      <c r="B7" s="32"/>
      <c r="C7" s="32"/>
      <c r="D7" s="1331" t="s">
        <v>464</v>
      </c>
      <c r="E7" s="1331"/>
      <c r="F7" s="1331"/>
      <c r="G7" s="1331" t="s">
        <v>1188</v>
      </c>
      <c r="H7" s="1331"/>
      <c r="I7" s="1331"/>
      <c r="M7" s="703"/>
    </row>
    <row r="8" spans="1:18">
      <c r="D8" s="1328" t="s">
        <v>965</v>
      </c>
      <c r="E8" s="1328"/>
      <c r="F8" s="1328"/>
      <c r="G8" s="1329" t="s">
        <v>1187</v>
      </c>
      <c r="H8" s="1330"/>
      <c r="I8" s="1330"/>
      <c r="J8" s="696" t="s">
        <v>965</v>
      </c>
      <c r="M8" s="703"/>
    </row>
    <row r="9" spans="1:18">
      <c r="A9" s="218"/>
      <c r="B9" s="955" t="s">
        <v>93</v>
      </c>
      <c r="C9" s="955" t="s">
        <v>179</v>
      </c>
      <c r="D9" s="1328">
        <v>43190</v>
      </c>
      <c r="E9" s="1328"/>
      <c r="F9" s="1328"/>
      <c r="G9" s="1329">
        <v>43646</v>
      </c>
      <c r="H9" s="1330"/>
      <c r="I9" s="1330"/>
      <c r="J9" s="696">
        <v>43190</v>
      </c>
      <c r="N9" s="786"/>
      <c r="O9" s="787"/>
    </row>
    <row r="10" spans="1:18">
      <c r="A10" s="955" t="s">
        <v>1</v>
      </c>
      <c r="B10" s="284" t="s">
        <v>171</v>
      </c>
      <c r="C10" s="284" t="s">
        <v>180</v>
      </c>
      <c r="D10" s="284" t="s">
        <v>92</v>
      </c>
      <c r="E10" s="284" t="s">
        <v>1170</v>
      </c>
      <c r="F10" s="284" t="s">
        <v>12</v>
      </c>
      <c r="G10" s="1028" t="s">
        <v>92</v>
      </c>
      <c r="H10" s="284" t="s">
        <v>1170</v>
      </c>
      <c r="I10" s="284" t="s">
        <v>12</v>
      </c>
      <c r="J10" s="284" t="s">
        <v>93</v>
      </c>
      <c r="M10" s="10"/>
      <c r="N10" s="786"/>
      <c r="O10" s="787"/>
      <c r="P10" s="10"/>
      <c r="Q10" s="10"/>
      <c r="R10" s="10"/>
    </row>
    <row r="11" spans="1:18">
      <c r="A11" s="219" t="str">
        <f>'WP-2 - Labor Analysis'!A11</f>
        <v>Richard Ensign - db mg (all cos)</v>
      </c>
      <c r="B11" s="127" t="str">
        <f>+'[16]WP-2, pg 2 - Labor Increase'!E11</f>
        <v>Y</v>
      </c>
      <c r="C11" s="127" t="str">
        <f>+'[16]WP-2, pg 2 - Labor Increase'!F11</f>
        <v>Y</v>
      </c>
      <c r="D11" s="10">
        <v>10358.09</v>
      </c>
      <c r="E11" s="10">
        <f>-(113.74+113.74)-((127.15+127.15)*11)</f>
        <v>-3024.78</v>
      </c>
      <c r="F11" s="10">
        <f>+D11+E11</f>
        <v>7333.3099999999995</v>
      </c>
      <c r="G11" s="1029">
        <f>(817.58*12)+(90.71*12)</f>
        <v>10899.480000000001</v>
      </c>
      <c r="H11" s="676">
        <f>-((142.71*2)*12)</f>
        <v>-3425.04</v>
      </c>
      <c r="I11" s="676">
        <f>G11+H11</f>
        <v>7474.4400000000014</v>
      </c>
      <c r="J11" s="10">
        <f>4.56*12</f>
        <v>54.72</v>
      </c>
      <c r="K11" s="10"/>
      <c r="L11" s="10"/>
      <c r="M11" s="10"/>
      <c r="N11" s="788"/>
      <c r="O11" s="788"/>
      <c r="P11" s="10"/>
      <c r="Q11" s="10"/>
      <c r="R11" s="10"/>
    </row>
    <row r="12" spans="1:18">
      <c r="A12" s="219" t="str">
        <f>'WP-2 - Labor Analysis'!A12</f>
        <v>Management Fees</v>
      </c>
      <c r="B12" s="127"/>
      <c r="C12" s="127"/>
      <c r="D12" s="10"/>
      <c r="E12" s="10"/>
      <c r="F12" s="10"/>
      <c r="G12" s="1029"/>
      <c r="H12" s="676"/>
      <c r="I12" s="676"/>
      <c r="J12" s="10"/>
      <c r="K12" s="10"/>
      <c r="L12" s="10"/>
      <c r="M12" s="10"/>
      <c r="N12" s="788"/>
      <c r="O12" s="788" t="s">
        <v>5</v>
      </c>
      <c r="P12" s="10"/>
      <c r="Q12" s="10"/>
      <c r="R12" s="10"/>
    </row>
    <row r="13" spans="1:18">
      <c r="A13" s="35" t="str">
        <f>'WP-2 - Labor Analysis'!A13</f>
        <v>MANAGEMENT</v>
      </c>
      <c r="B13" s="954"/>
      <c r="C13" s="954"/>
      <c r="D13" s="680">
        <f t="shared" ref="D13:J13" si="0">SUM(D11:D12)</f>
        <v>10358.09</v>
      </c>
      <c r="E13" s="680">
        <f t="shared" si="0"/>
        <v>-3024.78</v>
      </c>
      <c r="F13" s="680">
        <f t="shared" si="0"/>
        <v>7333.3099999999995</v>
      </c>
      <c r="G13" s="1030">
        <f t="shared" si="0"/>
        <v>10899.480000000001</v>
      </c>
      <c r="H13" s="1027">
        <f t="shared" si="0"/>
        <v>-3425.04</v>
      </c>
      <c r="I13" s="1027">
        <f t="shared" si="0"/>
        <v>7474.4400000000014</v>
      </c>
      <c r="J13" s="680">
        <f t="shared" si="0"/>
        <v>54.72</v>
      </c>
      <c r="K13" s="10"/>
      <c r="L13" s="10"/>
      <c r="M13" s="10"/>
      <c r="N13" s="788"/>
      <c r="O13" s="788"/>
      <c r="P13" s="10"/>
      <c r="Q13" s="10"/>
      <c r="R13" s="10"/>
    </row>
    <row r="14" spans="1:18">
      <c r="D14" s="10"/>
      <c r="E14" s="10"/>
      <c r="F14" s="10"/>
      <c r="G14" s="1029"/>
      <c r="H14" s="676"/>
      <c r="I14" s="676"/>
      <c r="J14" s="10"/>
      <c r="K14" s="10"/>
      <c r="L14" s="10"/>
      <c r="M14" s="10"/>
      <c r="N14" s="788"/>
      <c r="O14" s="788"/>
      <c r="P14" s="10"/>
      <c r="Q14" s="10"/>
      <c r="R14" s="10"/>
    </row>
    <row r="15" spans="1:18">
      <c r="A15" s="20" t="str">
        <f>'WP-2 - Labor Analysis'!A15</f>
        <v>Terri Turner - office mg</v>
      </c>
      <c r="B15" s="19" t="str">
        <f>+'[16]WP-2, pg 2 - Labor Increase'!E15</f>
        <v>Y</v>
      </c>
      <c r="C15" s="19" t="str">
        <f>+'[16]WP-2, pg 2 - Labor Increase'!F15</f>
        <v>Y</v>
      </c>
      <c r="D15" s="10">
        <v>13687.2</v>
      </c>
      <c r="E15" s="10">
        <f>-(252.04+252.04)-((264.09+264.09)*11)</f>
        <v>-6314.0599999999995</v>
      </c>
      <c r="F15" s="10">
        <f>+D15+E15</f>
        <v>7373.1400000000012</v>
      </c>
      <c r="G15" s="1029">
        <f>(1092.67*12)+(47.67*12)</f>
        <v>13684.080000000002</v>
      </c>
      <c r="H15" s="676">
        <f>-((249.5*2)*12)</f>
        <v>-5988</v>
      </c>
      <c r="I15" s="676">
        <f>G15+H15</f>
        <v>7696.0800000000017</v>
      </c>
      <c r="J15" s="10">
        <f>4.56*12</f>
        <v>54.72</v>
      </c>
      <c r="K15" s="10"/>
      <c r="L15" s="10"/>
      <c r="M15" s="10"/>
      <c r="N15" s="788"/>
      <c r="O15" s="788"/>
      <c r="P15" s="10"/>
      <c r="Q15" s="10"/>
      <c r="R15" s="10"/>
    </row>
    <row r="16" spans="1:18">
      <c r="A16" s="20" t="str">
        <f>'WP-2 - Labor Analysis'!A16</f>
        <v>Kami Dykstra</v>
      </c>
      <c r="B16" s="19" t="str">
        <f>+'[16]WP-2, pg 2 - Labor Increase'!E16</f>
        <v>Y</v>
      </c>
      <c r="C16" s="19" t="str">
        <f>+'[16]WP-2, pg 2 - Labor Increase'!F16</f>
        <v>Y</v>
      </c>
      <c r="D16" s="10">
        <v>4684.87</v>
      </c>
      <c r="E16" s="10">
        <f>-(15+15)-((22.5+22.5)*11)</f>
        <v>-525</v>
      </c>
      <c r="F16" s="10">
        <f>+D16+E16</f>
        <v>4159.87</v>
      </c>
      <c r="G16" s="1029">
        <f>(363.37*12)+(47.67*12)</f>
        <v>4932.4800000000005</v>
      </c>
      <c r="H16" s="676">
        <f>-((20.21*2)*12)</f>
        <v>-485.04</v>
      </c>
      <c r="I16" s="676">
        <f>G16+H16</f>
        <v>4447.4400000000005</v>
      </c>
      <c r="J16" s="10">
        <f>4.56*12</f>
        <v>54.72</v>
      </c>
      <c r="K16" s="10"/>
      <c r="L16" s="10"/>
      <c r="M16" s="10"/>
      <c r="N16" s="788"/>
      <c r="O16" s="788"/>
      <c r="P16" s="10"/>
      <c r="Q16" s="10"/>
      <c r="R16" s="10"/>
    </row>
    <row r="17" spans="1:29">
      <c r="A17" s="20" t="str">
        <f>'WP-2 - Labor Analysis'!A17</f>
        <v>Lacey Gray</v>
      </c>
      <c r="D17" s="10"/>
      <c r="E17" s="10"/>
      <c r="F17" s="10"/>
      <c r="G17" s="1029"/>
      <c r="H17" s="676"/>
      <c r="I17" s="676"/>
      <c r="J17" s="10"/>
      <c r="K17" s="10" t="s">
        <v>1173</v>
      </c>
      <c r="L17" s="10"/>
      <c r="M17" s="10"/>
      <c r="N17" s="788"/>
      <c r="O17" s="788"/>
      <c r="P17" s="10"/>
      <c r="Q17" s="10"/>
      <c r="R17" s="10"/>
    </row>
    <row r="18" spans="1:29">
      <c r="A18" s="35" t="str">
        <f>'WP-2 - Labor Analysis'!A18</f>
        <v>SUPER/BILLING/OFFICE</v>
      </c>
      <c r="B18" s="954"/>
      <c r="C18" s="954"/>
      <c r="D18" s="680">
        <f t="shared" ref="D18:J18" si="1">SUM(D15:D17)</f>
        <v>18372.07</v>
      </c>
      <c r="E18" s="680">
        <f t="shared" si="1"/>
        <v>-6839.0599999999995</v>
      </c>
      <c r="F18" s="680">
        <f t="shared" si="1"/>
        <v>11533.010000000002</v>
      </c>
      <c r="G18" s="1030">
        <f t="shared" si="1"/>
        <v>18616.560000000001</v>
      </c>
      <c r="H18" s="1027">
        <f t="shared" si="1"/>
        <v>-6473.04</v>
      </c>
      <c r="I18" s="1027">
        <f>SUM(I15:I17)</f>
        <v>12143.520000000002</v>
      </c>
      <c r="J18" s="680">
        <f t="shared" si="1"/>
        <v>109.44</v>
      </c>
      <c r="K18" s="10"/>
      <c r="L18" s="10"/>
      <c r="M18" s="10"/>
      <c r="N18" s="788"/>
      <c r="O18" s="788"/>
      <c r="P18" s="10"/>
      <c r="Q18" s="10"/>
      <c r="R18" s="10"/>
    </row>
    <row r="19" spans="1:29">
      <c r="D19" s="10"/>
      <c r="E19" s="10"/>
      <c r="F19" s="10"/>
      <c r="G19" s="1029"/>
      <c r="H19" s="676"/>
      <c r="I19" s="676"/>
      <c r="J19" s="10"/>
      <c r="K19" s="10"/>
      <c r="L19" s="10"/>
      <c r="M19" s="10"/>
      <c r="N19" s="788"/>
      <c r="O19" s="788"/>
      <c r="P19" s="10"/>
      <c r="Q19" s="10"/>
      <c r="R19" s="10"/>
    </row>
    <row r="20" spans="1:29">
      <c r="A20" s="20" t="str">
        <f>'WP-2 - Labor Analysis'!A20</f>
        <v>Jason Bebout</v>
      </c>
      <c r="B20" s="19" t="str">
        <f>+'[16]WP-2, pg 2 - Labor Increase'!E20</f>
        <v>Y</v>
      </c>
      <c r="C20" s="19" t="str">
        <f>+'[16]WP-2, pg 2 - Labor Increase'!F20</f>
        <v>Y</v>
      </c>
      <c r="D20" s="10">
        <v>4675.08</v>
      </c>
      <c r="E20" s="10">
        <f>-(7.5+7.5)-((15+15)*11)</f>
        <v>-345</v>
      </c>
      <c r="F20" s="10">
        <f>+D20+E20</f>
        <v>4330.08</v>
      </c>
      <c r="G20" s="1029">
        <f>(363.37*12)+(46.79*12)-((15*2)*12)</f>
        <v>4561.92</v>
      </c>
      <c r="H20" s="676">
        <f>-((15*2)*12)</f>
        <v>-360</v>
      </c>
      <c r="I20" s="676">
        <f>G20+H20</f>
        <v>4201.92</v>
      </c>
      <c r="J20" s="10">
        <f t="shared" ref="J20:J25" si="2">4.56*12</f>
        <v>54.72</v>
      </c>
      <c r="K20" s="10"/>
      <c r="L20" s="10"/>
      <c r="M20" s="10"/>
      <c r="N20" s="788"/>
      <c r="O20" s="788"/>
      <c r="P20" s="10"/>
      <c r="Q20" s="10"/>
      <c r="R20" s="10"/>
    </row>
    <row r="21" spans="1:29">
      <c r="A21" s="20" t="str">
        <f>'WP-2 - Labor Analysis'!A22</f>
        <v>Rafael Garcia</v>
      </c>
      <c r="B21" s="19" t="str">
        <f>+'[16]WP-2, pg 2 - Labor Increase'!E21</f>
        <v>Y</v>
      </c>
      <c r="C21" s="19" t="str">
        <f>+'[16]WP-2, pg 2 - Labor Increase'!F21</f>
        <v>Y</v>
      </c>
      <c r="D21" s="10">
        <v>10835.58</v>
      </c>
      <c r="E21" s="10">
        <f>-(194.54+194.54)-((195.59+195.59)*9.5)</f>
        <v>-4105.29</v>
      </c>
      <c r="F21" s="10">
        <f t="shared" ref="F21:F23" si="3">+D21+E21</f>
        <v>6730.29</v>
      </c>
      <c r="G21" s="1029">
        <v>0</v>
      </c>
      <c r="H21" s="676">
        <v>0</v>
      </c>
      <c r="I21" s="676">
        <f t="shared" ref="I21:I26" si="4">+G21-H21</f>
        <v>0</v>
      </c>
      <c r="J21" s="10">
        <f t="shared" si="2"/>
        <v>54.72</v>
      </c>
      <c r="K21" s="10" t="s">
        <v>1174</v>
      </c>
      <c r="L21" s="10"/>
      <c r="M21" s="10"/>
      <c r="N21" s="788"/>
      <c r="O21" s="788"/>
      <c r="P21" s="10"/>
      <c r="Q21" s="10"/>
      <c r="R21" s="10"/>
    </row>
    <row r="22" spans="1:29">
      <c r="A22" s="20" t="s">
        <v>1130</v>
      </c>
      <c r="B22" s="19" t="s">
        <v>177</v>
      </c>
      <c r="C22" s="19" t="s">
        <v>177</v>
      </c>
      <c r="D22" s="10"/>
      <c r="E22" s="10"/>
      <c r="F22" s="10"/>
      <c r="G22" s="1029">
        <f>350*12</f>
        <v>4200</v>
      </c>
      <c r="H22" s="676">
        <v>0</v>
      </c>
      <c r="I22" s="676">
        <f t="shared" si="4"/>
        <v>4200</v>
      </c>
      <c r="J22" s="10">
        <f t="shared" si="2"/>
        <v>54.72</v>
      </c>
      <c r="K22" s="1068">
        <v>0</v>
      </c>
      <c r="L22" s="1068">
        <f t="shared" ref="L22" si="5">+J22-K22</f>
        <v>54.72</v>
      </c>
      <c r="M22" s="10"/>
      <c r="N22" s="788"/>
      <c r="O22" s="788"/>
      <c r="P22" s="10"/>
      <c r="Q22" s="10"/>
      <c r="R22" s="10"/>
      <c r="AC22" s="7">
        <f>+'WP-2, pg 3 - Benefits Analysis'!J220</f>
        <v>0</v>
      </c>
    </row>
    <row r="23" spans="1:29">
      <c r="A23" s="20" t="str">
        <f>'WP-2 - Labor Analysis'!A23</f>
        <v>Kevin Salinas</v>
      </c>
      <c r="B23" s="19" t="str">
        <f>+'[16]WP-2, pg 2 - Labor Increase'!E23</f>
        <v>Y</v>
      </c>
      <c r="C23" s="19" t="str">
        <f>+'[16]WP-2, pg 2 - Labor Increase'!F23</f>
        <v>Y</v>
      </c>
      <c r="D23" s="10">
        <v>18515.97</v>
      </c>
      <c r="E23" s="10">
        <f>-(214.04+214.04)-((215.64+215.64)*11)</f>
        <v>-5172.16</v>
      </c>
      <c r="F23" s="10">
        <f t="shared" si="3"/>
        <v>13343.810000000001</v>
      </c>
      <c r="G23" s="1029">
        <f>(849.85*12)+(167.15*12)</f>
        <v>12204</v>
      </c>
      <c r="H23" s="676">
        <f>-((250.46*2)*12)</f>
        <v>-6011.04</v>
      </c>
      <c r="I23" s="676">
        <f>G23+H23</f>
        <v>6192.96</v>
      </c>
      <c r="J23" s="10">
        <f t="shared" si="2"/>
        <v>54.72</v>
      </c>
      <c r="K23" s="10"/>
      <c r="L23" s="10"/>
      <c r="M23" s="10"/>
      <c r="N23" s="788"/>
      <c r="O23" s="788"/>
      <c r="P23" s="10"/>
      <c r="Q23" s="10"/>
      <c r="R23" s="10"/>
    </row>
    <row r="24" spans="1:29">
      <c r="A24" s="20" t="str">
        <f>'WP-2 - Labor Analysis'!A24</f>
        <v>Jeff Sugg</v>
      </c>
      <c r="B24" s="19" t="str">
        <f>+'[16]WP-2, pg 2 - Labor Increase'!E24</f>
        <v>Y</v>
      </c>
      <c r="C24" s="19" t="str">
        <f>+'[16]WP-2, pg 2 - Labor Increase'!F24</f>
        <v>Y</v>
      </c>
      <c r="D24" s="10">
        <v>4675.08</v>
      </c>
      <c r="E24" s="10">
        <f>-(7.5+7.5)-((22.5+22.5)*11)</f>
        <v>-510</v>
      </c>
      <c r="F24" s="10">
        <f>+D24+E24</f>
        <v>4165.08</v>
      </c>
      <c r="G24" s="1029">
        <f>(363.37*12)+(46.79*12)</f>
        <v>4921.92</v>
      </c>
      <c r="H24" s="676">
        <f>-((20.21*2)*12)</f>
        <v>-485.04</v>
      </c>
      <c r="I24" s="676">
        <f t="shared" ref="I24:I28" si="6">G24+H24</f>
        <v>4436.88</v>
      </c>
      <c r="J24" s="10">
        <f t="shared" si="2"/>
        <v>54.72</v>
      </c>
      <c r="K24" s="10"/>
      <c r="L24" s="10"/>
      <c r="M24" s="10"/>
      <c r="N24" s="788"/>
      <c r="O24" s="788"/>
      <c r="P24" s="10"/>
      <c r="Q24" s="10"/>
      <c r="R24" s="10"/>
    </row>
    <row r="25" spans="1:29">
      <c r="A25" s="20" t="str">
        <f>'WP-2 - Labor Analysis'!A25</f>
        <v>William Hainline</v>
      </c>
      <c r="B25" s="19" t="str">
        <f>+'[16]WP-2, pg 2 - Labor Increase'!E25</f>
        <v>Y</v>
      </c>
      <c r="C25" s="19" t="str">
        <f>+'[16]WP-2, pg 2 - Labor Increase'!F25</f>
        <v>Y</v>
      </c>
      <c r="D25" s="10">
        <v>10356.52</v>
      </c>
      <c r="E25" s="10">
        <f>-(128.74+128.74)-((134.65+134.65)*11)</f>
        <v>-3219.78</v>
      </c>
      <c r="F25" s="10">
        <f>+D25+E25</f>
        <v>7136.74</v>
      </c>
      <c r="G25" s="1029">
        <f>(817.58*12)+(90.71*12)</f>
        <v>10899.480000000001</v>
      </c>
      <c r="H25" s="676">
        <v>0</v>
      </c>
      <c r="I25" s="676">
        <f>+G25</f>
        <v>10899.480000000001</v>
      </c>
      <c r="J25" s="10">
        <f t="shared" si="2"/>
        <v>54.72</v>
      </c>
      <c r="K25" s="10" t="s">
        <v>1175</v>
      </c>
      <c r="L25" s="10"/>
      <c r="M25" s="10"/>
      <c r="N25" s="788"/>
      <c r="O25" s="788"/>
      <c r="P25" s="10"/>
      <c r="Q25" s="10"/>
      <c r="R25" s="10"/>
    </row>
    <row r="26" spans="1:29">
      <c r="A26" s="20" t="str">
        <f>'WP-2 - Labor Analysis'!A26</f>
        <v>Kyle Horton</v>
      </c>
      <c r="B26" s="19" t="s">
        <v>181</v>
      </c>
      <c r="C26" s="19" t="s">
        <v>181</v>
      </c>
      <c r="D26" s="10"/>
      <c r="E26" s="10"/>
      <c r="F26" s="10"/>
      <c r="G26" s="1029">
        <v>0</v>
      </c>
      <c r="H26" s="676">
        <v>0</v>
      </c>
      <c r="I26" s="676">
        <f t="shared" si="4"/>
        <v>0</v>
      </c>
      <c r="J26" s="10">
        <v>0</v>
      </c>
      <c r="K26" s="10" t="s">
        <v>1068</v>
      </c>
      <c r="L26" s="10"/>
      <c r="M26" s="10"/>
      <c r="N26" s="788"/>
      <c r="O26" s="788"/>
      <c r="P26" s="10"/>
      <c r="Q26" s="10"/>
      <c r="R26" s="10"/>
    </row>
    <row r="27" spans="1:29">
      <c r="A27" s="20" t="str">
        <f>'WP-2 - Labor Analysis'!A27</f>
        <v>Cody Bartel</v>
      </c>
      <c r="B27" s="19" t="str">
        <f>+'[16]WP-2, pg 2 - Labor Increase'!E27</f>
        <v>Y</v>
      </c>
      <c r="C27" s="19" t="str">
        <f>+'[16]WP-2, pg 2 - Labor Increase'!F27</f>
        <v>Y</v>
      </c>
      <c r="D27" s="10">
        <v>10356.52</v>
      </c>
      <c r="E27" s="10">
        <f>-(113.74+113.74)-((119.65+119.65)*11)</f>
        <v>-2859.78</v>
      </c>
      <c r="F27" s="10">
        <f>+D27+E27</f>
        <v>7496.74</v>
      </c>
      <c r="G27" s="1029">
        <f>(817.58*12)+(90.71*12)</f>
        <v>10899.480000000001</v>
      </c>
      <c r="H27" s="676">
        <f>-((142.71*2)*12)</f>
        <v>-3425.04</v>
      </c>
      <c r="I27" s="676">
        <f t="shared" si="6"/>
        <v>7474.4400000000014</v>
      </c>
      <c r="J27" s="10">
        <f>4.56*12</f>
        <v>54.72</v>
      </c>
      <c r="K27" s="10"/>
      <c r="L27" s="10"/>
      <c r="M27" s="10"/>
      <c r="N27" s="788"/>
      <c r="O27" s="788"/>
      <c r="P27" s="10"/>
      <c r="Q27" s="10"/>
      <c r="R27" s="10"/>
    </row>
    <row r="28" spans="1:29">
      <c r="A28" s="20" t="str">
        <f>'WP-2 - Labor Analysis'!A28</f>
        <v>Tyler Inman</v>
      </c>
      <c r="B28" s="19" t="str">
        <f>+'[16]WP-2, pg 2 - Labor Increase'!E28</f>
        <v>Y</v>
      </c>
      <c r="C28" s="19" t="str">
        <f>+'[16]WP-2, pg 2 - Labor Increase'!F28</f>
        <v>Y</v>
      </c>
      <c r="D28" s="10">
        <v>1573.32</v>
      </c>
      <c r="E28" s="10">
        <v>0</v>
      </c>
      <c r="F28" s="10">
        <f>+D28+E28</f>
        <v>1573.32</v>
      </c>
      <c r="G28" s="1029">
        <f>(363.37*12)+(46.79*12)</f>
        <v>4921.92</v>
      </c>
      <c r="H28" s="676">
        <f>-((5.21*2)*12)</f>
        <v>-125.03999999999999</v>
      </c>
      <c r="I28" s="676">
        <f t="shared" si="6"/>
        <v>4796.88</v>
      </c>
      <c r="J28" s="10">
        <f>4.56*12</f>
        <v>54.72</v>
      </c>
      <c r="K28" s="10" t="s">
        <v>1171</v>
      </c>
      <c r="L28" s="10"/>
      <c r="M28" s="10"/>
      <c r="N28" s="788"/>
      <c r="O28" s="788"/>
      <c r="P28" s="10"/>
      <c r="Q28" s="10"/>
      <c r="R28" s="10"/>
    </row>
    <row r="29" spans="1:29">
      <c r="A29" s="20" t="s">
        <v>1133</v>
      </c>
      <c r="B29" s="19" t="s">
        <v>177</v>
      </c>
      <c r="C29" s="19" t="s">
        <v>177</v>
      </c>
      <c r="D29" s="10"/>
      <c r="E29" s="10"/>
      <c r="F29" s="10"/>
      <c r="G29" s="1029">
        <v>0</v>
      </c>
      <c r="H29" s="676">
        <v>0</v>
      </c>
      <c r="I29" s="676">
        <f t="shared" ref="I29" si="7">+G29-H29</f>
        <v>0</v>
      </c>
      <c r="J29" s="10">
        <f>4.56*12</f>
        <v>54.72</v>
      </c>
      <c r="K29" s="10" t="s">
        <v>1263</v>
      </c>
      <c r="L29" s="10"/>
      <c r="M29" s="10"/>
      <c r="N29" s="788"/>
      <c r="O29" s="788"/>
      <c r="P29" s="10"/>
      <c r="Q29" s="10"/>
      <c r="R29" s="10"/>
    </row>
    <row r="30" spans="1:29">
      <c r="A30" s="35" t="str">
        <f>'WP-2 - Labor Analysis'!A29</f>
        <v>DRIVERS</v>
      </c>
      <c r="B30" s="954"/>
      <c r="C30" s="954"/>
      <c r="D30" s="680">
        <f t="shared" ref="D30:F30" si="8">SUM(D20:D29)</f>
        <v>60988.070000000014</v>
      </c>
      <c r="E30" s="680">
        <f t="shared" si="8"/>
        <v>-16212.010000000002</v>
      </c>
      <c r="F30" s="680">
        <f t="shared" si="8"/>
        <v>44776.06</v>
      </c>
      <c r="G30" s="1030">
        <f>SUM(G20:G29)</f>
        <v>52608.72</v>
      </c>
      <c r="H30" s="1027">
        <f t="shared" ref="H30:J30" si="9">SUM(H20:H29)</f>
        <v>-10406.16</v>
      </c>
      <c r="I30" s="1027">
        <f>SUM(I20:I29)</f>
        <v>42202.560000000005</v>
      </c>
      <c r="J30" s="680">
        <f t="shared" si="9"/>
        <v>492.48000000000013</v>
      </c>
      <c r="K30" s="10"/>
      <c r="L30" s="10"/>
      <c r="M30" s="10"/>
      <c r="N30" s="788"/>
      <c r="O30" s="788"/>
      <c r="P30" s="10"/>
      <c r="Q30" s="10"/>
      <c r="R30" s="10"/>
    </row>
    <row r="31" spans="1:29">
      <c r="D31" s="10"/>
      <c r="E31" s="10"/>
      <c r="F31" s="10"/>
      <c r="G31" s="1029"/>
      <c r="H31" s="676"/>
      <c r="I31" s="676"/>
      <c r="J31" s="10"/>
      <c r="K31" s="10"/>
      <c r="L31" s="10"/>
      <c r="M31" s="10"/>
      <c r="N31" s="788"/>
      <c r="O31" s="788"/>
      <c r="P31" s="10"/>
      <c r="Q31" s="10"/>
      <c r="R31" s="10"/>
    </row>
    <row r="32" spans="1:29">
      <c r="A32" s="20" t="str">
        <f>'WP-2 - Labor Analysis'!A31</f>
        <v>Dave Ritola (100% drop box)</v>
      </c>
      <c r="B32" s="19" t="str">
        <f>+'[16]WP-2, pg 2 - Labor Increase'!E32</f>
        <v>Y</v>
      </c>
      <c r="C32" s="19" t="str">
        <f>+'[16]WP-2, pg 2 - Labor Increase'!F32</f>
        <v>Y</v>
      </c>
      <c r="D32" s="10">
        <v>10375.49</v>
      </c>
      <c r="E32" s="10">
        <f>-(113.74+113.74)-((126.59+126.59)*11)</f>
        <v>-3012.46</v>
      </c>
      <c r="F32" s="10">
        <f>+D32+E32</f>
        <v>7363.03</v>
      </c>
      <c r="G32" s="1029">
        <f>(817.58*12)+(92.41*12)</f>
        <v>10919.880000000001</v>
      </c>
      <c r="H32" s="676">
        <f>-((135.21*2)*12)</f>
        <v>-3245.04</v>
      </c>
      <c r="I32" s="676">
        <f t="shared" ref="I32:I33" si="10">G32+H32</f>
        <v>7674.8400000000011</v>
      </c>
      <c r="J32" s="10">
        <f>4.56*12</f>
        <v>54.72</v>
      </c>
      <c r="K32" s="10"/>
      <c r="L32" s="10"/>
      <c r="M32" s="10"/>
      <c r="N32" s="788"/>
      <c r="O32" s="788"/>
      <c r="P32" s="10"/>
      <c r="Q32" s="10"/>
      <c r="R32" s="10"/>
    </row>
    <row r="33" spans="1:18">
      <c r="A33" s="20" t="str">
        <f>'WP-2 - Labor Analysis'!A32</f>
        <v>Henry Peltier (100% drop box)</v>
      </c>
      <c r="B33" s="19" t="str">
        <f>+'[16]WP-2, pg 2 - Labor Increase'!E33</f>
        <v>Y</v>
      </c>
      <c r="C33" s="19" t="str">
        <f>+'[16]WP-2, pg 2 - Labor Increase'!F33</f>
        <v>Y</v>
      </c>
      <c r="D33" s="10">
        <v>14289.49</v>
      </c>
      <c r="E33" s="10">
        <f>-(211.54+211.54)-((220.64+220.64)*11)</f>
        <v>-5277.16</v>
      </c>
      <c r="F33" s="10">
        <f>+D33+E33</f>
        <v>9012.33</v>
      </c>
      <c r="G33" s="1029">
        <f>(1090.11*12)+(164.05*12)</f>
        <v>15049.92</v>
      </c>
      <c r="H33" s="676">
        <f>-((247.96*2)*12)</f>
        <v>-5951.04</v>
      </c>
      <c r="I33" s="704">
        <f t="shared" si="10"/>
        <v>9098.880000000001</v>
      </c>
      <c r="J33" s="10">
        <f>4.56*12</f>
        <v>54.72</v>
      </c>
      <c r="K33" s="10"/>
      <c r="L33" s="10"/>
      <c r="M33" s="10"/>
      <c r="N33" s="788"/>
      <c r="O33" s="788"/>
      <c r="P33" s="10"/>
      <c r="Q33" s="10"/>
      <c r="R33" s="10"/>
    </row>
    <row r="34" spans="1:18">
      <c r="A34" s="35" t="str">
        <f>'WP-2 - Labor Analysis'!A33</f>
        <v>DROP BOX</v>
      </c>
      <c r="B34" s="954"/>
      <c r="C34" s="954"/>
      <c r="D34" s="680">
        <f t="shared" ref="D34:J34" si="11">SUM(D32:D33)</f>
        <v>24664.98</v>
      </c>
      <c r="E34" s="680">
        <f t="shared" si="11"/>
        <v>-8289.619999999999</v>
      </c>
      <c r="F34" s="680">
        <f t="shared" si="11"/>
        <v>16375.36</v>
      </c>
      <c r="G34" s="1030">
        <f t="shared" si="11"/>
        <v>25969.800000000003</v>
      </c>
      <c r="H34" s="1027">
        <f t="shared" si="11"/>
        <v>-9196.08</v>
      </c>
      <c r="I34" s="11">
        <f t="shared" si="11"/>
        <v>16773.72</v>
      </c>
      <c r="J34" s="680">
        <f t="shared" si="11"/>
        <v>109.44</v>
      </c>
      <c r="K34" s="10"/>
      <c r="L34" s="10"/>
      <c r="M34" s="10"/>
      <c r="N34" s="788"/>
      <c r="O34" s="788"/>
      <c r="P34" s="10"/>
      <c r="Q34" s="10"/>
      <c r="R34" s="10"/>
    </row>
    <row r="35" spans="1:18">
      <c r="A35" s="37"/>
      <c r="D35" s="10"/>
      <c r="E35" s="10"/>
      <c r="F35" s="10"/>
      <c r="G35" s="1029"/>
      <c r="H35" s="676"/>
      <c r="I35" s="676"/>
      <c r="J35" s="10"/>
      <c r="K35" s="10"/>
      <c r="L35" s="10"/>
      <c r="M35" s="10"/>
      <c r="N35" s="788"/>
      <c r="O35" s="788"/>
      <c r="P35" s="10"/>
      <c r="Q35" s="10"/>
      <c r="R35" s="10"/>
    </row>
    <row r="36" spans="1:18">
      <c r="A36" s="20" t="str">
        <f>'WP-2 - Labor Analysis'!A35</f>
        <v>Loren Gonzales</v>
      </c>
      <c r="B36" s="19" t="str">
        <f>+'[16]WP-2, pg 2 - Labor Increase'!E36</f>
        <v>N</v>
      </c>
      <c r="C36" s="19" t="str">
        <f>+'[16]WP-2, pg 2 - Labor Increase'!F36</f>
        <v>N</v>
      </c>
      <c r="D36" s="10"/>
      <c r="E36" s="10"/>
      <c r="F36" s="10"/>
      <c r="G36" s="1029">
        <f>(485.63*12)+(46.79*12)</f>
        <v>6389.0399999999991</v>
      </c>
      <c r="H36" s="676">
        <f>-((66.21*2)*12)</f>
        <v>-1589.04</v>
      </c>
      <c r="I36" s="676">
        <f t="shared" ref="I36:I38" si="12">G36+H36</f>
        <v>4799.9999999999991</v>
      </c>
      <c r="J36" s="10">
        <v>0</v>
      </c>
      <c r="K36" s="10" t="s">
        <v>1176</v>
      </c>
      <c r="L36" s="10"/>
      <c r="M36" s="10"/>
      <c r="N36" s="788"/>
      <c r="O36" s="788"/>
      <c r="P36" s="10"/>
      <c r="Q36" s="10"/>
      <c r="R36" s="10"/>
    </row>
    <row r="37" spans="1:18">
      <c r="A37" s="20" t="str">
        <f>'WP-2 - Labor Analysis'!A36</f>
        <v>David Akans</v>
      </c>
      <c r="B37" s="19" t="str">
        <f>+'[16]WP-2, pg 2 - Labor Increase'!E37</f>
        <v>N</v>
      </c>
      <c r="C37" s="19" t="str">
        <f>+'[16]WP-2, pg 2 - Labor Increase'!F37</f>
        <v>N</v>
      </c>
      <c r="D37" s="10"/>
      <c r="E37" s="10"/>
      <c r="F37" s="10"/>
      <c r="G37" s="1029">
        <v>0</v>
      </c>
      <c r="H37" s="676">
        <v>0</v>
      </c>
      <c r="I37" s="676">
        <f t="shared" ref="I37:I43" si="13">+G37-H37</f>
        <v>0</v>
      </c>
      <c r="J37" s="10">
        <v>0</v>
      </c>
      <c r="K37" s="10"/>
      <c r="L37" s="10"/>
      <c r="M37" s="10"/>
      <c r="N37" s="788"/>
      <c r="O37" s="788"/>
      <c r="P37" s="10"/>
      <c r="Q37" s="10"/>
      <c r="R37" s="10"/>
    </row>
    <row r="38" spans="1:18">
      <c r="A38" s="20" t="str">
        <f>'WP-2 - Labor Analysis'!A37</f>
        <v>Clayton Carney</v>
      </c>
      <c r="B38" s="19" t="str">
        <f>+'[16]WP-2, pg 2 - Labor Increase'!E38</f>
        <v>N</v>
      </c>
      <c r="C38" s="19" t="str">
        <f>+'[16]WP-2, pg 2 - Labor Increase'!F38</f>
        <v>N</v>
      </c>
      <c r="D38" s="10"/>
      <c r="E38" s="10"/>
      <c r="F38" s="10"/>
      <c r="G38" s="1029">
        <f>(363.37*12)+(47.67*12)</f>
        <v>4932.4800000000005</v>
      </c>
      <c r="H38" s="676">
        <v>0</v>
      </c>
      <c r="I38" s="676">
        <f t="shared" si="12"/>
        <v>4932.4800000000005</v>
      </c>
      <c r="J38" s="10">
        <v>0</v>
      </c>
      <c r="K38" s="10"/>
      <c r="L38" s="10"/>
      <c r="M38" s="10"/>
      <c r="N38" s="788"/>
      <c r="O38" s="788"/>
      <c r="P38" s="10"/>
      <c r="Q38" s="10"/>
      <c r="R38" s="10"/>
    </row>
    <row r="39" spans="1:18">
      <c r="A39" s="20" t="str">
        <f>'WP-2 - Labor Analysis'!A38</f>
        <v>Weslie Coates</v>
      </c>
      <c r="B39" s="19" t="str">
        <f>+'[16]WP-2, pg 2 - Labor Increase'!E39</f>
        <v>N</v>
      </c>
      <c r="C39" s="19" t="str">
        <f>+'[16]WP-2, pg 2 - Labor Increase'!F39</f>
        <v>N</v>
      </c>
      <c r="D39" s="10">
        <v>387.72</v>
      </c>
      <c r="E39" s="10">
        <f>-((22.5+22.5)*2)</f>
        <v>-90</v>
      </c>
      <c r="F39" s="10">
        <f>+D39+E39</f>
        <v>297.72000000000003</v>
      </c>
      <c r="G39" s="1029">
        <v>0</v>
      </c>
      <c r="H39" s="676">
        <v>0</v>
      </c>
      <c r="I39" s="676">
        <f t="shared" si="13"/>
        <v>0</v>
      </c>
      <c r="J39" s="10">
        <v>0</v>
      </c>
      <c r="K39" s="10"/>
      <c r="L39" s="10"/>
      <c r="M39" s="10"/>
      <c r="N39" s="788"/>
      <c r="O39" s="788"/>
      <c r="P39" s="10"/>
      <c r="Q39" s="10"/>
      <c r="R39" s="10"/>
    </row>
    <row r="40" spans="1:18">
      <c r="A40" s="20" t="str">
        <f>'WP-2 - Labor Analysis'!A39</f>
        <v>Jagmeet Deol</v>
      </c>
      <c r="B40" s="19" t="str">
        <f>+'[16]WP-2, pg 2 - Labor Increase'!E40</f>
        <v>N</v>
      </c>
      <c r="C40" s="19" t="str">
        <f>+'[16]WP-2, pg 2 - Labor Increase'!F40</f>
        <v>N</v>
      </c>
      <c r="D40" s="10"/>
      <c r="E40" s="10"/>
      <c r="F40" s="10"/>
      <c r="G40" s="1029">
        <v>0</v>
      </c>
      <c r="H40" s="676">
        <v>0</v>
      </c>
      <c r="I40" s="676">
        <f t="shared" si="13"/>
        <v>0</v>
      </c>
      <c r="J40" s="10">
        <v>0</v>
      </c>
      <c r="K40" s="10"/>
      <c r="L40" s="10"/>
      <c r="M40" s="10"/>
      <c r="N40" s="788"/>
      <c r="O40" s="788"/>
      <c r="P40" s="10"/>
      <c r="Q40" s="10"/>
      <c r="R40" s="10"/>
    </row>
    <row r="41" spans="1:18">
      <c r="A41" s="20" t="str">
        <f>'WP-2 - Labor Analysis'!A40</f>
        <v>David Murray</v>
      </c>
      <c r="B41" s="19" t="str">
        <f>+'[16]WP-2, pg 2 - Labor Increase'!E41</f>
        <v>Y</v>
      </c>
      <c r="C41" s="19" t="str">
        <f>+'[16]WP-2, pg 2 - Labor Increase'!F41</f>
        <v>Y</v>
      </c>
      <c r="D41" s="10">
        <v>1942.65</v>
      </c>
      <c r="E41" s="10">
        <f>-((7.5+7.5)*4)</f>
        <v>-60</v>
      </c>
      <c r="F41" s="10">
        <f>+D41+E41</f>
        <v>1882.65</v>
      </c>
      <c r="G41" s="1029">
        <v>0</v>
      </c>
      <c r="H41" s="676">
        <v>0</v>
      </c>
      <c r="I41" s="676">
        <f t="shared" si="13"/>
        <v>0</v>
      </c>
      <c r="J41" s="10">
        <v>0</v>
      </c>
      <c r="K41" s="10"/>
      <c r="L41" s="10"/>
      <c r="M41" s="10"/>
      <c r="N41" s="788"/>
      <c r="O41" s="788"/>
      <c r="P41" s="10"/>
      <c r="Q41" s="10"/>
      <c r="R41" s="10"/>
    </row>
    <row r="42" spans="1:18">
      <c r="A42" s="20" t="str">
        <f>'WP-2 - Labor Analysis'!A41</f>
        <v>Arnold Messex</v>
      </c>
      <c r="B42" s="19" t="str">
        <f>+'[16]WP-2, pg 2 - Labor Increase'!E42</f>
        <v>N</v>
      </c>
      <c r="C42" s="19" t="str">
        <f>+'[16]WP-2, pg 2 - Labor Increase'!F42</f>
        <v>N</v>
      </c>
      <c r="D42" s="10"/>
      <c r="E42" s="10"/>
      <c r="F42" s="10"/>
      <c r="G42" s="1029">
        <v>0</v>
      </c>
      <c r="H42" s="676">
        <v>0</v>
      </c>
      <c r="I42" s="676">
        <f t="shared" si="13"/>
        <v>0</v>
      </c>
      <c r="J42" s="10">
        <v>0</v>
      </c>
      <c r="K42" s="10"/>
      <c r="L42" s="10"/>
      <c r="M42" s="10"/>
      <c r="N42" s="788"/>
      <c r="O42" s="788"/>
      <c r="P42" s="10"/>
      <c r="Q42" s="10"/>
      <c r="R42" s="10"/>
    </row>
    <row r="43" spans="1:18">
      <c r="A43" s="20" t="str">
        <f>'WP-2 - Labor Analysis'!A42</f>
        <v>Maxwell Tilton</v>
      </c>
      <c r="B43" s="19" t="str">
        <f>+'[16]WP-2, pg 2 - Labor Increase'!E43</f>
        <v>N</v>
      </c>
      <c r="C43" s="19" t="str">
        <f>+'[16]WP-2, pg 2 - Labor Increase'!F43</f>
        <v>N</v>
      </c>
      <c r="D43" s="10"/>
      <c r="E43" s="10"/>
      <c r="F43" s="10"/>
      <c r="G43" s="1029">
        <v>0</v>
      </c>
      <c r="H43" s="676">
        <v>0</v>
      </c>
      <c r="I43" s="676">
        <f t="shared" si="13"/>
        <v>0</v>
      </c>
      <c r="J43" s="10">
        <v>0</v>
      </c>
      <c r="K43" s="10"/>
      <c r="L43" s="10"/>
      <c r="M43" s="10"/>
      <c r="N43" s="788"/>
      <c r="O43" s="788"/>
      <c r="P43" s="10"/>
      <c r="Q43" s="10"/>
      <c r="R43" s="10"/>
    </row>
    <row r="44" spans="1:18">
      <c r="A44" s="35" t="str">
        <f>'WP-2 - Labor Analysis'!A44</f>
        <v>OTHER LABOR</v>
      </c>
      <c r="B44" s="954"/>
      <c r="C44" s="954"/>
      <c r="D44" s="680">
        <f t="shared" ref="D44:I44" si="14">SUM(D36:D43)</f>
        <v>2330.37</v>
      </c>
      <c r="E44" s="680">
        <f t="shared" si="14"/>
        <v>-150</v>
      </c>
      <c r="F44" s="680">
        <f t="shared" si="14"/>
        <v>2180.37</v>
      </c>
      <c r="G44" s="1030">
        <f t="shared" si="14"/>
        <v>11321.52</v>
      </c>
      <c r="H44" s="1027">
        <f t="shared" si="14"/>
        <v>-1589.04</v>
      </c>
      <c r="I44" s="1027">
        <f t="shared" si="14"/>
        <v>9732.48</v>
      </c>
      <c r="J44" s="680">
        <f>SUM(J36:J43)</f>
        <v>0</v>
      </c>
      <c r="K44" s="10"/>
      <c r="L44" s="10"/>
      <c r="M44" s="10"/>
      <c r="N44" s="788"/>
      <c r="O44" s="788"/>
      <c r="P44" s="10"/>
      <c r="Q44" s="10"/>
      <c r="R44" s="10"/>
    </row>
    <row r="45" spans="1:18">
      <c r="D45" s="10"/>
      <c r="E45" s="10"/>
      <c r="F45" s="10"/>
      <c r="G45" s="1029"/>
      <c r="H45" s="676"/>
      <c r="I45" s="676"/>
      <c r="J45" s="10"/>
      <c r="K45" s="10"/>
      <c r="L45" s="10"/>
      <c r="M45" s="10"/>
      <c r="N45" s="788"/>
      <c r="O45" s="788"/>
      <c r="P45" s="10"/>
      <c r="Q45" s="10"/>
      <c r="R45" s="10"/>
    </row>
    <row r="46" spans="1:18">
      <c r="A46" s="20" t="str">
        <f>'WP-2 - Labor Analysis'!A46</f>
        <v>Larry Lamkin - maint super</v>
      </c>
      <c r="B46" s="19" t="str">
        <f>+'[16]WP-2, pg 2 - Labor Increase'!E48</f>
        <v>Y</v>
      </c>
      <c r="C46" s="19" t="str">
        <f>+'[16]WP-2, pg 2 - Labor Increase'!F48</f>
        <v>Y</v>
      </c>
      <c r="D46" s="10">
        <v>4684.87</v>
      </c>
      <c r="E46" s="10">
        <f>-(15+15)-((7.5+7.5)*11)</f>
        <v>-195</v>
      </c>
      <c r="F46" s="10">
        <f>+D46+E46</f>
        <v>4489.87</v>
      </c>
      <c r="G46" s="1029">
        <f>(363.37*12)+(47.67*12)</f>
        <v>4932.4800000000005</v>
      </c>
      <c r="H46" s="676">
        <f>-((45.71*2)*12)</f>
        <v>-1097.04</v>
      </c>
      <c r="I46" s="676">
        <f t="shared" ref="I46:I52" si="15">G46+H46</f>
        <v>3835.4400000000005</v>
      </c>
      <c r="J46" s="10">
        <f t="shared" ref="J46:J52" si="16">4.56*12</f>
        <v>54.72</v>
      </c>
      <c r="K46" s="10"/>
      <c r="L46" s="10"/>
      <c r="M46" s="10"/>
      <c r="N46" s="788"/>
      <c r="O46" s="788"/>
      <c r="P46" s="10"/>
      <c r="Q46" s="10"/>
      <c r="R46" s="10"/>
    </row>
    <row r="47" spans="1:18">
      <c r="A47" s="20" t="str">
        <f>'WP-2, pg 2 - Labor Increase'!A48</f>
        <v>Glenn Miller</v>
      </c>
      <c r="B47" s="19" t="str">
        <f>+'[16]WP-2, pg 2 - Labor Increase'!E49</f>
        <v>Y</v>
      </c>
      <c r="C47" s="19" t="str">
        <f>+'[16]WP-2, pg 2 - Labor Increase'!F49</f>
        <v>Y</v>
      </c>
      <c r="D47" s="10">
        <v>5614.58</v>
      </c>
      <c r="E47" s="10">
        <f>-(136.24+136.24)-((50.1+50.1)*11)</f>
        <v>-1374.68</v>
      </c>
      <c r="F47" s="10">
        <f>+D47+E47</f>
        <v>4239.8999999999996</v>
      </c>
      <c r="G47" s="1029">
        <f>(363.37*12)+(92.41*12)</f>
        <v>5469.3600000000006</v>
      </c>
      <c r="H47" s="676">
        <f>-((50.08*2)*12)</f>
        <v>-1201.92</v>
      </c>
      <c r="I47" s="676">
        <f t="shared" si="15"/>
        <v>4267.4400000000005</v>
      </c>
      <c r="J47" s="10">
        <f t="shared" si="16"/>
        <v>54.72</v>
      </c>
      <c r="K47" s="10"/>
      <c r="L47" s="10"/>
      <c r="M47" s="10"/>
      <c r="N47" s="788"/>
      <c r="O47" s="788"/>
      <c r="P47" s="10"/>
      <c r="Q47" s="10"/>
      <c r="R47" s="10"/>
    </row>
    <row r="48" spans="1:18">
      <c r="A48" s="20" t="str">
        <f>'WP-2 - Labor Analysis'!A48</f>
        <v>Todd Hall</v>
      </c>
      <c r="B48" s="19" t="s">
        <v>177</v>
      </c>
      <c r="C48" s="19" t="s">
        <v>177</v>
      </c>
      <c r="D48" s="10">
        <v>0</v>
      </c>
      <c r="E48" s="10"/>
      <c r="F48" s="10"/>
      <c r="G48" s="1029">
        <f>(363.37*12)</f>
        <v>4360.4400000000005</v>
      </c>
      <c r="H48" s="676">
        <f>-((42.71*2)*12)</f>
        <v>-1025.04</v>
      </c>
      <c r="I48" s="676">
        <f t="shared" si="15"/>
        <v>3335.4000000000005</v>
      </c>
      <c r="J48" s="10">
        <f t="shared" si="16"/>
        <v>54.72</v>
      </c>
      <c r="K48" s="10"/>
      <c r="L48" s="10"/>
      <c r="M48" s="10"/>
      <c r="N48" s="788"/>
      <c r="O48" s="788"/>
      <c r="P48" s="10"/>
      <c r="Q48" s="10"/>
      <c r="R48" s="10"/>
    </row>
    <row r="49" spans="1:18">
      <c r="A49" s="20" t="str">
        <f>'WP-2 - Labor Analysis'!A49</f>
        <v>Devon Curtis</v>
      </c>
      <c r="B49" s="19" t="str">
        <f>+'[16]WP-2, pg 2 - Labor Increase'!E51</f>
        <v>Y</v>
      </c>
      <c r="C49" s="19" t="str">
        <f>+'[16]WP-2, pg 2 - Labor Increase'!F51</f>
        <v>Y</v>
      </c>
      <c r="D49" s="10">
        <v>11201.1</v>
      </c>
      <c r="E49" s="10">
        <f>-(184.54+184.54)-((193.09+193.09)*9)</f>
        <v>-3844.7</v>
      </c>
      <c r="F49" s="10">
        <f>+D49+E49</f>
        <v>7356.4000000000005</v>
      </c>
      <c r="G49" s="1029">
        <v>0</v>
      </c>
      <c r="H49" s="676">
        <v>0</v>
      </c>
      <c r="I49" s="676">
        <f t="shared" si="15"/>
        <v>0</v>
      </c>
      <c r="J49" s="10">
        <f t="shared" si="16"/>
        <v>54.72</v>
      </c>
      <c r="K49" s="10"/>
      <c r="L49" s="10"/>
      <c r="M49" s="10"/>
      <c r="N49" s="788"/>
      <c r="O49" s="788"/>
      <c r="P49" s="10"/>
      <c r="Q49" s="10"/>
      <c r="R49" s="10"/>
    </row>
    <row r="50" spans="1:18">
      <c r="A50" s="20" t="str">
        <f>'WP-2 - Labor Analysis'!A50</f>
        <v>Ryan Larsen</v>
      </c>
      <c r="B50" s="19" t="str">
        <f>+'[16]WP-2, pg 2 - Labor Increase'!E52</f>
        <v>Y</v>
      </c>
      <c r="C50" s="19" t="str">
        <f>+'[16]WP-2, pg 2 - Labor Increase'!F52</f>
        <v>Y</v>
      </c>
      <c r="D50" s="10">
        <v>6072.46</v>
      </c>
      <c r="E50" s="10">
        <f>-(77.5+77.5)-((73+73)*11)</f>
        <v>-1761</v>
      </c>
      <c r="F50" s="10">
        <f>+D50+E50</f>
        <v>4311.46</v>
      </c>
      <c r="G50" s="1029">
        <f>(485.63*12)+(46.79*12)</f>
        <v>6389.0399999999991</v>
      </c>
      <c r="H50" s="676">
        <f>-((83.5*2)*12)</f>
        <v>-2004</v>
      </c>
      <c r="I50" s="676">
        <f t="shared" si="15"/>
        <v>4385.0399999999991</v>
      </c>
      <c r="J50" s="10">
        <f t="shared" si="16"/>
        <v>54.72</v>
      </c>
      <c r="K50" s="10"/>
      <c r="L50" s="10"/>
      <c r="M50" s="10"/>
      <c r="N50" s="788"/>
      <c r="O50" s="788"/>
      <c r="P50" s="10"/>
      <c r="Q50" s="10"/>
      <c r="R50" s="10"/>
    </row>
    <row r="51" spans="1:18">
      <c r="A51" s="20" t="str">
        <f>'WP-2 - Labor Analysis'!A51</f>
        <v>Nathan Richardson</v>
      </c>
      <c r="B51" s="19" t="str">
        <f>+'[16]WP-2, pg 2 - Labor Increase'!E53</f>
        <v>Y</v>
      </c>
      <c r="C51" s="19" t="str">
        <f>+'[16]WP-2, pg 2 - Labor Increase'!F53</f>
        <v>Y</v>
      </c>
      <c r="D51" s="10">
        <v>8000.48</v>
      </c>
      <c r="E51" s="10">
        <f>-(30+30)-((22.5+22.5)*2)-((149.65+149.65)*9)</f>
        <v>-2843.7000000000003</v>
      </c>
      <c r="F51" s="10">
        <f>+D51+E51</f>
        <v>5156.7799999999988</v>
      </c>
      <c r="G51" s="1029">
        <f>(817.59*12)+(90.71*12)</f>
        <v>10899.6</v>
      </c>
      <c r="H51" s="676">
        <f>-((149.37*2)*12)</f>
        <v>-3584.88</v>
      </c>
      <c r="I51" s="676">
        <f t="shared" si="15"/>
        <v>7314.72</v>
      </c>
      <c r="J51" s="10">
        <f t="shared" si="16"/>
        <v>54.72</v>
      </c>
      <c r="K51" s="10"/>
      <c r="L51" s="10"/>
      <c r="M51" s="10"/>
      <c r="N51" s="788"/>
      <c r="O51" s="788"/>
      <c r="P51" s="10"/>
      <c r="Q51" s="10"/>
      <c r="R51" s="10"/>
    </row>
    <row r="52" spans="1:18">
      <c r="A52" s="20" t="str">
        <f>'WP-2 - Labor Analysis'!A52</f>
        <v>Travis Smith</v>
      </c>
      <c r="B52" s="19" t="str">
        <f>+'[16]WP-2, pg 2 - Labor Increase'!E54</f>
        <v>Y</v>
      </c>
      <c r="C52" s="19" t="str">
        <f>+'[16]WP-2, pg 2 - Labor Increase'!F54</f>
        <v>Y</v>
      </c>
      <c r="D52" s="10">
        <v>6072.46</v>
      </c>
      <c r="E52" s="10">
        <f>-(77.5+77.5)-((80.5+80.5)*11)</f>
        <v>-1926</v>
      </c>
      <c r="F52" s="10">
        <f>+D52+E52</f>
        <v>4146.46</v>
      </c>
      <c r="G52" s="1029">
        <f>(485.63*12)+(46.79*12)</f>
        <v>6389.0399999999991</v>
      </c>
      <c r="H52" s="676">
        <f>-((83.5*2)*12)</f>
        <v>-2004</v>
      </c>
      <c r="I52" s="676">
        <f t="shared" si="15"/>
        <v>4385.0399999999991</v>
      </c>
      <c r="J52" s="10">
        <f t="shared" si="16"/>
        <v>54.72</v>
      </c>
      <c r="K52" s="10"/>
      <c r="L52" s="10"/>
      <c r="M52" s="10"/>
      <c r="N52" s="788"/>
      <c r="O52" s="788"/>
      <c r="P52" s="10"/>
      <c r="Q52" s="10"/>
      <c r="R52" s="10"/>
    </row>
    <row r="53" spans="1:18">
      <c r="A53" s="35" t="str">
        <f>'WP-2 - Labor Analysis'!A53</f>
        <v>MECHANICS</v>
      </c>
      <c r="B53" s="954"/>
      <c r="C53" s="954"/>
      <c r="D53" s="680">
        <f>SUM(D46:D52)</f>
        <v>41645.950000000004</v>
      </c>
      <c r="E53" s="680">
        <f>SUM(E46:E52)</f>
        <v>-11945.08</v>
      </c>
      <c r="F53" s="680">
        <f>SUM(F46:F52)</f>
        <v>29700.87</v>
      </c>
      <c r="G53" s="1030">
        <f>SUM(G46:G52)</f>
        <v>38439.96</v>
      </c>
      <c r="H53" s="1027">
        <f t="shared" ref="H53:I53" si="17">SUM(H46:H52)</f>
        <v>-10916.880000000001</v>
      </c>
      <c r="I53" s="1027">
        <f t="shared" si="17"/>
        <v>27523.08</v>
      </c>
      <c r="J53" s="680">
        <f>SUM(J46:J52)</f>
        <v>383.04000000000008</v>
      </c>
      <c r="K53" s="10"/>
      <c r="L53" s="10"/>
      <c r="M53" s="10"/>
      <c r="N53" s="788"/>
      <c r="O53" s="788"/>
      <c r="P53" s="10"/>
      <c r="Q53" s="10"/>
      <c r="R53" s="10"/>
    </row>
    <row r="54" spans="1:18">
      <c r="D54" s="10"/>
      <c r="E54" s="10"/>
      <c r="F54" s="10"/>
      <c r="G54" s="1029"/>
      <c r="H54" s="676"/>
      <c r="I54" s="676"/>
      <c r="J54" s="10"/>
      <c r="K54" s="10"/>
      <c r="L54" s="10"/>
      <c r="M54" s="10"/>
      <c r="N54" s="788"/>
      <c r="O54" s="788"/>
      <c r="P54" s="10"/>
      <c r="Q54" s="10"/>
      <c r="R54" s="10"/>
    </row>
    <row r="55" spans="1:18" ht="16.5" thickBot="1">
      <c r="A55" s="19"/>
      <c r="D55" s="12">
        <f>D13+D18+D30+D34+D44+D53</f>
        <v>158359.53</v>
      </c>
      <c r="E55" s="12">
        <f>E13+E18+E30+E34+E44+E53</f>
        <v>-46460.55</v>
      </c>
      <c r="F55" s="12">
        <f>F13+F18+F30+F34+F44+F53</f>
        <v>111898.97999999998</v>
      </c>
      <c r="G55" s="1031">
        <f>G13+G18+G30+G34+G44+G53</f>
        <v>157856.04</v>
      </c>
      <c r="H55" s="12">
        <f t="shared" ref="H55:I55" si="18">H13+H18+H30+H34+H44+H53</f>
        <v>-42006.240000000005</v>
      </c>
      <c r="I55" s="12">
        <f t="shared" si="18"/>
        <v>115849.8</v>
      </c>
      <c r="J55" s="12">
        <f>J13+J18+J30+J34+J44+J53</f>
        <v>1149.1200000000003</v>
      </c>
      <c r="K55" s="10"/>
      <c r="L55" s="10"/>
      <c r="M55" s="10"/>
      <c r="N55" s="788"/>
      <c r="O55" s="788"/>
      <c r="P55" s="10"/>
      <c r="Q55" s="10"/>
      <c r="R55" s="10"/>
    </row>
    <row r="56" spans="1:18" ht="16.5" thickTop="1">
      <c r="D56" s="113"/>
      <c r="E56" s="113"/>
      <c r="F56" s="113"/>
      <c r="G56" s="113"/>
      <c r="H56" s="113"/>
      <c r="I56" s="113"/>
      <c r="J56" s="10"/>
      <c r="K56" s="10"/>
      <c r="L56" s="10"/>
      <c r="M56" s="10"/>
      <c r="N56" s="788"/>
      <c r="O56" s="788"/>
      <c r="P56" s="10"/>
      <c r="Q56" s="10"/>
      <c r="R56" s="10"/>
    </row>
    <row r="57" spans="1:18">
      <c r="A57" s="770"/>
      <c r="B57" s="770"/>
      <c r="C57" s="770"/>
      <c r="G57" s="714" t="s">
        <v>993</v>
      </c>
      <c r="H57" s="714"/>
      <c r="I57" s="714"/>
      <c r="J57" s="703"/>
      <c r="M57" s="703"/>
    </row>
    <row r="58" spans="1:18">
      <c r="A58" s="770"/>
      <c r="B58" s="770"/>
      <c r="C58" s="770"/>
      <c r="G58" s="703">
        <v>114718.97</v>
      </c>
      <c r="H58" s="703" t="s">
        <v>1182</v>
      </c>
      <c r="L58" s="684"/>
      <c r="M58" s="684"/>
      <c r="N58" s="7"/>
      <c r="O58" s="7"/>
    </row>
    <row r="59" spans="1:18">
      <c r="G59" s="993">
        <f>+F55</f>
        <v>111898.97999999998</v>
      </c>
      <c r="H59" s="703" t="s">
        <v>1181</v>
      </c>
      <c r="L59" s="684"/>
      <c r="M59" s="684"/>
      <c r="N59" s="7"/>
      <c r="O59" s="7"/>
    </row>
    <row r="60" spans="1:18">
      <c r="G60" s="703">
        <f>+G58-G59</f>
        <v>2819.9900000000198</v>
      </c>
      <c r="H60" s="703" t="s">
        <v>994</v>
      </c>
      <c r="L60" s="684"/>
      <c r="M60" s="684"/>
      <c r="N60" s="7"/>
      <c r="O60" s="7"/>
    </row>
    <row r="61" spans="1:18">
      <c r="G61" s="993">
        <v>939.2</v>
      </c>
      <c r="H61" s="703" t="s">
        <v>1172</v>
      </c>
      <c r="L61" s="684"/>
      <c r="M61" s="684"/>
      <c r="N61" s="7"/>
      <c r="O61" s="7"/>
    </row>
    <row r="62" spans="1:18">
      <c r="G62" s="703">
        <f>+G60-G61</f>
        <v>1880.7900000000197</v>
      </c>
      <c r="H62" s="703" t="s">
        <v>994</v>
      </c>
      <c r="L62" s="684"/>
      <c r="M62" s="684"/>
      <c r="N62" s="7"/>
      <c r="O62" s="7"/>
    </row>
  </sheetData>
  <mergeCells count="9">
    <mergeCell ref="D8:F8"/>
    <mergeCell ref="D9:F9"/>
    <mergeCell ref="A1:K1"/>
    <mergeCell ref="A3:K3"/>
    <mergeCell ref="A5:K5"/>
    <mergeCell ref="G8:I8"/>
    <mergeCell ref="G9:I9"/>
    <mergeCell ref="G7:I7"/>
    <mergeCell ref="D7:F7"/>
  </mergeCells>
  <printOptions horizontalCentered="1"/>
  <pageMargins left="0.5" right="0.5" top="0.75" bottom="0.5" header="0" footer="0.25"/>
  <pageSetup scale="49" orientation="portrait" horizontalDpi="300" verticalDpi="300" r:id="rId1"/>
  <headerFooter alignWithMargins="0"/>
  <ignoredErrors>
    <ignoredError sqref="G51" formula="1"/>
  </ignoredError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N50"/>
  <sheetViews>
    <sheetView zoomScaleNormal="100" workbookViewId="0">
      <selection sqref="A1:N1"/>
    </sheetView>
  </sheetViews>
  <sheetFormatPr defaultRowHeight="15.75"/>
  <cols>
    <col min="1" max="1" width="8.33203125" style="15" customWidth="1"/>
    <col min="2" max="2" width="1.77734375" style="15" customWidth="1"/>
    <col min="3" max="3" width="17.33203125" style="15" customWidth="1"/>
    <col min="4" max="4" width="22.21875" style="15" customWidth="1"/>
    <col min="5" max="5" width="9.33203125" style="15" customWidth="1"/>
    <col min="6" max="6" width="4.88671875" style="15" customWidth="1"/>
    <col min="7" max="7" width="10.77734375" style="15" customWidth="1"/>
    <col min="8" max="8" width="1.77734375" style="253" customWidth="1"/>
    <col min="9" max="9" width="10.77734375" style="15" customWidth="1"/>
    <col min="10" max="10" width="1.77734375" style="253" customWidth="1"/>
    <col min="11" max="11" width="10.77734375" style="15" customWidth="1"/>
    <col min="12" max="12" width="1.77734375" style="253" customWidth="1"/>
    <col min="13" max="13" width="10.77734375" style="15" customWidth="1"/>
    <col min="14" max="14" width="9.88671875" style="15" customWidth="1"/>
    <col min="15" max="16384" width="8.88671875" style="15"/>
  </cols>
  <sheetData>
    <row r="1" spans="1:14" ht="16.5">
      <c r="A1" s="1332" t="s">
        <v>9</v>
      </c>
      <c r="B1" s="1332"/>
      <c r="C1" s="1332"/>
      <c r="D1" s="1332"/>
      <c r="E1" s="1332"/>
      <c r="F1" s="1332"/>
      <c r="G1" s="1332"/>
      <c r="H1" s="1332"/>
      <c r="I1" s="1332"/>
      <c r="J1" s="1332"/>
      <c r="K1" s="1332"/>
      <c r="L1" s="1332"/>
      <c r="M1" s="1332"/>
      <c r="N1" s="1332"/>
    </row>
    <row r="2" spans="1:14" ht="13.5" customHeight="1">
      <c r="A2" s="28"/>
      <c r="B2" s="28"/>
    </row>
    <row r="3" spans="1:14" ht="16.5">
      <c r="A3" s="1332" t="s">
        <v>1264</v>
      </c>
      <c r="B3" s="1332"/>
      <c r="C3" s="1332"/>
      <c r="D3" s="1332"/>
      <c r="E3" s="1332"/>
      <c r="F3" s="1332"/>
      <c r="G3" s="1332"/>
      <c r="H3" s="1332"/>
      <c r="I3" s="1332"/>
      <c r="J3" s="1332"/>
      <c r="K3" s="1332"/>
      <c r="L3" s="1332"/>
      <c r="M3" s="1332"/>
      <c r="N3" s="1332"/>
    </row>
    <row r="4" spans="1:14">
      <c r="A4" s="119"/>
      <c r="B4" s="119"/>
      <c r="C4" s="119"/>
      <c r="D4" s="119"/>
      <c r="E4" s="119"/>
      <c r="F4" s="119"/>
      <c r="G4" s="119"/>
      <c r="H4" s="279"/>
      <c r="I4" s="119"/>
      <c r="J4" s="279"/>
      <c r="K4" s="119"/>
      <c r="L4" s="279"/>
      <c r="M4" s="119"/>
      <c r="N4" s="119"/>
    </row>
    <row r="5" spans="1:14">
      <c r="A5" s="1319" t="str">
        <f>'WP-2, pg 3 - Benefits Analysis'!$A$5</f>
        <v>In Support of Tariff 19 effective September 7, 2018</v>
      </c>
      <c r="B5" s="1319"/>
      <c r="C5" s="1319"/>
      <c r="D5" s="1319"/>
      <c r="E5" s="1319"/>
      <c r="F5" s="1319"/>
      <c r="G5" s="1319"/>
      <c r="H5" s="1319"/>
      <c r="I5" s="1319"/>
      <c r="J5" s="1319"/>
      <c r="K5" s="1319"/>
      <c r="L5" s="1319"/>
      <c r="M5" s="1319"/>
      <c r="N5" s="1319"/>
    </row>
    <row r="6" spans="1:14">
      <c r="A6" s="28"/>
      <c r="B6" s="28"/>
    </row>
    <row r="7" spans="1:14">
      <c r="A7" s="203" t="s">
        <v>936</v>
      </c>
      <c r="B7" s="203"/>
      <c r="C7" s="99"/>
      <c r="D7" s="99"/>
      <c r="E7" s="99"/>
      <c r="F7" s="99"/>
      <c r="G7" s="99"/>
      <c r="H7" s="280"/>
      <c r="I7" s="99"/>
      <c r="J7" s="280"/>
      <c r="K7" s="100" t="s">
        <v>380</v>
      </c>
      <c r="L7" s="258"/>
      <c r="M7" s="100" t="s">
        <v>7</v>
      </c>
      <c r="N7" s="99"/>
    </row>
    <row r="8" spans="1:14" s="22" customFormat="1">
      <c r="A8" s="261" t="s">
        <v>153</v>
      </c>
      <c r="B8" s="261"/>
      <c r="C8" s="261" t="s">
        <v>165</v>
      </c>
      <c r="D8" s="261" t="s">
        <v>166</v>
      </c>
      <c r="E8" s="261">
        <v>782.1</v>
      </c>
      <c r="F8" s="100"/>
      <c r="G8" s="261" t="s">
        <v>168</v>
      </c>
      <c r="H8" s="281"/>
      <c r="I8" s="261" t="s">
        <v>98</v>
      </c>
      <c r="J8" s="281"/>
      <c r="K8" s="261" t="s">
        <v>381</v>
      </c>
      <c r="L8" s="281"/>
      <c r="M8" s="261" t="s">
        <v>379</v>
      </c>
      <c r="N8" s="100"/>
    </row>
    <row r="9" spans="1:14" ht="15" customHeight="1">
      <c r="A9" s="283">
        <v>42849</v>
      </c>
      <c r="B9" s="102"/>
      <c r="C9" s="99" t="s">
        <v>933</v>
      </c>
      <c r="D9" s="99" t="s">
        <v>938</v>
      </c>
      <c r="E9" s="101">
        <v>125.25</v>
      </c>
      <c r="F9" s="101"/>
      <c r="G9" s="101">
        <v>0</v>
      </c>
      <c r="H9" s="105"/>
      <c r="I9" s="101">
        <f>+E9</f>
        <v>125.25</v>
      </c>
      <c r="J9" s="105"/>
      <c r="K9" s="101">
        <v>0</v>
      </c>
      <c r="L9" s="105"/>
      <c r="M9" s="101">
        <v>0</v>
      </c>
      <c r="N9" s="101">
        <f t="shared" ref="N9:N28" si="0">E9-G9-I9-K9-M9</f>
        <v>0</v>
      </c>
    </row>
    <row r="10" spans="1:14" ht="15" customHeight="1">
      <c r="A10" s="283">
        <v>42849</v>
      </c>
      <c r="B10" s="102"/>
      <c r="C10" s="99" t="s">
        <v>933</v>
      </c>
      <c r="D10" s="99" t="s">
        <v>938</v>
      </c>
      <c r="E10" s="101">
        <v>125.25</v>
      </c>
      <c r="F10" s="101"/>
      <c r="G10" s="101">
        <v>0</v>
      </c>
      <c r="H10" s="105"/>
      <c r="I10" s="101">
        <f>+E10</f>
        <v>125.25</v>
      </c>
      <c r="J10" s="105"/>
      <c r="K10" s="101">
        <v>0</v>
      </c>
      <c r="L10" s="105"/>
      <c r="M10" s="101">
        <v>0</v>
      </c>
      <c r="N10" s="101">
        <f t="shared" si="0"/>
        <v>0</v>
      </c>
    </row>
    <row r="11" spans="1:14" ht="15" customHeight="1">
      <c r="A11" s="283">
        <v>42866</v>
      </c>
      <c r="B11" s="102"/>
      <c r="C11" s="99" t="s">
        <v>622</v>
      </c>
      <c r="D11" s="99" t="s">
        <v>942</v>
      </c>
      <c r="E11" s="101">
        <v>42.75</v>
      </c>
      <c r="F11" s="101"/>
      <c r="G11" s="101">
        <v>0</v>
      </c>
      <c r="H11" s="105"/>
      <c r="I11" s="101">
        <f>+E11</f>
        <v>42.75</v>
      </c>
      <c r="J11" s="105"/>
      <c r="K11" s="101">
        <v>0</v>
      </c>
      <c r="L11" s="105"/>
      <c r="M11" s="101">
        <v>0</v>
      </c>
      <c r="N11" s="101">
        <f t="shared" si="0"/>
        <v>0</v>
      </c>
    </row>
    <row r="12" spans="1:14" ht="15" customHeight="1">
      <c r="A12" s="283">
        <v>42866</v>
      </c>
      <c r="B12" s="102"/>
      <c r="C12" s="99" t="s">
        <v>622</v>
      </c>
      <c r="D12" s="99" t="s">
        <v>937</v>
      </c>
      <c r="E12" s="101">
        <v>788</v>
      </c>
      <c r="F12" s="101"/>
      <c r="G12" s="101">
        <v>0</v>
      </c>
      <c r="H12" s="105"/>
      <c r="I12" s="101">
        <v>0</v>
      </c>
      <c r="J12" s="105"/>
      <c r="K12" s="101">
        <v>0</v>
      </c>
      <c r="L12" s="105"/>
      <c r="M12" s="101">
        <f>+E12</f>
        <v>788</v>
      </c>
      <c r="N12" s="101">
        <f t="shared" si="0"/>
        <v>0</v>
      </c>
    </row>
    <row r="13" spans="1:14" ht="15" customHeight="1">
      <c r="A13" s="283">
        <v>42905</v>
      </c>
      <c r="B13" s="102"/>
      <c r="C13" s="99" t="s">
        <v>622</v>
      </c>
      <c r="D13" s="99" t="s">
        <v>943</v>
      </c>
      <c r="E13" s="101">
        <v>42.75</v>
      </c>
      <c r="F13" s="101"/>
      <c r="G13" s="101">
        <v>0</v>
      </c>
      <c r="H13" s="105"/>
      <c r="I13" s="101">
        <f>+E13</f>
        <v>42.75</v>
      </c>
      <c r="J13" s="105"/>
      <c r="K13" s="101">
        <v>0</v>
      </c>
      <c r="L13" s="105"/>
      <c r="M13" s="101">
        <v>0</v>
      </c>
      <c r="N13" s="101">
        <f t="shared" si="0"/>
        <v>0</v>
      </c>
    </row>
    <row r="14" spans="1:14" ht="15" customHeight="1">
      <c r="A14" s="283">
        <v>42905</v>
      </c>
      <c r="B14" s="102"/>
      <c r="C14" s="99" t="s">
        <v>622</v>
      </c>
      <c r="D14" s="99" t="s">
        <v>906</v>
      </c>
      <c r="E14" s="101">
        <v>866</v>
      </c>
      <c r="F14" s="101"/>
      <c r="G14" s="101">
        <v>0</v>
      </c>
      <c r="H14" s="105"/>
      <c r="I14" s="101">
        <v>0</v>
      </c>
      <c r="J14" s="105"/>
      <c r="K14" s="101">
        <f>+E14</f>
        <v>866</v>
      </c>
      <c r="L14" s="105"/>
      <c r="M14" s="101">
        <v>0</v>
      </c>
      <c r="N14" s="101">
        <f t="shared" si="0"/>
        <v>0</v>
      </c>
    </row>
    <row r="15" spans="1:14" ht="15" customHeight="1">
      <c r="A15" s="283">
        <v>42954</v>
      </c>
      <c r="B15" s="102"/>
      <c r="C15" s="99" t="s">
        <v>622</v>
      </c>
      <c r="D15" s="99" t="s">
        <v>626</v>
      </c>
      <c r="E15" s="101">
        <v>68.75</v>
      </c>
      <c r="F15" s="101"/>
      <c r="G15" s="101">
        <v>0</v>
      </c>
      <c r="H15" s="105"/>
      <c r="I15" s="101">
        <f>+E15</f>
        <v>68.75</v>
      </c>
      <c r="J15" s="105"/>
      <c r="K15" s="101">
        <v>0</v>
      </c>
      <c r="L15" s="105"/>
      <c r="M15" s="101">
        <v>0</v>
      </c>
      <c r="N15" s="101">
        <f t="shared" si="0"/>
        <v>0</v>
      </c>
    </row>
    <row r="16" spans="1:14" ht="15" customHeight="1">
      <c r="A16" s="283">
        <v>43012</v>
      </c>
      <c r="B16" s="102"/>
      <c r="C16" s="99" t="s">
        <v>622</v>
      </c>
      <c r="D16" s="99" t="s">
        <v>630</v>
      </c>
      <c r="E16" s="101">
        <v>196</v>
      </c>
      <c r="F16" s="101"/>
      <c r="G16" s="101">
        <v>0</v>
      </c>
      <c r="H16" s="105"/>
      <c r="I16" s="101">
        <v>0</v>
      </c>
      <c r="J16" s="105"/>
      <c r="K16" s="101">
        <f t="shared" ref="K16:K21" si="1">+E16</f>
        <v>196</v>
      </c>
      <c r="L16" s="105"/>
      <c r="M16" s="101">
        <v>0</v>
      </c>
      <c r="N16" s="101">
        <f t="shared" si="0"/>
        <v>0</v>
      </c>
    </row>
    <row r="17" spans="1:14" ht="15" customHeight="1">
      <c r="A17" s="283">
        <v>43012</v>
      </c>
      <c r="B17" s="102"/>
      <c r="C17" s="99" t="s">
        <v>622</v>
      </c>
      <c r="D17" s="99" t="s">
        <v>630</v>
      </c>
      <c r="E17" s="101">
        <v>-196</v>
      </c>
      <c r="F17" s="101"/>
      <c r="G17" s="101">
        <v>0</v>
      </c>
      <c r="H17" s="105"/>
      <c r="I17" s="101">
        <v>0</v>
      </c>
      <c r="J17" s="105"/>
      <c r="K17" s="101">
        <f t="shared" si="1"/>
        <v>-196</v>
      </c>
      <c r="L17" s="105"/>
      <c r="M17" s="101">
        <v>0</v>
      </c>
      <c r="N17" s="101">
        <f t="shared" si="0"/>
        <v>0</v>
      </c>
    </row>
    <row r="18" spans="1:14" ht="15" customHeight="1">
      <c r="A18" s="283">
        <v>43014</v>
      </c>
      <c r="B18" s="102"/>
      <c r="C18" s="99" t="s">
        <v>622</v>
      </c>
      <c r="D18" s="99" t="s">
        <v>902</v>
      </c>
      <c r="E18" s="101">
        <v>866</v>
      </c>
      <c r="F18" s="101"/>
      <c r="G18" s="101">
        <v>0</v>
      </c>
      <c r="H18" s="105"/>
      <c r="I18" s="101">
        <v>0</v>
      </c>
      <c r="J18" s="105"/>
      <c r="K18" s="101">
        <f t="shared" si="1"/>
        <v>866</v>
      </c>
      <c r="L18" s="105"/>
      <c r="M18" s="101">
        <v>0</v>
      </c>
      <c r="N18" s="101">
        <f t="shared" si="0"/>
        <v>0</v>
      </c>
    </row>
    <row r="19" spans="1:14" ht="15" customHeight="1">
      <c r="A19" s="283">
        <v>43014</v>
      </c>
      <c r="B19" s="102"/>
      <c r="C19" s="99" t="s">
        <v>622</v>
      </c>
      <c r="D19" s="99" t="s">
        <v>628</v>
      </c>
      <c r="E19" s="101">
        <v>106</v>
      </c>
      <c r="F19" s="101"/>
      <c r="G19" s="101">
        <v>0</v>
      </c>
      <c r="H19" s="105"/>
      <c r="I19" s="101">
        <v>0</v>
      </c>
      <c r="J19" s="105"/>
      <c r="K19" s="101">
        <f t="shared" si="1"/>
        <v>106</v>
      </c>
      <c r="L19" s="105"/>
      <c r="M19" s="101">
        <v>0</v>
      </c>
      <c r="N19" s="101">
        <f t="shared" si="0"/>
        <v>0</v>
      </c>
    </row>
    <row r="20" spans="1:14" ht="15" customHeight="1">
      <c r="A20" s="283">
        <v>43014</v>
      </c>
      <c r="B20" s="102"/>
      <c r="C20" s="99" t="s">
        <v>622</v>
      </c>
      <c r="D20" s="99" t="s">
        <v>939</v>
      </c>
      <c r="E20" s="101">
        <v>866</v>
      </c>
      <c r="F20" s="101"/>
      <c r="G20" s="101">
        <v>0</v>
      </c>
      <c r="H20" s="105"/>
      <c r="I20" s="101">
        <v>0</v>
      </c>
      <c r="J20" s="105"/>
      <c r="K20" s="101">
        <f t="shared" si="1"/>
        <v>866</v>
      </c>
      <c r="L20" s="105"/>
      <c r="M20" s="101">
        <v>0</v>
      </c>
      <c r="N20" s="101">
        <f t="shared" si="0"/>
        <v>0</v>
      </c>
    </row>
    <row r="21" spans="1:14" ht="15" customHeight="1">
      <c r="A21" s="283">
        <v>43014</v>
      </c>
      <c r="B21" s="102"/>
      <c r="C21" s="99" t="s">
        <v>622</v>
      </c>
      <c r="D21" s="99" t="s">
        <v>627</v>
      </c>
      <c r="E21" s="101">
        <v>804</v>
      </c>
      <c r="F21" s="101"/>
      <c r="G21" s="101">
        <v>0</v>
      </c>
      <c r="H21" s="105"/>
      <c r="I21" s="101">
        <v>0</v>
      </c>
      <c r="J21" s="105"/>
      <c r="K21" s="101">
        <f t="shared" si="1"/>
        <v>804</v>
      </c>
      <c r="L21" s="105"/>
      <c r="M21" s="101">
        <v>0</v>
      </c>
      <c r="N21" s="101">
        <f t="shared" si="0"/>
        <v>0</v>
      </c>
    </row>
    <row r="22" spans="1:14" ht="15" customHeight="1">
      <c r="A22" s="283">
        <v>43039</v>
      </c>
      <c r="B22" s="102"/>
      <c r="C22" s="99" t="s">
        <v>940</v>
      </c>
      <c r="D22" s="99" t="s">
        <v>941</v>
      </c>
      <c r="E22" s="101">
        <v>-26.5</v>
      </c>
      <c r="F22" s="101"/>
      <c r="G22" s="101">
        <v>0</v>
      </c>
      <c r="H22" s="105"/>
      <c r="I22" s="101">
        <f>+E22</f>
        <v>-26.5</v>
      </c>
      <c r="J22" s="105"/>
      <c r="K22" s="101">
        <v>0</v>
      </c>
      <c r="L22" s="105"/>
      <c r="M22" s="101">
        <v>0</v>
      </c>
      <c r="N22" s="101">
        <f t="shared" si="0"/>
        <v>0</v>
      </c>
    </row>
    <row r="23" spans="1:14" ht="15" customHeight="1">
      <c r="A23" s="283">
        <v>43041</v>
      </c>
      <c r="B23" s="102"/>
      <c r="C23" s="99" t="s">
        <v>622</v>
      </c>
      <c r="D23" s="99" t="s">
        <v>629</v>
      </c>
      <c r="E23" s="101">
        <v>106</v>
      </c>
      <c r="F23" s="101"/>
      <c r="G23" s="101">
        <v>0</v>
      </c>
      <c r="H23" s="105"/>
      <c r="I23" s="101">
        <v>0</v>
      </c>
      <c r="J23" s="105"/>
      <c r="K23" s="101">
        <f>+E23</f>
        <v>106</v>
      </c>
      <c r="L23" s="105"/>
      <c r="M23" s="101">
        <v>0</v>
      </c>
      <c r="N23" s="101">
        <f t="shared" si="0"/>
        <v>0</v>
      </c>
    </row>
    <row r="24" spans="1:14" ht="15" customHeight="1">
      <c r="A24" s="283">
        <v>43069</v>
      </c>
      <c r="B24" s="102"/>
      <c r="C24" s="99" t="s">
        <v>940</v>
      </c>
      <c r="D24" s="99" t="s">
        <v>941</v>
      </c>
      <c r="E24" s="101">
        <v>-2000</v>
      </c>
      <c r="F24" s="101"/>
      <c r="G24" s="101">
        <v>0</v>
      </c>
      <c r="H24" s="105"/>
      <c r="I24" s="101">
        <f>+E24</f>
        <v>-2000</v>
      </c>
      <c r="J24" s="105"/>
      <c r="K24" s="101">
        <v>0</v>
      </c>
      <c r="L24" s="105"/>
      <c r="M24" s="101">
        <v>0</v>
      </c>
      <c r="N24" s="101">
        <f t="shared" si="0"/>
        <v>0</v>
      </c>
    </row>
    <row r="25" spans="1:14" ht="15" customHeight="1">
      <c r="A25" s="283">
        <v>43069</v>
      </c>
      <c r="B25" s="102"/>
      <c r="C25" s="99" t="s">
        <v>940</v>
      </c>
      <c r="D25" s="99" t="s">
        <v>941</v>
      </c>
      <c r="E25" s="101">
        <v>-36</v>
      </c>
      <c r="F25" s="101"/>
      <c r="G25" s="101">
        <v>0</v>
      </c>
      <c r="H25" s="105"/>
      <c r="I25" s="101">
        <f>+E25</f>
        <v>-36</v>
      </c>
      <c r="J25" s="105"/>
      <c r="K25" s="101">
        <v>0</v>
      </c>
      <c r="L25" s="105"/>
      <c r="M25" s="101">
        <v>0</v>
      </c>
      <c r="N25" s="101">
        <f t="shared" si="0"/>
        <v>0</v>
      </c>
    </row>
    <row r="26" spans="1:14" ht="15" customHeight="1">
      <c r="A26" s="283">
        <v>43073</v>
      </c>
      <c r="B26" s="102"/>
      <c r="C26" s="99" t="s">
        <v>622</v>
      </c>
      <c r="D26" s="99" t="s">
        <v>631</v>
      </c>
      <c r="E26" s="101">
        <v>866</v>
      </c>
      <c r="F26" s="101"/>
      <c r="G26" s="101">
        <v>0</v>
      </c>
      <c r="H26" s="105"/>
      <c r="I26" s="101">
        <v>0</v>
      </c>
      <c r="J26" s="105"/>
      <c r="K26" s="101">
        <f>+E26</f>
        <v>866</v>
      </c>
      <c r="L26" s="105"/>
      <c r="M26" s="101">
        <v>0</v>
      </c>
      <c r="N26" s="101">
        <f t="shared" si="0"/>
        <v>0</v>
      </c>
    </row>
    <row r="27" spans="1:14" ht="15" customHeight="1">
      <c r="A27" s="283">
        <v>43073</v>
      </c>
      <c r="B27" s="102"/>
      <c r="C27" s="99" t="s">
        <v>622</v>
      </c>
      <c r="D27" s="99" t="s">
        <v>630</v>
      </c>
      <c r="E27" s="101">
        <v>139</v>
      </c>
      <c r="F27" s="101"/>
      <c r="G27" s="101">
        <v>0</v>
      </c>
      <c r="H27" s="105"/>
      <c r="I27" s="101">
        <v>0</v>
      </c>
      <c r="J27" s="105"/>
      <c r="K27" s="101">
        <f>+E27</f>
        <v>139</v>
      </c>
      <c r="L27" s="105"/>
      <c r="M27" s="101">
        <v>0</v>
      </c>
      <c r="N27" s="101">
        <f t="shared" si="0"/>
        <v>0</v>
      </c>
    </row>
    <row r="28" spans="1:14" ht="15" customHeight="1">
      <c r="A28" s="283">
        <v>43116</v>
      </c>
      <c r="B28" s="102"/>
      <c r="C28" s="99" t="s">
        <v>935</v>
      </c>
      <c r="D28" s="99" t="s">
        <v>632</v>
      </c>
      <c r="E28" s="101">
        <v>121</v>
      </c>
      <c r="F28" s="101"/>
      <c r="G28" s="101">
        <v>0</v>
      </c>
      <c r="H28" s="105"/>
      <c r="I28" s="101">
        <v>0</v>
      </c>
      <c r="J28" s="105"/>
      <c r="K28" s="101">
        <v>0</v>
      </c>
      <c r="L28" s="105"/>
      <c r="M28" s="101">
        <f>+E28</f>
        <v>121</v>
      </c>
      <c r="N28" s="101">
        <f t="shared" si="0"/>
        <v>0</v>
      </c>
    </row>
    <row r="29" spans="1:14" ht="15" customHeight="1">
      <c r="A29" s="283">
        <v>43116</v>
      </c>
      <c r="B29" s="102"/>
      <c r="C29" s="99" t="s">
        <v>935</v>
      </c>
      <c r="D29" s="99" t="s">
        <v>632</v>
      </c>
      <c r="E29" s="105">
        <v>850</v>
      </c>
      <c r="F29" s="101"/>
      <c r="G29" s="105">
        <v>0</v>
      </c>
      <c r="H29" s="105"/>
      <c r="I29" s="105">
        <v>0</v>
      </c>
      <c r="J29" s="105"/>
      <c r="K29" s="105">
        <v>0</v>
      </c>
      <c r="L29" s="105"/>
      <c r="M29" s="105">
        <f>+E29</f>
        <v>850</v>
      </c>
      <c r="N29" s="101">
        <f>E29-G29-I29-K29-M29</f>
        <v>0</v>
      </c>
    </row>
    <row r="30" spans="1:14" ht="15" customHeight="1">
      <c r="A30" s="283">
        <v>43157</v>
      </c>
      <c r="B30" s="102"/>
      <c r="C30" s="99" t="s">
        <v>934</v>
      </c>
      <c r="D30" s="99" t="s">
        <v>633</v>
      </c>
      <c r="E30" s="251">
        <v>850</v>
      </c>
      <c r="F30" s="101"/>
      <c r="G30" s="251">
        <v>0</v>
      </c>
      <c r="H30" s="105"/>
      <c r="I30" s="251">
        <v>0</v>
      </c>
      <c r="J30" s="105"/>
      <c r="K30" s="251">
        <f>+E30</f>
        <v>850</v>
      </c>
      <c r="L30" s="105"/>
      <c r="M30" s="251">
        <v>0</v>
      </c>
      <c r="N30" s="101">
        <f>E30-G30-I30-K30-M30</f>
        <v>0</v>
      </c>
    </row>
    <row r="31" spans="1:14" ht="15" customHeight="1">
      <c r="A31" s="99"/>
      <c r="B31" s="99"/>
      <c r="C31" s="99"/>
      <c r="D31" s="99"/>
      <c r="E31" s="101"/>
      <c r="F31" s="101"/>
      <c r="G31" s="101"/>
      <c r="H31" s="105"/>
      <c r="I31" s="101"/>
      <c r="J31" s="105"/>
      <c r="K31" s="101"/>
      <c r="L31" s="105"/>
      <c r="M31" s="101"/>
      <c r="N31" s="101"/>
    </row>
    <row r="32" spans="1:14" ht="15" customHeight="1">
      <c r="A32" s="99"/>
      <c r="B32" s="99"/>
      <c r="C32" s="99"/>
      <c r="D32" s="204" t="s">
        <v>0</v>
      </c>
      <c r="E32" s="101">
        <f>SUM(E9:E31)</f>
        <v>5570.25</v>
      </c>
      <c r="F32" s="101"/>
      <c r="G32" s="101"/>
      <c r="H32" s="105"/>
      <c r="I32" s="101"/>
      <c r="J32" s="105"/>
      <c r="K32" s="101"/>
      <c r="L32" s="105"/>
      <c r="M32" s="101"/>
      <c r="N32" s="101"/>
    </row>
    <row r="33" spans="1:14" ht="15" customHeight="1">
      <c r="A33" s="99"/>
      <c r="B33" s="99"/>
      <c r="C33" s="99"/>
      <c r="D33" s="99" t="s">
        <v>167</v>
      </c>
      <c r="E33" s="103">
        <f>-(G35)</f>
        <v>0</v>
      </c>
      <c r="F33" s="205"/>
      <c r="G33" s="101"/>
      <c r="H33" s="105"/>
      <c r="I33" s="101"/>
      <c r="J33" s="105"/>
      <c r="K33" s="101"/>
      <c r="L33" s="105"/>
      <c r="M33" s="101"/>
      <c r="N33" s="101"/>
    </row>
    <row r="34" spans="1:14" ht="15" customHeight="1">
      <c r="A34" s="99"/>
      <c r="B34" s="99"/>
      <c r="C34" s="99"/>
      <c r="D34" s="99"/>
      <c r="E34" s="101"/>
      <c r="F34" s="101"/>
      <c r="G34" s="101"/>
      <c r="H34" s="105"/>
      <c r="I34" s="101"/>
      <c r="J34" s="105"/>
      <c r="K34" s="101"/>
      <c r="L34" s="105"/>
      <c r="M34" s="101"/>
      <c r="N34" s="101"/>
    </row>
    <row r="35" spans="1:14" ht="15" customHeight="1" thickBot="1">
      <c r="A35" s="99"/>
      <c r="B35" s="99"/>
      <c r="C35" s="99"/>
      <c r="D35" s="99"/>
      <c r="E35" s="252">
        <f>SUM(E32:E34)</f>
        <v>5570.25</v>
      </c>
      <c r="F35" s="101"/>
      <c r="G35" s="252">
        <f>SUM(G8:G34)</f>
        <v>0</v>
      </c>
      <c r="H35" s="282"/>
      <c r="I35" s="252">
        <f>SUM(I8:I34)</f>
        <v>-1657.75</v>
      </c>
      <c r="J35" s="282"/>
      <c r="K35" s="252">
        <f>SUM(K8:K34)</f>
        <v>5469</v>
      </c>
      <c r="L35" s="282"/>
      <c r="M35" s="252">
        <f>SUM(M8:M34)</f>
        <v>1759</v>
      </c>
      <c r="N35" s="101">
        <f>SUM(G35:M35)</f>
        <v>5570.25</v>
      </c>
    </row>
    <row r="36" spans="1:14" ht="15" customHeight="1" thickTop="1"/>
    <row r="37" spans="1:14" ht="15" customHeight="1">
      <c r="A37" s="15" t="s">
        <v>169</v>
      </c>
      <c r="G37" s="771" t="s">
        <v>1003</v>
      </c>
    </row>
    <row r="38" spans="1:14">
      <c r="A38" s="15">
        <v>1</v>
      </c>
      <c r="C38" s="15" t="s">
        <v>623</v>
      </c>
    </row>
    <row r="39" spans="1:14">
      <c r="A39" s="15">
        <v>4</v>
      </c>
      <c r="C39" s="15" t="s">
        <v>624</v>
      </c>
    </row>
    <row r="40" spans="1:14">
      <c r="A40" s="15">
        <v>7</v>
      </c>
      <c r="C40" s="15" t="s">
        <v>624</v>
      </c>
    </row>
    <row r="41" spans="1:14">
      <c r="A41" s="15">
        <v>8</v>
      </c>
      <c r="C41" s="15" t="s">
        <v>623</v>
      </c>
    </row>
    <row r="42" spans="1:14">
      <c r="A42" s="15">
        <v>9</v>
      </c>
      <c r="C42" s="15" t="s">
        <v>625</v>
      </c>
    </row>
    <row r="43" spans="1:14">
      <c r="A43" s="15">
        <v>10</v>
      </c>
      <c r="C43" s="15" t="s">
        <v>624</v>
      </c>
    </row>
    <row r="44" spans="1:14">
      <c r="A44" s="15">
        <v>13</v>
      </c>
      <c r="C44" s="15" t="s">
        <v>623</v>
      </c>
    </row>
    <row r="45" spans="1:14">
      <c r="A45" s="15">
        <v>15</v>
      </c>
      <c r="C45" s="15" t="s">
        <v>624</v>
      </c>
    </row>
    <row r="46" spans="1:14">
      <c r="A46" s="15">
        <v>24</v>
      </c>
      <c r="C46" s="15" t="s">
        <v>624</v>
      </c>
    </row>
    <row r="47" spans="1:14">
      <c r="A47" s="15">
        <v>27</v>
      </c>
      <c r="C47" s="15" t="s">
        <v>625</v>
      </c>
    </row>
    <row r="48" spans="1:14">
      <c r="A48" s="15">
        <v>39</v>
      </c>
      <c r="C48" s="15" t="s">
        <v>623</v>
      </c>
    </row>
    <row r="49" spans="1:3">
      <c r="A49" s="15">
        <v>41</v>
      </c>
      <c r="C49" s="15" t="s">
        <v>623</v>
      </c>
    </row>
    <row r="50" spans="1:3">
      <c r="A50" s="15">
        <v>55</v>
      </c>
      <c r="C50" s="15" t="s">
        <v>623</v>
      </c>
    </row>
  </sheetData>
  <mergeCells count="3">
    <mergeCell ref="A1:N1"/>
    <mergeCell ref="A3:N3"/>
    <mergeCell ref="A5:N5"/>
  </mergeCells>
  <printOptions horizontalCentered="1"/>
  <pageMargins left="0.5" right="0.5" top="0.75" bottom="0.5" header="0" footer="0.25"/>
  <pageSetup scale="87" fitToHeight="2"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K51"/>
  <sheetViews>
    <sheetView zoomScaleNormal="100" workbookViewId="0">
      <selection sqref="A1:I1"/>
    </sheetView>
  </sheetViews>
  <sheetFormatPr defaultColWidth="10.77734375" defaultRowHeight="15.75"/>
  <cols>
    <col min="1" max="1" width="21.77734375" style="15" customWidth="1"/>
    <col min="2" max="2" width="8" style="15" customWidth="1"/>
    <col min="3" max="3" width="10.44140625" style="15" customWidth="1"/>
    <col min="4" max="4" width="2.77734375" style="253" customWidth="1"/>
    <col min="5" max="5" width="10.44140625" style="15" customWidth="1"/>
    <col min="6" max="6" width="2.77734375" style="253" customWidth="1"/>
    <col min="7" max="7" width="10.44140625" style="15" customWidth="1"/>
    <col min="8" max="8" width="2.77734375" style="253" customWidth="1"/>
    <col min="9" max="9" width="10.44140625" style="15" customWidth="1"/>
    <col min="10" max="16384" width="10.77734375" style="15"/>
  </cols>
  <sheetData>
    <row r="1" spans="1:9" ht="16.5" customHeight="1">
      <c r="A1" s="1333" t="str">
        <f>+'WP-3 - Vehicle License'!A1:N1</f>
        <v>WASTE CONTROL, INC.</v>
      </c>
      <c r="B1" s="1333"/>
      <c r="C1" s="1333"/>
      <c r="D1" s="1333"/>
      <c r="E1" s="1333"/>
      <c r="F1" s="1333"/>
      <c r="G1" s="1333"/>
      <c r="H1" s="1333"/>
      <c r="I1" s="1333"/>
    </row>
    <row r="2" spans="1:9" ht="13.5" customHeight="1">
      <c r="A2" s="31"/>
      <c r="B2" s="31"/>
      <c r="I2" s="16"/>
    </row>
    <row r="3" spans="1:9" ht="16.5" customHeight="1">
      <c r="A3" s="1333" t="s">
        <v>1004</v>
      </c>
      <c r="B3" s="1333"/>
      <c r="C3" s="1333"/>
      <c r="D3" s="1333"/>
      <c r="E3" s="1333"/>
      <c r="F3" s="1333"/>
      <c r="G3" s="1333"/>
      <c r="H3" s="1333"/>
      <c r="I3" s="1333"/>
    </row>
    <row r="4" spans="1:9">
      <c r="A4" s="54"/>
      <c r="B4" s="54"/>
      <c r="C4" s="54"/>
      <c r="D4" s="254"/>
      <c r="E4" s="54"/>
      <c r="F4" s="254"/>
      <c r="G4" s="54"/>
      <c r="H4" s="254"/>
      <c r="I4" s="54"/>
    </row>
    <row r="5" spans="1:9">
      <c r="A5" s="1333" t="str">
        <f>'WP-3 - Vehicle License'!$A$5</f>
        <v>In Support of Tariff 19 effective September 7, 2018</v>
      </c>
      <c r="B5" s="1333"/>
      <c r="C5" s="1333"/>
      <c r="D5" s="1333"/>
      <c r="E5" s="1333"/>
      <c r="F5" s="1333"/>
      <c r="G5" s="1333"/>
      <c r="H5" s="1333"/>
      <c r="I5" s="1333"/>
    </row>
    <row r="6" spans="1:9">
      <c r="A6" s="28"/>
      <c r="B6" s="28"/>
      <c r="I6" s="16"/>
    </row>
    <row r="7" spans="1:9">
      <c r="A7" s="28" t="s">
        <v>964</v>
      </c>
      <c r="B7" s="28"/>
      <c r="G7" s="100"/>
      <c r="I7" s="16"/>
    </row>
    <row r="8" spans="1:9" ht="15" customHeight="1">
      <c r="A8" s="28"/>
      <c r="B8" s="28"/>
      <c r="C8" s="100" t="s">
        <v>382</v>
      </c>
      <c r="D8" s="258"/>
      <c r="E8" s="203"/>
      <c r="F8" s="259"/>
      <c r="G8" s="100"/>
      <c r="H8" s="258"/>
      <c r="I8" s="205"/>
    </row>
    <row r="9" spans="1:9" ht="15" customHeight="1">
      <c r="C9" s="100" t="s">
        <v>383</v>
      </c>
      <c r="D9" s="258"/>
      <c r="E9" s="100" t="s">
        <v>161</v>
      </c>
      <c r="F9" s="258"/>
      <c r="G9" s="258"/>
      <c r="H9" s="205"/>
    </row>
    <row r="10" spans="1:9" ht="15" customHeight="1">
      <c r="C10" s="261" t="s">
        <v>162</v>
      </c>
      <c r="D10" s="258"/>
      <c r="E10" s="261" t="s">
        <v>163</v>
      </c>
      <c r="F10" s="258"/>
      <c r="G10" s="260" t="s">
        <v>0</v>
      </c>
      <c r="H10" s="260"/>
    </row>
    <row r="11" spans="1:9" ht="15" customHeight="1">
      <c r="C11" s="261"/>
      <c r="D11" s="258"/>
      <c r="E11" s="261"/>
      <c r="F11" s="258"/>
      <c r="G11" s="258"/>
      <c r="H11" s="260"/>
    </row>
    <row r="12" spans="1:9" ht="15" customHeight="1">
      <c r="A12" s="206" t="s">
        <v>143</v>
      </c>
      <c r="B12" s="206"/>
      <c r="C12" s="262">
        <v>1070</v>
      </c>
      <c r="D12" s="255"/>
      <c r="E12" s="262">
        <v>350</v>
      </c>
      <c r="F12" s="255"/>
      <c r="G12" s="262">
        <f t="shared" ref="G12:G23" si="0">SUM(C12:F12)</f>
        <v>1420</v>
      </c>
    </row>
    <row r="13" spans="1:9" ht="15" customHeight="1">
      <c r="A13" s="206" t="s">
        <v>144</v>
      </c>
      <c r="B13" s="206"/>
      <c r="C13" s="23">
        <v>1070</v>
      </c>
      <c r="D13" s="255"/>
      <c r="E13" s="23">
        <v>350</v>
      </c>
      <c r="F13" s="255"/>
      <c r="G13" s="23">
        <f t="shared" si="0"/>
        <v>1420</v>
      </c>
    </row>
    <row r="14" spans="1:9" ht="15" customHeight="1">
      <c r="A14" s="206" t="s">
        <v>145</v>
      </c>
      <c r="B14" s="206"/>
      <c r="C14" s="23">
        <v>1070</v>
      </c>
      <c r="D14" s="255"/>
      <c r="E14" s="23">
        <v>350</v>
      </c>
      <c r="F14" s="255"/>
      <c r="G14" s="23">
        <f t="shared" si="0"/>
        <v>1420</v>
      </c>
    </row>
    <row r="15" spans="1:9" ht="15" customHeight="1">
      <c r="A15" s="206" t="s">
        <v>146</v>
      </c>
      <c r="B15" s="206"/>
      <c r="C15" s="23">
        <v>1070</v>
      </c>
      <c r="D15" s="255"/>
      <c r="E15" s="23">
        <v>350</v>
      </c>
      <c r="F15" s="255"/>
      <c r="G15" s="23">
        <f t="shared" si="0"/>
        <v>1420</v>
      </c>
    </row>
    <row r="16" spans="1:9" ht="15" customHeight="1">
      <c r="A16" s="206" t="s">
        <v>147</v>
      </c>
      <c r="B16" s="206"/>
      <c r="C16" s="23">
        <v>1070</v>
      </c>
      <c r="D16" s="255"/>
      <c r="E16" s="23">
        <v>350</v>
      </c>
      <c r="F16" s="255"/>
      <c r="G16" s="23">
        <f t="shared" si="0"/>
        <v>1420</v>
      </c>
    </row>
    <row r="17" spans="1:11" ht="15" customHeight="1">
      <c r="A17" s="206" t="s">
        <v>139</v>
      </c>
      <c r="B17" s="206"/>
      <c r="C17" s="23">
        <v>1070</v>
      </c>
      <c r="D17" s="255"/>
      <c r="E17" s="23">
        <v>350</v>
      </c>
      <c r="F17" s="255"/>
      <c r="G17" s="23">
        <f t="shared" si="0"/>
        <v>1420</v>
      </c>
    </row>
    <row r="18" spans="1:11" ht="15" customHeight="1">
      <c r="A18" s="206" t="s">
        <v>138</v>
      </c>
      <c r="B18" s="206"/>
      <c r="C18" s="23">
        <v>1070</v>
      </c>
      <c r="D18" s="255"/>
      <c r="E18" s="23">
        <v>350</v>
      </c>
      <c r="F18" s="255"/>
      <c r="G18" s="23">
        <f t="shared" si="0"/>
        <v>1420</v>
      </c>
    </row>
    <row r="19" spans="1:11" ht="15" customHeight="1">
      <c r="A19" s="206" t="s">
        <v>137</v>
      </c>
      <c r="B19" s="206"/>
      <c r="C19" s="23">
        <v>1070</v>
      </c>
      <c r="D19" s="255"/>
      <c r="E19" s="23">
        <v>350</v>
      </c>
      <c r="F19" s="255"/>
      <c r="G19" s="23">
        <f t="shared" si="0"/>
        <v>1420</v>
      </c>
    </row>
    <row r="20" spans="1:11" ht="15" customHeight="1">
      <c r="A20" s="206" t="s">
        <v>136</v>
      </c>
      <c r="B20" s="206"/>
      <c r="C20" s="23">
        <v>1070</v>
      </c>
      <c r="D20" s="255"/>
      <c r="E20" s="23">
        <v>350</v>
      </c>
      <c r="F20" s="255"/>
      <c r="G20" s="23">
        <f t="shared" si="0"/>
        <v>1420</v>
      </c>
    </row>
    <row r="21" spans="1:11" ht="15" customHeight="1">
      <c r="A21" s="206" t="s">
        <v>140</v>
      </c>
      <c r="B21" s="206"/>
      <c r="C21" s="23">
        <v>1070</v>
      </c>
      <c r="D21" s="255"/>
      <c r="E21" s="23">
        <v>350</v>
      </c>
      <c r="F21" s="255"/>
      <c r="G21" s="23">
        <f t="shared" si="0"/>
        <v>1420</v>
      </c>
    </row>
    <row r="22" spans="1:11" ht="15" customHeight="1">
      <c r="A22" s="206" t="s">
        <v>141</v>
      </c>
      <c r="B22" s="206"/>
      <c r="C22" s="23">
        <v>1070</v>
      </c>
      <c r="D22" s="255"/>
      <c r="E22" s="23">
        <v>350</v>
      </c>
      <c r="F22" s="255"/>
      <c r="G22" s="23">
        <f t="shared" si="0"/>
        <v>1420</v>
      </c>
    </row>
    <row r="23" spans="1:11" ht="15" customHeight="1">
      <c r="A23" s="206" t="s">
        <v>142</v>
      </c>
      <c r="B23" s="206"/>
      <c r="C23" s="104">
        <v>1070</v>
      </c>
      <c r="D23" s="255"/>
      <c r="E23" s="104">
        <v>350</v>
      </c>
      <c r="F23" s="255"/>
      <c r="G23" s="104">
        <f t="shared" si="0"/>
        <v>1420</v>
      </c>
    </row>
    <row r="24" spans="1:11" ht="15" customHeight="1">
      <c r="C24" s="23"/>
      <c r="D24" s="255"/>
      <c r="E24" s="23"/>
      <c r="F24" s="255"/>
      <c r="G24" s="23"/>
    </row>
    <row r="25" spans="1:11" ht="15" customHeight="1" thickBot="1">
      <c r="C25" s="263">
        <f>SUM(C12:C23)</f>
        <v>12840</v>
      </c>
      <c r="D25" s="256"/>
      <c r="E25" s="263">
        <f>SUM(E12:E23)</f>
        <v>4200</v>
      </c>
      <c r="F25" s="256"/>
      <c r="G25" s="263">
        <f>SUM(G12:G23)</f>
        <v>17040</v>
      </c>
    </row>
    <row r="26" spans="1:11" ht="15" customHeight="1" thickTop="1">
      <c r="C26" s="23"/>
      <c r="D26" s="255"/>
      <c r="E26" s="986">
        <v>-2</v>
      </c>
      <c r="F26" s="257"/>
      <c r="G26" s="257"/>
      <c r="H26" s="23"/>
    </row>
    <row r="27" spans="1:11" ht="15" customHeight="1">
      <c r="A27" s="15" t="s">
        <v>1142</v>
      </c>
      <c r="C27" s="987">
        <f>C25*0.14</f>
        <v>1797.6000000000001</v>
      </c>
      <c r="D27" s="255"/>
      <c r="E27" s="23"/>
      <c r="F27" s="255"/>
      <c r="G27" s="23"/>
      <c r="H27" s="255"/>
      <c r="I27" s="23"/>
    </row>
    <row r="28" spans="1:11" ht="15" customHeight="1">
      <c r="C28" s="986">
        <v>-1</v>
      </c>
      <c r="D28" s="257"/>
      <c r="E28" s="23"/>
      <c r="F28" s="986">
        <v>-1</v>
      </c>
      <c r="G28" s="1334" t="s">
        <v>634</v>
      </c>
      <c r="H28" s="1334"/>
      <c r="I28" s="262">
        <f>-C27</f>
        <v>-1797.6000000000001</v>
      </c>
      <c r="K28" s="16"/>
    </row>
    <row r="29" spans="1:11" ht="15" customHeight="1">
      <c r="C29" s="953"/>
      <c r="D29" s="257"/>
      <c r="E29" s="23"/>
      <c r="F29" s="986">
        <v>-2</v>
      </c>
      <c r="G29" s="1334" t="s">
        <v>164</v>
      </c>
      <c r="H29" s="1334"/>
      <c r="I29" s="23">
        <f>-E25</f>
        <v>-4200</v>
      </c>
    </row>
    <row r="30" spans="1:11" ht="15" customHeight="1">
      <c r="C30" s="23"/>
      <c r="D30" s="255"/>
      <c r="E30" s="23"/>
      <c r="F30" s="255"/>
      <c r="G30" s="988"/>
      <c r="H30" s="989" t="s">
        <v>1143</v>
      </c>
      <c r="I30" s="990">
        <f>SUM(I28:I29)</f>
        <v>-5997.6</v>
      </c>
    </row>
    <row r="31" spans="1:11" ht="15" customHeight="1">
      <c r="C31" s="23"/>
      <c r="D31" s="255"/>
      <c r="E31" s="23"/>
      <c r="F31" s="255"/>
      <c r="G31" s="206"/>
      <c r="H31" s="255"/>
      <c r="I31" s="23"/>
    </row>
    <row r="32" spans="1:11" ht="15" customHeight="1" thickBot="1">
      <c r="H32" s="991" t="s">
        <v>1144</v>
      </c>
      <c r="I32" s="992">
        <f>+I30</f>
        <v>-5997.6</v>
      </c>
    </row>
    <row r="33" ht="15" customHeight="1" thickTop="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sheetData>
  <mergeCells count="5">
    <mergeCell ref="A1:I1"/>
    <mergeCell ref="A3:I3"/>
    <mergeCell ref="A5:I5"/>
    <mergeCell ref="G28:H28"/>
    <mergeCell ref="G29:H29"/>
  </mergeCells>
  <printOptions horizontalCentered="1"/>
  <pageMargins left="0.5" right="0.5" top="0.75" bottom="0.5" header="0" footer="0.25"/>
  <pageSetup orientation="portrait" horizontalDpi="300" verticalDpi="300" r:id="rId1"/>
  <headerFooter alignWithMargins="0">
    <oddFooter xml:space="preserve">&amp;L&amp;9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113"/>
  <sheetViews>
    <sheetView showGridLines="0" showOutlineSymbols="0" zoomScaleNormal="100" workbookViewId="0"/>
  </sheetViews>
  <sheetFormatPr defaultColWidth="13" defaultRowHeight="15"/>
  <cols>
    <col min="1" max="1" width="3.77734375" style="1091" customWidth="1"/>
    <col min="2" max="2" width="26.109375" style="1268" bestFit="1" customWidth="1"/>
    <col min="3" max="3" width="16.5546875" style="1268" customWidth="1"/>
    <col min="4" max="4" width="16.5546875" style="1268" hidden="1" customWidth="1"/>
    <col min="5" max="5" width="5.6640625" style="1268" customWidth="1"/>
    <col min="6" max="6" width="4.44140625" style="1091" customWidth="1"/>
    <col min="7" max="7" width="6.6640625" style="1091" customWidth="1"/>
    <col min="8" max="8" width="11.6640625" style="1091" customWidth="1"/>
    <col min="9" max="9" width="13.77734375" style="1091" customWidth="1"/>
    <col min="10" max="10" width="10.33203125" style="1091" customWidth="1"/>
    <col min="11" max="11" width="11.77734375" style="1091" bestFit="1" customWidth="1"/>
    <col min="12" max="13" width="14.33203125" style="1091" customWidth="1"/>
    <col min="14" max="14" width="4.77734375" style="1091" customWidth="1"/>
    <col min="15" max="15" width="4.88671875" style="1268" customWidth="1"/>
    <col min="16" max="16" width="31.44140625" style="1268" customWidth="1"/>
    <col min="17" max="17" width="13" style="1092"/>
    <col min="18" max="18" width="10.77734375" style="1099" customWidth="1"/>
    <col min="19" max="19" width="13" style="1091"/>
    <col min="20" max="20" width="10.44140625" style="1091" customWidth="1"/>
    <col min="21" max="21" width="12.21875" style="1091" customWidth="1"/>
    <col min="22" max="22" width="13" style="1091"/>
    <col min="23" max="24" width="13.77734375" style="1091" customWidth="1"/>
    <col min="25" max="25" width="12.44140625" style="1091" customWidth="1"/>
    <col min="26" max="26" width="13" style="1091"/>
    <col min="27" max="27" width="12.33203125" style="1091" customWidth="1"/>
    <col min="28" max="29" width="13" style="1091"/>
    <col min="30" max="30" width="12.77734375" style="1091" customWidth="1"/>
    <col min="31" max="31" width="13.44140625" style="1091" customWidth="1"/>
    <col min="32" max="32" width="16.109375" style="1091" customWidth="1"/>
    <col min="33" max="33" width="14.109375" style="1091" customWidth="1"/>
    <col min="34" max="34" width="12.77734375" style="1091" customWidth="1"/>
    <col min="35" max="35" width="13" style="1091"/>
    <col min="36" max="36" width="10.77734375" style="1091" customWidth="1"/>
    <col min="37" max="37" width="12.77734375" style="1091" customWidth="1"/>
    <col min="38" max="49" width="11.77734375" style="1091" customWidth="1"/>
    <col min="50" max="16384" width="13" style="1091"/>
  </cols>
  <sheetData>
    <row r="1" spans="1:35" s="1087" customFormat="1" ht="15.75" thickBot="1">
      <c r="A1" s="1082"/>
      <c r="B1" s="1083"/>
      <c r="C1" s="1083"/>
      <c r="D1" s="1083"/>
      <c r="E1" s="1083"/>
      <c r="F1" s="1083"/>
      <c r="G1" s="1083"/>
      <c r="H1" s="1083"/>
      <c r="I1" s="1084"/>
      <c r="J1" s="1084"/>
      <c r="K1" s="1084"/>
      <c r="L1" s="1084"/>
      <c r="M1" s="1084"/>
      <c r="N1" s="1084"/>
      <c r="O1" s="1083"/>
      <c r="P1" s="1083"/>
      <c r="Q1" s="1085"/>
      <c r="R1" s="1086"/>
    </row>
    <row r="2" spans="1:35" ht="19.5" thickBot="1">
      <c r="A2" s="1082"/>
      <c r="B2" s="1278" t="s">
        <v>1266</v>
      </c>
      <c r="C2" s="1278"/>
      <c r="D2" s="1082"/>
      <c r="E2" s="1082"/>
      <c r="F2" s="1088" t="s">
        <v>1267</v>
      </c>
      <c r="G2" s="1089"/>
      <c r="H2" s="1089"/>
      <c r="I2" s="1090" t="s">
        <v>1268</v>
      </c>
      <c r="J2" s="1089"/>
      <c r="K2" s="1089"/>
      <c r="L2" s="1089"/>
      <c r="M2" s="1088" t="s">
        <v>1267</v>
      </c>
      <c r="O2" s="1082"/>
      <c r="P2" s="1082"/>
      <c r="R2" s="1093" t="s">
        <v>1269</v>
      </c>
      <c r="S2" s="1094"/>
      <c r="T2" s="1095"/>
      <c r="AF2" s="1279" t="s">
        <v>1270</v>
      </c>
      <c r="AG2" s="1280"/>
      <c r="AH2" s="1280"/>
      <c r="AI2" s="1281"/>
    </row>
    <row r="3" spans="1:35" ht="15.75">
      <c r="A3" s="1082"/>
      <c r="B3" s="1082"/>
      <c r="C3" s="1082"/>
      <c r="D3" s="1082"/>
      <c r="E3" s="1082"/>
      <c r="F3" s="1096"/>
      <c r="G3" s="1097"/>
      <c r="K3" s="1098" t="s">
        <v>1271</v>
      </c>
      <c r="M3" s="1098" t="s">
        <v>1272</v>
      </c>
      <c r="O3" s="1082"/>
      <c r="P3" s="1082"/>
      <c r="R3" s="1091"/>
      <c r="T3" s="1091" t="s">
        <v>1273</v>
      </c>
      <c r="V3" s="1099" t="s">
        <v>1273</v>
      </c>
      <c r="W3" s="1099" t="s">
        <v>1273</v>
      </c>
      <c r="X3" s="1099" t="s">
        <v>1273</v>
      </c>
      <c r="Y3" s="1099" t="s">
        <v>1274</v>
      </c>
      <c r="Z3" s="1099" t="s">
        <v>1274</v>
      </c>
      <c r="AA3" s="1099" t="s">
        <v>1274</v>
      </c>
      <c r="AB3" s="1099" t="s">
        <v>1274</v>
      </c>
      <c r="AC3" s="1099" t="s">
        <v>1274</v>
      </c>
      <c r="AD3" s="1099" t="s">
        <v>1274</v>
      </c>
      <c r="AE3" s="1099" t="s">
        <v>1275</v>
      </c>
      <c r="AF3" s="1099" t="s">
        <v>665</v>
      </c>
      <c r="AG3" s="1099" t="s">
        <v>1276</v>
      </c>
      <c r="AH3" s="1099"/>
    </row>
    <row r="4" spans="1:35" ht="19.5" thickBot="1">
      <c r="A4" s="1082"/>
      <c r="B4" s="1100" t="s">
        <v>1277</v>
      </c>
      <c r="C4" s="1101"/>
      <c r="D4" s="1102"/>
      <c r="E4" s="1082"/>
      <c r="F4" s="1103"/>
      <c r="G4" s="1097"/>
      <c r="H4" s="1104" t="s">
        <v>1278</v>
      </c>
      <c r="I4" s="1104" t="s">
        <v>1279</v>
      </c>
      <c r="J4" s="1104" t="s">
        <v>1280</v>
      </c>
      <c r="K4" s="1104" t="s">
        <v>1281</v>
      </c>
      <c r="L4" s="1104" t="s">
        <v>1282</v>
      </c>
      <c r="M4" s="1104" t="s">
        <v>1283</v>
      </c>
      <c r="O4" s="1105"/>
      <c r="P4" s="1082"/>
      <c r="R4" s="1091"/>
      <c r="T4" s="1099" t="s">
        <v>1284</v>
      </c>
      <c r="V4" s="1099" t="s">
        <v>1285</v>
      </c>
      <c r="W4" s="1099" t="s">
        <v>1286</v>
      </c>
      <c r="X4" s="1099" t="s">
        <v>1287</v>
      </c>
      <c r="Y4" s="1099" t="s">
        <v>1288</v>
      </c>
      <c r="Z4" s="1099" t="s">
        <v>1288</v>
      </c>
      <c r="AA4" s="1099" t="s">
        <v>1288</v>
      </c>
      <c r="AB4" s="1099" t="s">
        <v>1286</v>
      </c>
      <c r="AC4" s="1099" t="s">
        <v>1284</v>
      </c>
      <c r="AD4" s="1099" t="s">
        <v>1284</v>
      </c>
      <c r="AE4" s="1099" t="s">
        <v>1289</v>
      </c>
      <c r="AF4" s="1099" t="s">
        <v>1290</v>
      </c>
      <c r="AG4" s="1099" t="s">
        <v>1291</v>
      </c>
      <c r="AH4" s="1099" t="s">
        <v>1292</v>
      </c>
      <c r="AI4" s="1099" t="s">
        <v>1293</v>
      </c>
    </row>
    <row r="5" spans="1:35" ht="15.75">
      <c r="A5" s="1082"/>
      <c r="B5" s="1106" t="s">
        <v>1294</v>
      </c>
      <c r="C5" s="1107">
        <f>Operations!J20</f>
        <v>4397510.1994053833</v>
      </c>
      <c r="D5" s="1102"/>
      <c r="E5" s="1082"/>
      <c r="F5" s="1108" t="s">
        <v>1295</v>
      </c>
      <c r="G5" s="1109"/>
      <c r="H5" s="1109"/>
      <c r="I5" s="1104" t="s">
        <v>1296</v>
      </c>
      <c r="J5" s="1104" t="s">
        <v>665</v>
      </c>
      <c r="K5" s="1110" t="s">
        <v>68</v>
      </c>
      <c r="L5" s="1110" t="s">
        <v>1297</v>
      </c>
      <c r="M5" s="1110" t="s">
        <v>665</v>
      </c>
      <c r="O5" s="1111"/>
      <c r="P5" s="1082"/>
      <c r="R5" s="1112"/>
      <c r="T5" s="1099" t="s">
        <v>1298</v>
      </c>
      <c r="U5" s="1099" t="s">
        <v>1299</v>
      </c>
      <c r="V5" s="1099" t="s">
        <v>1300</v>
      </c>
      <c r="W5" s="1099" t="s">
        <v>1301</v>
      </c>
      <c r="X5" s="1099" t="s">
        <v>1302</v>
      </c>
      <c r="Y5" s="1099" t="s">
        <v>204</v>
      </c>
      <c r="Z5" s="1099" t="s">
        <v>1303</v>
      </c>
      <c r="AA5" s="1099" t="s">
        <v>208</v>
      </c>
      <c r="AB5" s="1099" t="s">
        <v>1304</v>
      </c>
      <c r="AC5" s="1099" t="s">
        <v>1298</v>
      </c>
      <c r="AD5" s="1099" t="s">
        <v>1305</v>
      </c>
      <c r="AE5" s="1099" t="s">
        <v>168</v>
      </c>
      <c r="AF5" s="1099" t="s">
        <v>1306</v>
      </c>
      <c r="AG5" s="1099" t="s">
        <v>1306</v>
      </c>
      <c r="AH5" s="1099" t="s">
        <v>168</v>
      </c>
      <c r="AI5" s="1099" t="s">
        <v>1275</v>
      </c>
    </row>
    <row r="6" spans="1:35" ht="15.75">
      <c r="A6" s="1082"/>
      <c r="B6" s="1106" t="s">
        <v>1307</v>
      </c>
      <c r="C6" s="1113">
        <f>Operations!J98</f>
        <v>4396191.6323893219</v>
      </c>
      <c r="D6" s="1102"/>
      <c r="E6" s="1082"/>
      <c r="F6" s="1114" t="s">
        <v>1308</v>
      </c>
      <c r="G6" s="1109"/>
      <c r="H6" s="1109"/>
      <c r="I6" s="1115"/>
      <c r="J6" s="1116" t="s">
        <v>722</v>
      </c>
      <c r="K6" s="1117"/>
      <c r="L6" s="1116" t="s">
        <v>1309</v>
      </c>
      <c r="M6" s="1116" t="s">
        <v>1310</v>
      </c>
      <c r="O6" s="1111"/>
      <c r="P6" s="1082"/>
      <c r="R6" s="1118">
        <v>1</v>
      </c>
      <c r="S6" s="1119">
        <f>Revenue/Investment*100</f>
        <v>254.91945828689842</v>
      </c>
      <c r="T6" s="1120">
        <f>EXP(y_inter1-(slope*LN(+S6)))</f>
        <v>6.9200315112021578</v>
      </c>
      <c r="U6" s="1121">
        <f>(+S6*T6/100)/100</f>
        <v>0.17640506841639209</v>
      </c>
      <c r="V6" s="1121">
        <f>regDebt_weighted</f>
        <v>3.5860000000000003E-2</v>
      </c>
      <c r="W6" s="1121">
        <f>+U6-V6</f>
        <v>0.14054506841639208</v>
      </c>
      <c r="X6" s="1121">
        <f>+((W6*(1-0.34))-Pfd_weighted)/Equity_percent</f>
        <v>0.25165623591517083</v>
      </c>
      <c r="Y6" s="1121">
        <f>X6*equityP</f>
        <v>0.1509937415491025</v>
      </c>
      <c r="Z6" s="1121">
        <f>+Y6/(1-taxrate)</f>
        <v>0.22204961992515077</v>
      </c>
      <c r="AA6" s="1121">
        <f>debtP*Debt_Rate</f>
        <v>2.0000000000000004E-2</v>
      </c>
      <c r="AB6" s="1121">
        <f>AA6+Z6</f>
        <v>0.24204961992515078</v>
      </c>
      <c r="AC6" s="1121">
        <f>AB6/(S6/100)</f>
        <v>9.4951409967589329E-2</v>
      </c>
      <c r="AD6" s="1121">
        <f>1-AC6</f>
        <v>0.90504859003241067</v>
      </c>
      <c r="AE6" s="1122">
        <f>expenses/(AD6)</f>
        <v>4857409.5145895872</v>
      </c>
      <c r="AF6" s="1123">
        <f>+AE6-Revenue</f>
        <v>459899.31518420391</v>
      </c>
      <c r="AG6" s="1124">
        <f ca="1">+AF6/$J$49</f>
        <v>522351.42063504155</v>
      </c>
      <c r="AH6" s="1124">
        <f ca="1">+AG6*$J$47</f>
        <v>17133.126596829363</v>
      </c>
      <c r="AI6" s="1122">
        <f ca="1">ROUND(+AH6+AE6,5)</f>
        <v>4874542.6411899999</v>
      </c>
    </row>
    <row r="7" spans="1:35" ht="15.75">
      <c r="A7" s="1082"/>
      <c r="B7" s="1106" t="s">
        <v>401</v>
      </c>
      <c r="C7" s="1113">
        <f>'WP-1 - Summary Depr'!R25</f>
        <v>1725058.6632175473</v>
      </c>
      <c r="D7" s="1102"/>
      <c r="E7" s="1082"/>
      <c r="F7" s="1125">
        <v>1</v>
      </c>
      <c r="G7" s="1109"/>
      <c r="H7" s="1126" t="s">
        <v>1294</v>
      </c>
      <c r="I7" s="1127">
        <f>IF(A65=TRUE,C5,0)</f>
        <v>4397510.1994053833</v>
      </c>
      <c r="J7" s="1127">
        <f ca="1">(+$I8/($R51))-I7</f>
        <v>417806.60789101757</v>
      </c>
      <c r="K7" s="1127">
        <f ca="1">+I7+J7</f>
        <v>4815316.8072964009</v>
      </c>
      <c r="L7" s="1127">
        <f ca="1">((+J7/J49*K35)-J7)</f>
        <v>15565.001446287264</v>
      </c>
      <c r="M7" s="1127">
        <f ca="1">IFERROR(+K7+L7,0.00001)</f>
        <v>4830881.808742688</v>
      </c>
      <c r="O7" s="1111"/>
      <c r="P7" s="1082"/>
      <c r="R7" s="1128">
        <v>2</v>
      </c>
      <c r="S7" s="1129">
        <f>Revenue/Investment*100</f>
        <v>254.91945828689842</v>
      </c>
      <c r="T7" s="1130">
        <f>EXP(y_inter1-(slope*LN(+S7)))</f>
        <v>6.9200315112021578</v>
      </c>
      <c r="U7" s="1131">
        <f t="shared" ref="U7:U9" si="0">(+S7*T7/100)/100</f>
        <v>0.17640506841639209</v>
      </c>
      <c r="V7" s="1131">
        <f>regDebt_weighted</f>
        <v>3.5860000000000003E-2</v>
      </c>
      <c r="W7" s="1131">
        <f t="shared" ref="W7:W9" si="1">+U7-V7</f>
        <v>0.14054506841639208</v>
      </c>
      <c r="X7" s="1131">
        <f>+((W7*(1-0.34))-Pfd_weighted)/Equity_percent</f>
        <v>0.25165623591517083</v>
      </c>
      <c r="Y7" s="1131">
        <f>X7*equityP</f>
        <v>0.1509937415491025</v>
      </c>
      <c r="Z7" s="1131">
        <f>+Y7/(1-taxrate)</f>
        <v>0.22204961992515077</v>
      </c>
      <c r="AA7" s="1131">
        <f>debtP*Debt_Rate</f>
        <v>2.0000000000000004E-2</v>
      </c>
      <c r="AB7" s="1131">
        <f t="shared" ref="AB7:AB9" si="2">AA7+Z7</f>
        <v>0.24204961992515078</v>
      </c>
      <c r="AC7" s="1131">
        <f t="shared" ref="AC7:AC9" si="3">AB7/(S7/100)</f>
        <v>9.4951409967589329E-2</v>
      </c>
      <c r="AD7" s="1131">
        <f t="shared" ref="AD7:AD9" si="4">1-AC7</f>
        <v>0.90504859003241067</v>
      </c>
      <c r="AE7" s="1132">
        <f>expenses/(AD7)</f>
        <v>4857409.5145895872</v>
      </c>
      <c r="AF7" s="1133">
        <f>+AE7-Revenue</f>
        <v>459899.31518420391</v>
      </c>
      <c r="AG7" s="1134">
        <f ca="1">+AF7/$J$49</f>
        <v>522351.42063504155</v>
      </c>
      <c r="AH7" s="1134">
        <f ca="1">+AG7*$J$47</f>
        <v>17133.126596829363</v>
      </c>
      <c r="AI7" s="1132">
        <f t="shared" ref="AI7:AI9" ca="1" si="5">ROUND(+AH7+AE7,5)</f>
        <v>4874542.6411899999</v>
      </c>
    </row>
    <row r="8" spans="1:35" ht="15.75">
      <c r="A8" s="1082"/>
      <c r="B8" s="1106" t="s">
        <v>1311</v>
      </c>
      <c r="C8" s="1135">
        <f>'WP-5, pg 2 - Capital'!E41</f>
        <v>0.4</v>
      </c>
      <c r="D8" s="1102"/>
      <c r="E8" s="1082"/>
      <c r="F8" s="1136">
        <f>+F7+1</f>
        <v>2</v>
      </c>
      <c r="G8" s="1109"/>
      <c r="H8" s="1126" t="s">
        <v>1307</v>
      </c>
      <c r="I8" s="1127">
        <f>IF(A65=TRUE,C6,0)</f>
        <v>4396191.6323893219</v>
      </c>
      <c r="J8" s="1097"/>
      <c r="K8" s="1127">
        <f>+I8</f>
        <v>4396191.6323893219</v>
      </c>
      <c r="L8" s="1127">
        <f ca="1">+L7</f>
        <v>15565.001446287264</v>
      </c>
      <c r="M8" s="1127">
        <f ca="1">IFERROR(+K8+L8,0.00001)</f>
        <v>4411756.6338356091</v>
      </c>
      <c r="O8" s="1111"/>
      <c r="P8" s="1082"/>
      <c r="R8" s="1137">
        <v>3</v>
      </c>
      <c r="S8" s="1129">
        <f>Revenue/Investment*100</f>
        <v>254.91945828689842</v>
      </c>
      <c r="T8" s="1130">
        <f>EXP(y_inter1-(slope*LN(+S8)))</f>
        <v>6.9200315112021578</v>
      </c>
      <c r="U8" s="1131">
        <f t="shared" si="0"/>
        <v>0.17640506841639209</v>
      </c>
      <c r="V8" s="1131">
        <f>regDebt_weighted</f>
        <v>3.5860000000000003E-2</v>
      </c>
      <c r="W8" s="1131">
        <f t="shared" si="1"/>
        <v>0.14054506841639208</v>
      </c>
      <c r="X8" s="1131">
        <f>+((W8*(1-0.34))-Pfd_weighted)/Equity_percent</f>
        <v>0.25165623591517083</v>
      </c>
      <c r="Y8" s="1131">
        <f>X8*equityP</f>
        <v>0.1509937415491025</v>
      </c>
      <c r="Z8" s="1131">
        <f>+Y8/(1-taxrate)</f>
        <v>0.22204961992515077</v>
      </c>
      <c r="AA8" s="1131">
        <f>debtP*Debt_Rate</f>
        <v>2.0000000000000004E-2</v>
      </c>
      <c r="AB8" s="1131">
        <f t="shared" si="2"/>
        <v>0.24204961992515078</v>
      </c>
      <c r="AC8" s="1131">
        <f t="shared" si="3"/>
        <v>9.4951409967589329E-2</v>
      </c>
      <c r="AD8" s="1131">
        <f t="shared" si="4"/>
        <v>0.90504859003241067</v>
      </c>
      <c r="AE8" s="1132">
        <f>expenses/(AD8)</f>
        <v>4857409.5145895872</v>
      </c>
      <c r="AF8" s="1133">
        <f>+AE8-Revenue</f>
        <v>459899.31518420391</v>
      </c>
      <c r="AG8" s="1134">
        <f ca="1">+AF8/$J$49</f>
        <v>522351.42063504155</v>
      </c>
      <c r="AH8" s="1134">
        <f ca="1">+AG8*$J$47</f>
        <v>17133.126596829363</v>
      </c>
      <c r="AI8" s="1132">
        <f t="shared" ca="1" si="5"/>
        <v>4874542.6411899999</v>
      </c>
    </row>
    <row r="9" spans="1:35" ht="15.75">
      <c r="A9" s="1082"/>
      <c r="B9" s="1106" t="s">
        <v>1312</v>
      </c>
      <c r="C9" s="1135">
        <v>0.05</v>
      </c>
      <c r="D9" s="1102"/>
      <c r="E9" s="1082"/>
      <c r="F9" s="1136">
        <f t="shared" ref="F9:F49" si="6">+F8+1</f>
        <v>3</v>
      </c>
      <c r="G9" s="1109"/>
      <c r="H9" s="1126" t="s">
        <v>1313</v>
      </c>
      <c r="I9" s="1138">
        <f>+I7-I8</f>
        <v>1318.5670160613954</v>
      </c>
      <c r="J9" s="1097"/>
      <c r="K9" s="1138">
        <f ca="1">+K7-K8</f>
        <v>419125.17490707897</v>
      </c>
      <c r="L9" s="1109"/>
      <c r="M9" s="1139">
        <f ca="1">+M7-M8</f>
        <v>419125.17490707897</v>
      </c>
      <c r="O9" s="1111"/>
      <c r="P9" s="1082"/>
      <c r="R9" s="1140">
        <v>4</v>
      </c>
      <c r="S9" s="1129">
        <f>Revenue/Investment*100</f>
        <v>254.91945828689842</v>
      </c>
      <c r="T9" s="1130">
        <f>EXP(y_inter1-(slope*LN(+S9)))</f>
        <v>6.9200315112021578</v>
      </c>
      <c r="U9" s="1131">
        <f t="shared" si="0"/>
        <v>0.17640506841639209</v>
      </c>
      <c r="V9" s="1131">
        <f>regDebt_weighted</f>
        <v>3.5860000000000003E-2</v>
      </c>
      <c r="W9" s="1131">
        <f t="shared" si="1"/>
        <v>0.14054506841639208</v>
      </c>
      <c r="X9" s="1131">
        <f>+((W9*(1-0.34))-Pfd_weighted)/Equity_percent</f>
        <v>0.25165623591517083</v>
      </c>
      <c r="Y9" s="1131">
        <f>X9*equityP</f>
        <v>0.1509937415491025</v>
      </c>
      <c r="Z9" s="1131">
        <f>+Y9/(1-taxrate)</f>
        <v>0.22204961992515077</v>
      </c>
      <c r="AA9" s="1131">
        <f>debtP*Debt_Rate</f>
        <v>2.0000000000000004E-2</v>
      </c>
      <c r="AB9" s="1131">
        <f t="shared" si="2"/>
        <v>0.24204961992515078</v>
      </c>
      <c r="AC9" s="1131">
        <f t="shared" si="3"/>
        <v>9.4951409967589329E-2</v>
      </c>
      <c r="AD9" s="1131">
        <f t="shared" si="4"/>
        <v>0.90504859003241067</v>
      </c>
      <c r="AE9" s="1132">
        <f>expenses/(AD9)</f>
        <v>4857409.5145895872</v>
      </c>
      <c r="AF9" s="1133">
        <f>+AE9-Revenue</f>
        <v>459899.31518420391</v>
      </c>
      <c r="AG9" s="1134">
        <f ca="1">+AF9/$J$49</f>
        <v>522351.42063504155</v>
      </c>
      <c r="AH9" s="1134">
        <f ca="1">+AG9*$J$47</f>
        <v>17133.126596829363</v>
      </c>
      <c r="AI9" s="1132">
        <f t="shared" ca="1" si="5"/>
        <v>4874542.6411899999</v>
      </c>
    </row>
    <row r="10" spans="1:35" ht="15.75">
      <c r="A10" s="1082"/>
      <c r="B10" s="1141" t="s">
        <v>1314</v>
      </c>
      <c r="C10" s="1135">
        <v>0.32</v>
      </c>
      <c r="D10" s="1102"/>
      <c r="E10" s="1082"/>
      <c r="F10" s="1136">
        <f t="shared" si="6"/>
        <v>4</v>
      </c>
      <c r="G10" s="1109"/>
      <c r="H10" s="1109"/>
      <c r="I10" s="1097"/>
      <c r="J10" s="1097"/>
      <c r="K10" s="1127"/>
      <c r="L10" s="1109"/>
      <c r="M10" s="1109"/>
      <c r="N10" s="1109"/>
      <c r="O10" s="1111"/>
      <c r="P10" s="1082"/>
      <c r="R10" s="1099" t="s">
        <v>1315</v>
      </c>
    </row>
    <row r="11" spans="1:35" ht="15.75">
      <c r="A11" s="1082"/>
      <c r="B11" s="1106" t="s">
        <v>1316</v>
      </c>
      <c r="C11" s="1142">
        <v>1.4999999999999999E-2</v>
      </c>
      <c r="D11" s="1102"/>
      <c r="E11" s="1082"/>
      <c r="F11" s="1136">
        <f t="shared" si="6"/>
        <v>5</v>
      </c>
      <c r="G11" s="1109"/>
      <c r="H11" s="1126" t="s">
        <v>205</v>
      </c>
      <c r="I11" s="1127">
        <f>+K11</f>
        <v>34501.173264350953</v>
      </c>
      <c r="J11" s="1097"/>
      <c r="K11" s="1127">
        <f>+M27</f>
        <v>34501.173264350953</v>
      </c>
      <c r="L11" s="1109"/>
      <c r="M11" s="1127">
        <f>+K11</f>
        <v>34501.173264350953</v>
      </c>
      <c r="O11" s="1111"/>
      <c r="P11" s="1082"/>
      <c r="R11" s="1118">
        <v>1</v>
      </c>
      <c r="S11" s="1119">
        <f ca="1">IF((AI6/Investment*100)&gt;0,(AI6/Investment*100),0)</f>
        <v>282.57257246533828</v>
      </c>
      <c r="T11" s="1120">
        <f ca="1">EXP(y_inter1-(slope*LN(S11)))</f>
        <v>6.4495520408952736</v>
      </c>
      <c r="U11" s="1121">
        <f ca="1">(+S11*T11/100)/100</f>
        <v>0.18224665114448502</v>
      </c>
      <c r="V11" s="1121">
        <f>regDebt_weighted</f>
        <v>3.5860000000000003E-2</v>
      </c>
      <c r="W11" s="1121">
        <f ca="1">+U11-V11</f>
        <v>0.14638665114448501</v>
      </c>
      <c r="X11" s="1121">
        <f ca="1">+((W11*(1-0.34))-Pfd_weighted)/Equity_percent</f>
        <v>0.26286392370744216</v>
      </c>
      <c r="Y11" s="1121">
        <f ca="1">+X11*equityP</f>
        <v>0.15771835422446528</v>
      </c>
      <c r="Z11" s="1121">
        <f ca="1">+Y11/(1-taxrate)</f>
        <v>0.23193875621244897</v>
      </c>
      <c r="AA11" s="1121">
        <f>debtP*Debt_Rate</f>
        <v>2.0000000000000004E-2</v>
      </c>
      <c r="AB11" s="1121">
        <f ca="1">+AA11+Z11</f>
        <v>0.25193875621244899</v>
      </c>
      <c r="AC11" s="1121">
        <f ca="1">+AB11/(S11/100)</f>
        <v>8.9158956233571826E-2</v>
      </c>
      <c r="AD11" s="1121">
        <f ca="1">1-AC11</f>
        <v>0.91084104376642816</v>
      </c>
      <c r="AE11" s="1122">
        <f ca="1">expenses/(AD11)</f>
        <v>4826519.0314773088</v>
      </c>
      <c r="AF11" s="1123">
        <f ca="1">+AE11-Revenue</f>
        <v>429008.83207192551</v>
      </c>
      <c r="AG11" s="1124">
        <f ca="1">+AF11/$J$49</f>
        <v>487266.15913310053</v>
      </c>
      <c r="AH11" s="1124">
        <f ca="1">+AG11*$J$47</f>
        <v>15982.330019565699</v>
      </c>
      <c r="AI11" s="1122">
        <f ca="1">ROUND(+AH11+AE11,5)</f>
        <v>4842501.3614999996</v>
      </c>
    </row>
    <row r="12" spans="1:35" ht="15.75">
      <c r="A12" s="1082"/>
      <c r="B12" s="1106" t="s">
        <v>31</v>
      </c>
      <c r="C12" s="1142">
        <v>5.1000000000000004E-3</v>
      </c>
      <c r="D12" s="1102"/>
      <c r="E12" s="1082"/>
      <c r="F12" s="1136">
        <f t="shared" si="6"/>
        <v>6</v>
      </c>
      <c r="G12" s="1109"/>
      <c r="H12" s="1126" t="s">
        <v>1317</v>
      </c>
      <c r="I12" s="1127">
        <f ca="1">IF(I14&lt;0,0,+J38*I14)</f>
        <v>0</v>
      </c>
      <c r="J12" s="1127">
        <f ca="1">+K12-I12</f>
        <v>123079.68052567296</v>
      </c>
      <c r="K12" s="1127">
        <f ca="1">+(K9-K11)*taxrate</f>
        <v>123079.68052567296</v>
      </c>
      <c r="L12" s="1109"/>
      <c r="M12" s="1127">
        <f ca="1">+K12</f>
        <v>123079.68052567296</v>
      </c>
      <c r="O12" s="1111"/>
      <c r="P12" s="1082"/>
      <c r="R12" s="1128">
        <v>2</v>
      </c>
      <c r="S12" s="1129">
        <f ca="1">IF((AI7/Investment*100)&gt;0,(AI7/Investment*100),0)</f>
        <v>282.57257246533828</v>
      </c>
      <c r="T12" s="1143">
        <f ca="1">EXP(y_inter2-(slope*LN(+S12)))</f>
        <v>6.3577890125285279</v>
      </c>
      <c r="U12" s="1131">
        <f ca="1">(+S12*T12/100)/100</f>
        <v>0.17965367964620488</v>
      </c>
      <c r="V12" s="1131">
        <f>regDebt_weighted</f>
        <v>3.5860000000000003E-2</v>
      </c>
      <c r="W12" s="1131">
        <f ca="1">+U12-V12</f>
        <v>0.14379367964620487</v>
      </c>
      <c r="X12" s="1131">
        <f ca="1">+((W12*(1-0.34))-Pfd_weighted)/Equity_percent</f>
        <v>0.25788903653050932</v>
      </c>
      <c r="Y12" s="1131">
        <f ca="1">+X12*equityP</f>
        <v>0.15473342191830558</v>
      </c>
      <c r="Z12" s="1131">
        <f ca="1">+Y12/(1-taxrate)</f>
        <v>0.22754914987986116</v>
      </c>
      <c r="AA12" s="1131">
        <f>debtP*Debt_Rate</f>
        <v>2.0000000000000004E-2</v>
      </c>
      <c r="AB12" s="1131">
        <f ca="1">+AA12+Z12</f>
        <v>0.24754914987986115</v>
      </c>
      <c r="AC12" s="1131">
        <f ca="1">+AB12/(S12/100)</f>
        <v>8.7605512353902196E-2</v>
      </c>
      <c r="AD12" s="1131">
        <f ca="1">1-AC12</f>
        <v>0.91239448764609776</v>
      </c>
      <c r="AE12" s="1132">
        <f ca="1">expenses/(AD12)</f>
        <v>4818301.394752102</v>
      </c>
      <c r="AF12" s="1133">
        <f ca="1">+AE12-Revenue</f>
        <v>420791.19534671865</v>
      </c>
      <c r="AG12" s="1134">
        <f ca="1">+AF12/$J$49</f>
        <v>477932.60703603941</v>
      </c>
      <c r="AH12" s="1134">
        <f ca="1">+AG12*$J$47</f>
        <v>15676.189510782095</v>
      </c>
      <c r="AI12" s="1132">
        <f t="shared" ref="AI12:AI14" ca="1" si="7">ROUND(+AH12+AE12,5)</f>
        <v>4833977.5842599999</v>
      </c>
    </row>
    <row r="13" spans="1:35" ht="15.75">
      <c r="A13" s="1082"/>
      <c r="B13" s="1106" t="s">
        <v>1318</v>
      </c>
      <c r="C13" s="1142">
        <v>1E-3</v>
      </c>
      <c r="D13" s="1102"/>
      <c r="E13" s="1082"/>
      <c r="F13" s="1136">
        <f t="shared" si="6"/>
        <v>7</v>
      </c>
      <c r="G13" s="1109"/>
      <c r="H13" s="1109"/>
      <c r="I13" s="1097"/>
      <c r="J13" s="1097"/>
      <c r="K13" s="1127"/>
      <c r="L13" s="1109"/>
      <c r="M13" s="1109"/>
      <c r="O13" s="1111"/>
      <c r="P13" s="1082"/>
      <c r="R13" s="1137">
        <v>3</v>
      </c>
      <c r="S13" s="1129">
        <f ca="1">IF((AI8/Investment*100)&gt;0,(AI8/Investment*100),0)</f>
        <v>282.57257246533828</v>
      </c>
      <c r="T13" s="1130">
        <f ca="1">EXP(y_inter3-(slope*LN(S13)))</f>
        <v>6.2959758627988078</v>
      </c>
      <c r="U13" s="1131">
        <f ca="1">(+S13*T13/100)/100</f>
        <v>0.17790700957307368</v>
      </c>
      <c r="V13" s="1131">
        <f>regDebt_weighted</f>
        <v>3.5860000000000003E-2</v>
      </c>
      <c r="W13" s="1131">
        <f ca="1">+U13-V13</f>
        <v>0.14204700957307367</v>
      </c>
      <c r="X13" s="1131">
        <f ca="1">+((W13*(1-0.34))-Pfd_weighted)/Equity_percent</f>
        <v>0.25453786720415295</v>
      </c>
      <c r="Y13" s="1131">
        <f ca="1">+X13*equityP</f>
        <v>0.15272272032249176</v>
      </c>
      <c r="Z13" s="1131">
        <f ca="1">+Y13/(1-taxrate)</f>
        <v>0.22459223576837026</v>
      </c>
      <c r="AA13" s="1131">
        <f>debtP*Debt_Rate</f>
        <v>2.0000000000000004E-2</v>
      </c>
      <c r="AB13" s="1131">
        <f ca="1">+AA13+Z13</f>
        <v>0.24459223576837025</v>
      </c>
      <c r="AC13" s="1131">
        <f ca="1">+AB13/(S13/100)</f>
        <v>8.6559085913539294E-2</v>
      </c>
      <c r="AD13" s="1131">
        <f ca="1">1-AC13</f>
        <v>0.91344091408646066</v>
      </c>
      <c r="AE13" s="1132">
        <f ca="1">expenses/(AD13)</f>
        <v>4812781.6091815718</v>
      </c>
      <c r="AF13" s="1133">
        <f ca="1">+AE13-Revenue</f>
        <v>415271.40977618843</v>
      </c>
      <c r="AG13" s="1134">
        <f ca="1">+AF13/$J$49</f>
        <v>471663.26124844584</v>
      </c>
      <c r="AH13" s="1134">
        <f ca="1">+AG13*$J$47</f>
        <v>15470.554968949025</v>
      </c>
      <c r="AI13" s="1132">
        <f t="shared" ca="1" si="7"/>
        <v>4828252.1641499996</v>
      </c>
    </row>
    <row r="14" spans="1:35" ht="16.5" thickBot="1">
      <c r="A14" s="1082"/>
      <c r="B14" s="1144" t="s">
        <v>1319</v>
      </c>
      <c r="C14" s="1142">
        <v>1.17E-2</v>
      </c>
      <c r="D14" s="1102"/>
      <c r="E14" s="1082"/>
      <c r="F14" s="1136">
        <f t="shared" si="6"/>
        <v>8</v>
      </c>
      <c r="G14" s="1109"/>
      <c r="H14" s="1109" t="s">
        <v>269</v>
      </c>
      <c r="I14" s="1145">
        <f ca="1">+I9-SUM(I11:I13)</f>
        <v>-33182.606248289558</v>
      </c>
      <c r="J14" s="1097"/>
      <c r="K14" s="1145">
        <f ca="1">+K9-SUM(K11:K13)</f>
        <v>261544.32111705505</v>
      </c>
      <c r="L14" s="1109"/>
      <c r="M14" s="1145">
        <f ca="1">+M9-SUM(M11:M13)</f>
        <v>261544.32111705505</v>
      </c>
      <c r="O14" s="1111"/>
      <c r="P14" s="1082"/>
      <c r="R14" s="1140">
        <v>4</v>
      </c>
      <c r="S14" s="1129">
        <f ca="1">IF((AI9/Investment*100)&gt;0,(AI9/Investment*100),0)</f>
        <v>282.57257246533828</v>
      </c>
      <c r="T14" s="1146">
        <f ca="1">EXP(y_inter4-(slope*LN(S14)))</f>
        <v>6.2564358965352547</v>
      </c>
      <c r="U14" s="1131">
        <f ca="1">(+S14*T14/100)/100</f>
        <v>0.17678971857484518</v>
      </c>
      <c r="V14" s="1131">
        <f>regDebt_weighted</f>
        <v>3.5860000000000003E-2</v>
      </c>
      <c r="W14" s="1131">
        <f ca="1">+U14-V14</f>
        <v>0.14092971857484518</v>
      </c>
      <c r="X14" s="1131">
        <f ca="1">+((W14*(1-0.34))-Pfd_weighted)/Equity_percent</f>
        <v>0.25239422749824947</v>
      </c>
      <c r="Y14" s="1131">
        <f ca="1">+X14*equityP</f>
        <v>0.15143653649894967</v>
      </c>
      <c r="Z14" s="1131">
        <f ca="1">+Y14/(1-taxrate)</f>
        <v>0.22270078896904366</v>
      </c>
      <c r="AA14" s="1131">
        <f>debtP*Debt_Rate</f>
        <v>2.0000000000000004E-2</v>
      </c>
      <c r="AB14" s="1131">
        <f ca="1">+AA14+Z14</f>
        <v>0.24270078896904368</v>
      </c>
      <c r="AC14" s="1131">
        <f ca="1">+AB14/(S14/100)</f>
        <v>8.5889719179597493E-2</v>
      </c>
      <c r="AD14" s="1131">
        <f ca="1">1-AC14</f>
        <v>0.91411028082040247</v>
      </c>
      <c r="AE14" s="1132">
        <f ca="1">expenses/(AD14)</f>
        <v>4809257.3999318713</v>
      </c>
      <c r="AF14" s="1133">
        <f ca="1">+AE14-Revenue</f>
        <v>411747.20052648801</v>
      </c>
      <c r="AG14" s="1134">
        <f ca="1">+AF14/$J$49</f>
        <v>467660.48140638659</v>
      </c>
      <c r="AH14" s="1134">
        <f ca="1">+AG14*$J$47</f>
        <v>15339.263790129482</v>
      </c>
      <c r="AI14" s="1132">
        <f t="shared" ca="1" si="7"/>
        <v>4824596.6637199996</v>
      </c>
    </row>
    <row r="15" spans="1:35" ht="16.5" thickTop="1">
      <c r="A15" s="1082"/>
      <c r="B15" s="1282"/>
      <c r="C15" s="1282"/>
      <c r="D15" s="1082"/>
      <c r="E15" s="1082"/>
      <c r="F15" s="1136">
        <f t="shared" si="6"/>
        <v>9</v>
      </c>
      <c r="G15" s="1097"/>
      <c r="H15" s="1097"/>
      <c r="I15" s="1097"/>
      <c r="J15" s="1097"/>
      <c r="K15" s="1147"/>
      <c r="L15" s="1097"/>
      <c r="M15" s="1097"/>
      <c r="O15" s="1111"/>
      <c r="P15" s="1082"/>
      <c r="R15" s="1099" t="s">
        <v>1320</v>
      </c>
    </row>
    <row r="16" spans="1:35" ht="15.75">
      <c r="A16" s="1082"/>
      <c r="B16" s="1148" t="s">
        <v>1321</v>
      </c>
      <c r="C16" s="1283"/>
      <c r="D16" s="1283"/>
      <c r="E16" s="1082"/>
      <c r="F16" s="1136">
        <f t="shared" si="6"/>
        <v>10</v>
      </c>
      <c r="G16" s="1097"/>
      <c r="H16" s="1126" t="s">
        <v>1322</v>
      </c>
      <c r="I16" s="1149">
        <f>+I8/I7</f>
        <v>0.99970015600731532</v>
      </c>
      <c r="J16" s="1150"/>
      <c r="K16" s="1149">
        <f ca="1">+K8/K7</f>
        <v>0.91295999999999999</v>
      </c>
      <c r="L16" s="1151"/>
      <c r="M16" s="1149">
        <f ca="1">+M8/M7</f>
        <v>0.91324044108291635</v>
      </c>
      <c r="O16" s="1111"/>
      <c r="P16" s="1082"/>
      <c r="R16" s="1152">
        <v>1</v>
      </c>
      <c r="S16" s="1153">
        <f ca="1">AI11/Investment*100</f>
        <v>280.715170141974</v>
      </c>
      <c r="T16" s="1154">
        <f ca="1">EXP(y_inter1-(slope*LN(+S16)))</f>
        <v>6.4786969532003518</v>
      </c>
      <c r="U16" s="1155">
        <f ca="1">(+S16*T16/100)/100</f>
        <v>0.18186685175159251</v>
      </c>
      <c r="V16" s="1155">
        <f>regDebt_weighted</f>
        <v>3.5860000000000003E-2</v>
      </c>
      <c r="W16" s="1155">
        <f ca="1">+U16-V16</f>
        <v>0.1460068517515925</v>
      </c>
      <c r="X16" s="1155">
        <f ca="1">+((W16*(1-0.34))-Pfd_weighted)/Equity_percent</f>
        <v>0.26213523882572981</v>
      </c>
      <c r="Y16" s="1155">
        <f ca="1">+X16*equityP</f>
        <v>0.15728114329543788</v>
      </c>
      <c r="Z16" s="1155">
        <f ca="1">+Y16/(1-taxrate)</f>
        <v>0.23129579896387925</v>
      </c>
      <c r="AA16" s="1155">
        <f>debtP*Debt_Rate</f>
        <v>2.0000000000000004E-2</v>
      </c>
      <c r="AB16" s="1155">
        <f ca="1">+AA16+Z16</f>
        <v>0.25129579896387927</v>
      </c>
      <c r="AC16" s="1155">
        <f ca="1">+AB16/(S16/100)</f>
        <v>8.9519849902228069E-2</v>
      </c>
      <c r="AD16" s="1155">
        <f ca="1">1-AC16</f>
        <v>0.91048015009777195</v>
      </c>
      <c r="AE16" s="1156">
        <f ca="1">expenses/(AD16)</f>
        <v>4828432.1540862117</v>
      </c>
      <c r="AF16" s="1157">
        <f ca="1">+AE16-Revenue</f>
        <v>430921.95468082838</v>
      </c>
      <c r="AG16" s="1158">
        <f ca="1">+AF16/$J$49</f>
        <v>489439.07455092232</v>
      </c>
      <c r="AH16" s="1158">
        <f ca="1">+AG16*$J$47</f>
        <v>16053.601645270253</v>
      </c>
      <c r="AI16" s="1156">
        <f ca="1">ROUND(+AH16+AE16,5)</f>
        <v>4844485.7557300003</v>
      </c>
    </row>
    <row r="17" spans="1:35" ht="15.75">
      <c r="A17" s="1082"/>
      <c r="B17" s="1284"/>
      <c r="C17" s="1283"/>
      <c r="D17" s="1082" t="s">
        <v>1323</v>
      </c>
      <c r="E17" s="1082"/>
      <c r="F17" s="1136">
        <f t="shared" si="6"/>
        <v>11</v>
      </c>
      <c r="G17" s="1097"/>
      <c r="H17" s="1097"/>
      <c r="I17" s="1097"/>
      <c r="K17" s="1097"/>
      <c r="L17" s="1126"/>
      <c r="M17" s="1126"/>
      <c r="N17" s="1149"/>
      <c r="O17" s="1082"/>
      <c r="P17" s="1082"/>
      <c r="R17" s="1128">
        <v>2</v>
      </c>
      <c r="S17" s="1129">
        <f ca="1">AI12/Investment*100</f>
        <v>280.22105493176417</v>
      </c>
      <c r="T17" s="1143">
        <f ca="1">EXP(y_inter2-(slope*LN(+S17)))</f>
        <v>6.3942161798138084</v>
      </c>
      <c r="U17" s="1131">
        <f ca="1">(+S17*T17/100)/100</f>
        <v>0.17917940033691807</v>
      </c>
      <c r="V17" s="1131">
        <f>regDebt_weighted</f>
        <v>3.5860000000000003E-2</v>
      </c>
      <c r="W17" s="1131">
        <f ca="1">+U17-V17</f>
        <v>0.14331940033691806</v>
      </c>
      <c r="X17" s="1131">
        <f ca="1">+((W17*(1-0.34))-Pfd_weighted)/Equity_percent</f>
        <v>0.25697908204176134</v>
      </c>
      <c r="Y17" s="1131">
        <f ca="1">+X17*equityP</f>
        <v>0.15418744922505681</v>
      </c>
      <c r="Z17" s="1131">
        <f ca="1">+Y17/(1-taxrate)</f>
        <v>0.2267462488603777</v>
      </c>
      <c r="AA17" s="1131">
        <f>debtP*Debt_Rate</f>
        <v>2.0000000000000004E-2</v>
      </c>
      <c r="AB17" s="1131">
        <f ca="1">+AA17+Z17</f>
        <v>0.24674624886037771</v>
      </c>
      <c r="AC17" s="1131">
        <f ca="1">+AB17/(S17/100)</f>
        <v>8.8054143155110953E-2</v>
      </c>
      <c r="AD17" s="1131">
        <f ca="1">1-AC17</f>
        <v>0.91194585684488905</v>
      </c>
      <c r="AE17" s="1132">
        <f ca="1">expenses/(AD17)</f>
        <v>4820671.7530348524</v>
      </c>
      <c r="AF17" s="1133">
        <f ca="1">+AE17-Revenue</f>
        <v>423161.55362946913</v>
      </c>
      <c r="AG17" s="1134">
        <f ca="1">+AF17/$J$49</f>
        <v>480624.84852353286</v>
      </c>
      <c r="AH17" s="1134">
        <f ca="1">+AG17*$J$47</f>
        <v>15764.49503157188</v>
      </c>
      <c r="AI17" s="1132">
        <f t="shared" ref="AI17:AI19" ca="1" si="8">ROUND(+AH17+AE17,5)</f>
        <v>4836436.2480699997</v>
      </c>
    </row>
    <row r="18" spans="1:35" ht="15.75">
      <c r="A18" s="1082"/>
      <c r="B18" s="1277" t="s">
        <v>1324</v>
      </c>
      <c r="C18" s="1277"/>
      <c r="D18" s="1082"/>
      <c r="E18" s="1082"/>
      <c r="F18" s="1136">
        <f t="shared" si="6"/>
        <v>12</v>
      </c>
      <c r="G18" s="1097"/>
      <c r="H18" s="1159" t="s">
        <v>1325</v>
      </c>
      <c r="I18" s="1160"/>
      <c r="J18" s="1160"/>
      <c r="K18" s="1160"/>
      <c r="L18" s="1160"/>
      <c r="M18" s="1161"/>
      <c r="O18" s="1082"/>
      <c r="P18" s="1082"/>
      <c r="R18" s="1137">
        <v>3</v>
      </c>
      <c r="S18" s="1129">
        <f ca="1">AI13/Investment*100</f>
        <v>279.88915780663558</v>
      </c>
      <c r="T18" s="1130">
        <f ca="1">EXP(y_inter3-(slope*LN(S18)))</f>
        <v>6.3371813437775</v>
      </c>
      <c r="U18" s="1131">
        <f ca="1">(+S18*T18/100)/100</f>
        <v>0.17737083491778077</v>
      </c>
      <c r="V18" s="1131">
        <f>regDebt_weighted</f>
        <v>3.5860000000000003E-2</v>
      </c>
      <c r="W18" s="1131">
        <f ca="1">+U18-V18</f>
        <v>0.14151083491778077</v>
      </c>
      <c r="X18" s="1131">
        <f ca="1">+((W18*(1-0.34))-Pfd_weighted)/Equity_percent</f>
        <v>0.2535091600166724</v>
      </c>
      <c r="Y18" s="1131">
        <f ca="1">+X18*equityP</f>
        <v>0.15210549601000342</v>
      </c>
      <c r="Z18" s="1131">
        <f ca="1">+Y18/(1-taxrate)</f>
        <v>0.22368455295588741</v>
      </c>
      <c r="AA18" s="1131">
        <f>debtP*Debt_Rate</f>
        <v>2.0000000000000004E-2</v>
      </c>
      <c r="AB18" s="1131">
        <f ca="1">+AA18+Z18</f>
        <v>0.24368455295588742</v>
      </c>
      <c r="AC18" s="1131">
        <f ca="1">+AB18/(S18/100)</f>
        <v>8.7064663335133366E-2</v>
      </c>
      <c r="AD18" s="1131">
        <f ca="1">1-AC18</f>
        <v>0.91293533666486659</v>
      </c>
      <c r="AE18" s="1132">
        <f ca="1">expenses/(AD18)</f>
        <v>4815446.8951212689</v>
      </c>
      <c r="AF18" s="1133">
        <f ca="1">+AE18-Revenue</f>
        <v>417936.69571588561</v>
      </c>
      <c r="AG18" s="1134">
        <f ca="1">+AF18/$J$49</f>
        <v>474690.48014404648</v>
      </c>
      <c r="AH18" s="1134">
        <f ca="1">+AG18*$J$47</f>
        <v>15569.847748724726</v>
      </c>
      <c r="AI18" s="1132">
        <f t="shared" ca="1" si="8"/>
        <v>4831016.7428700002</v>
      </c>
    </row>
    <row r="19" spans="1:35" ht="15.75">
      <c r="A19" s="1082"/>
      <c r="B19" s="1082"/>
      <c r="C19" s="1082"/>
      <c r="D19" s="1082"/>
      <c r="E19" s="1082"/>
      <c r="F19" s="1136">
        <f t="shared" si="6"/>
        <v>13</v>
      </c>
      <c r="G19" s="1097"/>
      <c r="H19" s="1103"/>
      <c r="I19" s="1162" t="s">
        <v>1326</v>
      </c>
      <c r="J19" s="1163">
        <f>+Revenue</f>
        <v>4397510.1994053833</v>
      </c>
      <c r="K19" s="1164"/>
      <c r="L19" s="1162" t="s">
        <v>1327</v>
      </c>
      <c r="M19" s="1165">
        <f ca="1">+J7</f>
        <v>417806.60789101757</v>
      </c>
      <c r="O19" s="1082"/>
      <c r="P19" s="1082"/>
      <c r="R19" s="1140">
        <v>4</v>
      </c>
      <c r="S19" s="1129">
        <f ca="1">AI14/Investment*100</f>
        <v>279.67725194465277</v>
      </c>
      <c r="T19" s="1146">
        <f ca="1">EXP(y_inter4-(slope*LN(S19)))</f>
        <v>6.3006442718453624</v>
      </c>
      <c r="U19" s="1131">
        <f ca="1">(+S19*T19/100)/100</f>
        <v>0.17621468754305286</v>
      </c>
      <c r="V19" s="1131">
        <f>regDebt_weighted</f>
        <v>3.5860000000000003E-2</v>
      </c>
      <c r="W19" s="1131">
        <f ca="1">+U19-V19</f>
        <v>0.14035468754305286</v>
      </c>
      <c r="X19" s="1131">
        <f ca="1">+((W19*(1-0.34))-Pfd_weighted)/Equity_percent</f>
        <v>0.25129097028608977</v>
      </c>
      <c r="Y19" s="1131">
        <f ca="1">+X19*equityP</f>
        <v>0.15077458217165385</v>
      </c>
      <c r="Z19" s="1131">
        <f ca="1">+Y19/(1-taxrate)</f>
        <v>0.2217273267230204</v>
      </c>
      <c r="AA19" s="1131">
        <f>debtP*Debt_Rate</f>
        <v>2.0000000000000004E-2</v>
      </c>
      <c r="AB19" s="1131">
        <f ca="1">+AA19+Z19</f>
        <v>0.24172732672302039</v>
      </c>
      <c r="AC19" s="1131">
        <f ca="1">+AB19/(S19/100)</f>
        <v>8.6430814462828548E-2</v>
      </c>
      <c r="AD19" s="1131">
        <f ca="1">1-AC19</f>
        <v>0.91356918553717148</v>
      </c>
      <c r="AE19" s="1132">
        <f ca="1">expenses/(AD19)</f>
        <v>4812105.8612593152</v>
      </c>
      <c r="AF19" s="1133">
        <f ca="1">+AE19-Revenue</f>
        <v>414595.66185393184</v>
      </c>
      <c r="AG19" s="1134">
        <f ca="1">+AF19/$J$49</f>
        <v>470895.7500225582</v>
      </c>
      <c r="AH19" s="1134">
        <f ca="1">+AG19*$J$47</f>
        <v>15445.380600739911</v>
      </c>
      <c r="AI19" s="1132">
        <f t="shared" ca="1" si="8"/>
        <v>4827551.2418600004</v>
      </c>
    </row>
    <row r="20" spans="1:35" ht="15.75">
      <c r="A20" s="1082"/>
      <c r="B20" s="1166"/>
      <c r="C20" s="1082"/>
      <c r="D20" s="1082"/>
      <c r="E20" s="1082"/>
      <c r="F20" s="1136">
        <f t="shared" si="6"/>
        <v>14</v>
      </c>
      <c r="G20" s="1097"/>
      <c r="H20" s="1103"/>
      <c r="I20" s="1162" t="s">
        <v>1328</v>
      </c>
      <c r="J20" s="1163">
        <f ca="1">+J21-J19</f>
        <v>433371.60933730472</v>
      </c>
      <c r="K20" s="1164"/>
      <c r="L20" s="1162" t="s">
        <v>1329</v>
      </c>
      <c r="M20" s="1165">
        <f ca="1">+L8</f>
        <v>15565.001446287264</v>
      </c>
      <c r="O20" s="1082"/>
      <c r="P20" s="1082"/>
      <c r="R20" s="1099" t="s">
        <v>1330</v>
      </c>
    </row>
    <row r="21" spans="1:35" ht="16.5" thickBot="1">
      <c r="A21" s="1082"/>
      <c r="B21" s="1166" t="s">
        <v>1331</v>
      </c>
      <c r="C21" s="1082"/>
      <c r="D21" s="1082"/>
      <c r="E21" s="1082"/>
      <c r="F21" s="1136">
        <f t="shared" si="6"/>
        <v>15</v>
      </c>
      <c r="G21" s="1097"/>
      <c r="H21" s="1103"/>
      <c r="I21" s="1167" t="s">
        <v>1325</v>
      </c>
      <c r="J21" s="1168">
        <f ca="1">+M7</f>
        <v>4830881.808742688</v>
      </c>
      <c r="K21" s="1169"/>
      <c r="L21" s="1167" t="s">
        <v>1328</v>
      </c>
      <c r="M21" s="1170">
        <f ca="1">+M19+M20</f>
        <v>433371.60933730484</v>
      </c>
      <c r="O21" s="1082"/>
      <c r="P21" s="1082"/>
      <c r="R21" s="1152">
        <v>1</v>
      </c>
      <c r="S21" s="1153">
        <f ca="1">AI16/Investment*100</f>
        <v>280.83020357662247</v>
      </c>
      <c r="T21" s="1154">
        <f ca="1">EXP(y_inter1-(slope*LN(+S21)))</f>
        <v>6.4768825132388681</v>
      </c>
      <c r="U21" s="1155">
        <f ca="1">(+S21*T21/100)/100</f>
        <v>0.18189042347347376</v>
      </c>
      <c r="V21" s="1155">
        <f>regDebt_weighted</f>
        <v>3.5860000000000003E-2</v>
      </c>
      <c r="W21" s="1155">
        <f ca="1">+U21-V21</f>
        <v>0.14603042347347375</v>
      </c>
      <c r="X21" s="1155">
        <f ca="1">+((W21*(1-0.34))-Pfd_weighted)/Equity_percent</f>
        <v>0.26218046364096709</v>
      </c>
      <c r="Y21" s="1155">
        <f ca="1">+X21*equityP</f>
        <v>0.15730827818458024</v>
      </c>
      <c r="Z21" s="1155">
        <f ca="1">+Y21/(1-taxrate)</f>
        <v>0.23133570321261801</v>
      </c>
      <c r="AA21" s="1155">
        <f>debtP*Debt_Rate</f>
        <v>2.0000000000000004E-2</v>
      </c>
      <c r="AB21" s="1155">
        <f ca="1">+AA21+Z21</f>
        <v>0.251335703212618</v>
      </c>
      <c r="AC21" s="1155">
        <f ca="1">+AB21/(S21/100)</f>
        <v>8.9497390242087305E-2</v>
      </c>
      <c r="AD21" s="1155">
        <f ca="1">1-AC21</f>
        <v>0.91050260975791275</v>
      </c>
      <c r="AE21" s="1156">
        <f ca="1">expenses/(AD21)</f>
        <v>4828313.0496003684</v>
      </c>
      <c r="AF21" s="1157">
        <f ca="1">+AE21-Revenue</f>
        <v>430802.85019498505</v>
      </c>
      <c r="AG21" s="1158">
        <f ca="1">+AF21/$J$49</f>
        <v>489303.79625123763</v>
      </c>
      <c r="AH21" s="1158">
        <f ca="1">+AG21*$J$47</f>
        <v>16049.164517040595</v>
      </c>
      <c r="AI21" s="1156">
        <f ca="1">ROUND(+AH21+AE21,5)</f>
        <v>4844362.2141199997</v>
      </c>
    </row>
    <row r="22" spans="1:35" ht="16.5" thickTop="1">
      <c r="A22" s="1082"/>
      <c r="B22" s="1082" t="s">
        <v>1332</v>
      </c>
      <c r="C22" s="1082"/>
      <c r="D22" s="1082"/>
      <c r="E22" s="1082"/>
      <c r="F22" s="1136">
        <f t="shared" si="6"/>
        <v>16</v>
      </c>
      <c r="G22" s="1097"/>
      <c r="H22" s="1171"/>
      <c r="I22" s="1172"/>
      <c r="J22" s="1172"/>
      <c r="K22" s="1172"/>
      <c r="L22" s="1172"/>
      <c r="M22" s="1173"/>
      <c r="O22" s="1082"/>
      <c r="P22" s="1082"/>
      <c r="R22" s="1128">
        <v>2</v>
      </c>
      <c r="S22" s="1129">
        <f ca="1">AI17/Investment*100</f>
        <v>280.3635813201372</v>
      </c>
      <c r="T22" s="1143">
        <f ca="1">EXP(y_inter2-(slope*LN(+S22)))</f>
        <v>6.3919936763555922</v>
      </c>
      <c r="U22" s="1131">
        <f ca="1">(+S22*T22/100)/100</f>
        <v>0.17920822388787236</v>
      </c>
      <c r="V22" s="1131">
        <f>regDebt_weighted</f>
        <v>3.5860000000000003E-2</v>
      </c>
      <c r="W22" s="1131">
        <f ca="1">+U22-V22</f>
        <v>0.14334822388787236</v>
      </c>
      <c r="X22" s="1131">
        <f ca="1">+((W22*(1-0.34))-Pfd_weighted)/Equity_percent</f>
        <v>0.25703438304068532</v>
      </c>
      <c r="Y22" s="1131">
        <f ca="1">+X22*equityP</f>
        <v>0.15422062982441118</v>
      </c>
      <c r="Z22" s="1131">
        <f ca="1">+Y22/(1-taxrate)</f>
        <v>0.22679504385942822</v>
      </c>
      <c r="AA22" s="1131">
        <f>debtP*Debt_Rate</f>
        <v>2.0000000000000004E-2</v>
      </c>
      <c r="AB22" s="1131">
        <f ca="1">+AA22+Z22</f>
        <v>0.24679504385942824</v>
      </c>
      <c r="AC22" s="1131">
        <f ca="1">+AB22/(S22/100)</f>
        <v>8.8026783898733904E-2</v>
      </c>
      <c r="AD22" s="1131">
        <f ca="1">1-AC22</f>
        <v>0.91197321610126614</v>
      </c>
      <c r="AE22" s="1132">
        <f ca="1">expenses/(AD22)</f>
        <v>4820527.1325656623</v>
      </c>
      <c r="AF22" s="1133">
        <f ca="1">+AE22-Revenue</f>
        <v>423016.93316027895</v>
      </c>
      <c r="AG22" s="1134">
        <f ca="1">+AF22/$J$49</f>
        <v>480460.58929321822</v>
      </c>
      <c r="AH22" s="1134">
        <f ca="1">+AG22*$J$47</f>
        <v>15759.107328817559</v>
      </c>
      <c r="AI22" s="1132">
        <f t="shared" ref="AI22:AI24" ca="1" si="9">ROUND(+AH22+AE22,5)</f>
        <v>4836286.2398899999</v>
      </c>
    </row>
    <row r="23" spans="1:35" ht="15.75">
      <c r="A23" s="1082"/>
      <c r="B23" s="1082" t="s">
        <v>1333</v>
      </c>
      <c r="C23" s="1082"/>
      <c r="D23" s="1082"/>
      <c r="E23" s="1082"/>
      <c r="F23" s="1136">
        <f t="shared" si="6"/>
        <v>17</v>
      </c>
      <c r="H23" s="1097"/>
      <c r="I23" s="1097"/>
      <c r="J23" s="1097"/>
      <c r="K23" s="1097"/>
      <c r="L23" s="1097"/>
      <c r="M23" s="1097"/>
      <c r="N23" s="1097"/>
      <c r="O23" s="1082"/>
      <c r="P23" s="1082"/>
      <c r="R23" s="1137">
        <v>3</v>
      </c>
      <c r="S23" s="1129">
        <f ca="1">AI18/Investment*100</f>
        <v>280.04941778961171</v>
      </c>
      <c r="T23" s="1130">
        <f ca="1">EXP(y_inter3-(slope*LN(S23)))</f>
        <v>6.3347017965037269</v>
      </c>
      <c r="U23" s="1131">
        <f ca="1">(+S23*T23/100)/100</f>
        <v>0.17740295499816761</v>
      </c>
      <c r="V23" s="1131">
        <f>regDebt_weighted</f>
        <v>3.5860000000000003E-2</v>
      </c>
      <c r="W23" s="1131">
        <f ca="1">+U23-V23</f>
        <v>0.1415429549981676</v>
      </c>
      <c r="X23" s="1131">
        <f ca="1">+((W23*(1-0.34))-Pfd_weighted)/Equity_percent</f>
        <v>0.2535707857522983</v>
      </c>
      <c r="Y23" s="1131">
        <f ca="1">+X23*equityP</f>
        <v>0.15214247145137896</v>
      </c>
      <c r="Z23" s="1131">
        <f ca="1">+Y23/(1-taxrate)</f>
        <v>0.22373892860496908</v>
      </c>
      <c r="AA23" s="1131">
        <f>debtP*Debt_Rate</f>
        <v>2.0000000000000004E-2</v>
      </c>
      <c r="AB23" s="1131">
        <f ca="1">+AA23+Z23</f>
        <v>0.2437389286049691</v>
      </c>
      <c r="AC23" s="1131">
        <f ca="1">+AB23/(S23/100)</f>
        <v>8.7034256499714982E-2</v>
      </c>
      <c r="AD23" s="1131">
        <f ca="1">1-AC23</f>
        <v>0.91296574350028503</v>
      </c>
      <c r="AE23" s="1132">
        <f ca="1">expenses/(AD23)</f>
        <v>4815286.5139654055</v>
      </c>
      <c r="AF23" s="1133">
        <f ca="1">+AE23-Revenue</f>
        <v>417776.31456002221</v>
      </c>
      <c r="AG23" s="1134">
        <f ca="1">+AF23/$J$49</f>
        <v>474508.32000194065</v>
      </c>
      <c r="AH23" s="1134">
        <f ca="1">+AG23*$J$47</f>
        <v>15563.872896063654</v>
      </c>
      <c r="AI23" s="1132">
        <f t="shared" ca="1" si="9"/>
        <v>4830850.38686</v>
      </c>
    </row>
    <row r="24" spans="1:35" ht="15.75">
      <c r="A24" s="1082"/>
      <c r="B24" s="1082" t="s">
        <v>1334</v>
      </c>
      <c r="C24" s="1082"/>
      <c r="D24" s="1082"/>
      <c r="E24" s="1082"/>
      <c r="F24" s="1136">
        <f t="shared" si="6"/>
        <v>18</v>
      </c>
      <c r="H24" s="1174"/>
      <c r="J24" s="1175" t="s">
        <v>1335</v>
      </c>
      <c r="K24" s="1176" t="s">
        <v>1336</v>
      </c>
      <c r="L24" s="1176"/>
      <c r="M24" s="1176"/>
      <c r="N24" s="1176"/>
      <c r="O24" s="1082"/>
      <c r="P24" s="1082"/>
      <c r="R24" s="1140">
        <v>4</v>
      </c>
      <c r="S24" s="1129">
        <f ca="1">AI19/Investment*100</f>
        <v>279.84852601219615</v>
      </c>
      <c r="T24" s="1146">
        <f ca="1">EXP(y_inter4-(slope*LN(S24)))</f>
        <v>6.2980076847572644</v>
      </c>
      <c r="U24" s="1131">
        <f ca="1">(+S24*T24/100)/100</f>
        <v>0.17624881673928045</v>
      </c>
      <c r="V24" s="1131">
        <f>regDebt_weighted</f>
        <v>3.5860000000000003E-2</v>
      </c>
      <c r="W24" s="1131">
        <f ca="1">+U24-V24</f>
        <v>0.14038881673928044</v>
      </c>
      <c r="X24" s="1131">
        <f ca="1">+((W24*(1-0.34))-Pfd_weighted)/Equity_percent</f>
        <v>0.25135645072071244</v>
      </c>
      <c r="Y24" s="1131">
        <f ca="1">+X24*equityP</f>
        <v>0.15081387043242747</v>
      </c>
      <c r="Z24" s="1131">
        <f ca="1">+Y24/(1-taxrate)</f>
        <v>0.22178510357709924</v>
      </c>
      <c r="AA24" s="1131">
        <f>debtP*Debt_Rate</f>
        <v>2.0000000000000004E-2</v>
      </c>
      <c r="AB24" s="1131">
        <f ca="1">+AA24+Z24</f>
        <v>0.24178510357709926</v>
      </c>
      <c r="AC24" s="1131">
        <f ca="1">+AB24/(S24/100)</f>
        <v>8.6398562473243817E-2</v>
      </c>
      <c r="AD24" s="1131">
        <f ca="1">1-AC24</f>
        <v>0.91360143752675615</v>
      </c>
      <c r="AE24" s="1132">
        <f ca="1">expenses/(AD24)</f>
        <v>4811935.9841315625</v>
      </c>
      <c r="AF24" s="1133">
        <f ca="1">+AE24-Revenue</f>
        <v>414425.7847261792</v>
      </c>
      <c r="AG24" s="1134">
        <f ca="1">+AF24/$J$49</f>
        <v>470702.80440145102</v>
      </c>
      <c r="AH24" s="1134">
        <f ca="1">+AG24*$J$47</f>
        <v>15439.051984367596</v>
      </c>
      <c r="AI24" s="1132">
        <f t="shared" ca="1" si="9"/>
        <v>4827375.0361200003</v>
      </c>
    </row>
    <row r="25" spans="1:35" ht="15.75">
      <c r="A25" s="1082"/>
      <c r="B25" s="1082" t="s">
        <v>1337</v>
      </c>
      <c r="C25" s="1082"/>
      <c r="D25" s="1082"/>
      <c r="E25" s="1082"/>
      <c r="F25" s="1136">
        <f t="shared" si="6"/>
        <v>19</v>
      </c>
      <c r="H25" s="1177" t="s">
        <v>1338</v>
      </c>
      <c r="I25" s="1178" t="s">
        <v>1339</v>
      </c>
      <c r="J25" s="1179" t="s">
        <v>3</v>
      </c>
      <c r="K25" s="1177" t="s">
        <v>1340</v>
      </c>
      <c r="L25" s="1179" t="s">
        <v>1341</v>
      </c>
      <c r="M25" s="1179" t="s">
        <v>3</v>
      </c>
      <c r="O25" s="1082"/>
      <c r="P25" s="1082"/>
      <c r="R25" s="1099" t="s">
        <v>1342</v>
      </c>
      <c r="W25" s="1180"/>
      <c r="X25" s="1181"/>
      <c r="Y25" s="1182"/>
      <c r="Z25" s="1182"/>
      <c r="AA25" s="1181"/>
      <c r="AC25" s="1181"/>
      <c r="AD25" s="1181"/>
      <c r="AE25" s="1182"/>
      <c r="AF25" s="1180"/>
    </row>
    <row r="26" spans="1:35" ht="15.75">
      <c r="A26" s="1082"/>
      <c r="B26" s="1082"/>
      <c r="C26" s="1082"/>
      <c r="D26" s="1082"/>
      <c r="E26" s="1082"/>
      <c r="F26" s="1136">
        <f t="shared" si="6"/>
        <v>20</v>
      </c>
      <c r="H26" s="1126" t="s">
        <v>204</v>
      </c>
      <c r="I26" s="1183">
        <f>1-I27</f>
        <v>0.6</v>
      </c>
      <c r="J26" s="1184">
        <f>+I26*J28</f>
        <v>1035035.1979305283</v>
      </c>
      <c r="K26" s="1149">
        <f ca="1">+K34</f>
        <v>0.25269123372808228</v>
      </c>
      <c r="L26" s="1183">
        <f ca="1">+K26*I26</f>
        <v>0.15161474023684937</v>
      </c>
      <c r="M26" s="1127">
        <f ca="1">+J26*K26</f>
        <v>261544.32111705502</v>
      </c>
      <c r="O26" s="1082"/>
      <c r="P26" s="1082"/>
      <c r="R26" s="1152">
        <v>1</v>
      </c>
      <c r="S26" s="1153">
        <f ca="1">AI21/Investment*100</f>
        <v>280.8230419877076</v>
      </c>
      <c r="T26" s="1154">
        <f ca="1">EXP(y_inter1-(slope*LN(+S26)))</f>
        <v>6.4769954375472816</v>
      </c>
      <c r="U26" s="1155">
        <f ca="1">(+S26*T26/100)/100</f>
        <v>0.18188895617125309</v>
      </c>
      <c r="V26" s="1155">
        <f>regDebt_weighted</f>
        <v>3.5860000000000003E-2</v>
      </c>
      <c r="W26" s="1155">
        <f ca="1">+U26-V26</f>
        <v>0.14602895617125308</v>
      </c>
      <c r="X26" s="1155">
        <f ca="1">+((W26*(1-0.34))-Pfd_weighted)/Equity_percent</f>
        <v>0.26217764846810182</v>
      </c>
      <c r="Y26" s="1155">
        <f ca="1">+X26*equityP</f>
        <v>0.15730658908086109</v>
      </c>
      <c r="Z26" s="1155">
        <f ca="1">+Y26/(1-taxrate)</f>
        <v>0.23133321923656044</v>
      </c>
      <c r="AA26" s="1155">
        <f>debtP*Debt_Rate</f>
        <v>2.0000000000000004E-2</v>
      </c>
      <c r="AB26" s="1155">
        <f ca="1">+AA26+Z26</f>
        <v>0.25133321923656043</v>
      </c>
      <c r="AC26" s="1155">
        <f ca="1">+AB26/(S26/100)</f>
        <v>8.949878808291023E-2</v>
      </c>
      <c r="AD26" s="1155">
        <f ca="1">1-AC26</f>
        <v>0.91050121191708977</v>
      </c>
      <c r="AE26" s="1156">
        <f ca="1">expenses/(AD26)</f>
        <v>4828320.462235298</v>
      </c>
      <c r="AF26" s="1157">
        <f ca="1">+AE26-Revenue</f>
        <v>430810.26282991469</v>
      </c>
      <c r="AG26" s="1158">
        <f ca="1">+AF26/$J$49</f>
        <v>489312.21548618382</v>
      </c>
      <c r="AH26" s="1158">
        <f ca="1">+AG26*$J$47</f>
        <v>16049.44066794683</v>
      </c>
      <c r="AI26" s="1156">
        <f ca="1">ROUND(+AH26+AE26,5)</f>
        <v>4844369.9029000001</v>
      </c>
    </row>
    <row r="27" spans="1:35" ht="15.75">
      <c r="A27" s="1082"/>
      <c r="B27" s="1082"/>
      <c r="C27" s="1082"/>
      <c r="D27" s="1082"/>
      <c r="E27" s="1082"/>
      <c r="F27" s="1136">
        <f t="shared" si="6"/>
        <v>21</v>
      </c>
      <c r="H27" s="1126" t="s">
        <v>208</v>
      </c>
      <c r="I27" s="1183">
        <f>IF(A65=TRUE,C8,0)</f>
        <v>0.4</v>
      </c>
      <c r="J27" s="1185">
        <f>+I27*J28</f>
        <v>690023.46528701903</v>
      </c>
      <c r="K27" s="1149">
        <f>IF(A65=TRUE,C9,0)</f>
        <v>0.05</v>
      </c>
      <c r="L27" s="1183">
        <f>+K27*I27</f>
        <v>2.0000000000000004E-2</v>
      </c>
      <c r="M27" s="1163">
        <f>+K27*J27</f>
        <v>34501.173264350953</v>
      </c>
      <c r="O27" s="1082"/>
      <c r="P27" s="1082"/>
      <c r="R27" s="1128">
        <v>2</v>
      </c>
      <c r="S27" s="1129">
        <f ca="1">AI22/Investment*100</f>
        <v>280.35488548948524</v>
      </c>
      <c r="T27" s="1143">
        <f ca="1">EXP(y_inter2-(slope*LN(+S27)))</f>
        <v>6.3921292214093359</v>
      </c>
      <c r="U27" s="1131">
        <f ca="1">(+S27*T27/100)/100</f>
        <v>0.17920646559022069</v>
      </c>
      <c r="V27" s="1131">
        <f>regDebt_weighted</f>
        <v>3.5860000000000003E-2</v>
      </c>
      <c r="W27" s="1131">
        <f ca="1">+U27-V27</f>
        <v>0.14334646559022068</v>
      </c>
      <c r="X27" s="1131">
        <f ca="1">+((W27*(1-0.34))-Pfd_weighted)/Equity_percent</f>
        <v>0.2570310095626327</v>
      </c>
      <c r="Y27" s="1131">
        <f ca="1">+X27*equityP</f>
        <v>0.15421860573757962</v>
      </c>
      <c r="Z27" s="1131">
        <f ca="1">+Y27/(1-taxrate)</f>
        <v>0.22679206726114651</v>
      </c>
      <c r="AA27" s="1131">
        <f>debtP*Debt_Rate</f>
        <v>2.0000000000000004E-2</v>
      </c>
      <c r="AB27" s="1131">
        <f ca="1">+AA27+Z27</f>
        <v>0.2467920672611465</v>
      </c>
      <c r="AC27" s="1131">
        <f ca="1">+AB27/(S27/100)</f>
        <v>8.8028452520190689E-2</v>
      </c>
      <c r="AD27" s="1131">
        <f ca="1">1-AC27</f>
        <v>0.91197154747980935</v>
      </c>
      <c r="AE27" s="1132">
        <f ca="1">expenses/(AD27)</f>
        <v>4820535.9526160564</v>
      </c>
      <c r="AF27" s="1133">
        <f ca="1">+AE27-Revenue</f>
        <v>423025.75321067311</v>
      </c>
      <c r="AG27" s="1134">
        <f ca="1">+AF27/$J$49</f>
        <v>480470.6070638505</v>
      </c>
      <c r="AH27" s="1134">
        <f ca="1">+AG27*$J$47</f>
        <v>15759.435911694298</v>
      </c>
      <c r="AI27" s="1132">
        <f t="shared" ref="AI27:AI29" ca="1" si="10">ROUND(+AH27+AE27,5)</f>
        <v>4836295.3885300001</v>
      </c>
    </row>
    <row r="28" spans="1:35" ht="16.5" thickBot="1">
      <c r="A28" s="1082"/>
      <c r="B28" s="1082"/>
      <c r="C28" s="1082"/>
      <c r="D28" s="1082"/>
      <c r="E28" s="1082"/>
      <c r="F28" s="1136">
        <f t="shared" si="6"/>
        <v>22</v>
      </c>
      <c r="H28" s="1126" t="s">
        <v>0</v>
      </c>
      <c r="I28" s="1186">
        <f>SUM(I26:I27)</f>
        <v>1</v>
      </c>
      <c r="J28" s="1187">
        <f>IF(A65=TRUE,C7,0)</f>
        <v>1725058.6632175473</v>
      </c>
      <c r="K28" s="1188"/>
      <c r="L28" s="1189">
        <f ca="1">SUM(L26:L27)</f>
        <v>0.17161474023684936</v>
      </c>
      <c r="M28" s="1187">
        <f ca="1">SUM(M26:M27)</f>
        <v>296045.494381406</v>
      </c>
      <c r="O28" s="1082"/>
      <c r="P28" s="1082"/>
      <c r="R28" s="1137">
        <v>3</v>
      </c>
      <c r="S28" s="1129">
        <f ca="1">AI23/Investment*100</f>
        <v>280.03977429089792</v>
      </c>
      <c r="T28" s="1130">
        <f ca="1">EXP(y_inter3-(slope*LN(S28)))</f>
        <v>6.3348509334482506</v>
      </c>
      <c r="U28" s="1131">
        <f ca="1">(+S28*T28/100)/100</f>
        <v>0.17740102255693319</v>
      </c>
      <c r="V28" s="1131">
        <f>regDebt_weighted</f>
        <v>3.5860000000000003E-2</v>
      </c>
      <c r="W28" s="1131">
        <f ca="1">+U28-V28</f>
        <v>0.14154102255693318</v>
      </c>
      <c r="X28" s="1131">
        <f ca="1">+((W28*(1-0.34))-Pfd_weighted)/Equity_percent</f>
        <v>0.25356707816155782</v>
      </c>
      <c r="Y28" s="1131">
        <f ca="1">+X28*equityP</f>
        <v>0.1521402468969347</v>
      </c>
      <c r="Z28" s="1131">
        <f ca="1">+Y28/(1-taxrate)</f>
        <v>0.22373565720137459</v>
      </c>
      <c r="AA28" s="1131">
        <f>debtP*Debt_Rate</f>
        <v>2.0000000000000004E-2</v>
      </c>
      <c r="AB28" s="1131">
        <f ca="1">+AA28+Z28</f>
        <v>0.24373565720137458</v>
      </c>
      <c r="AC28" s="1131">
        <f ca="1">+AB28/(S28/100)</f>
        <v>8.7036085434131383E-2</v>
      </c>
      <c r="AD28" s="1131">
        <f ca="1">1-AC28</f>
        <v>0.91296391456586856</v>
      </c>
      <c r="AE28" s="1132">
        <f ca="1">expenses/(AD28)</f>
        <v>4815296.1603962118</v>
      </c>
      <c r="AF28" s="1133">
        <f ca="1">+AE28-Revenue</f>
        <v>417785.96099082846</v>
      </c>
      <c r="AG28" s="1134">
        <f ca="1">+AF28/$J$49</f>
        <v>474519.27637145313</v>
      </c>
      <c r="AH28" s="1134">
        <f ca="1">+AG28*$J$47</f>
        <v>15564.232264983664</v>
      </c>
      <c r="AI28" s="1132">
        <f t="shared" ca="1" si="10"/>
        <v>4830860.3926600004</v>
      </c>
    </row>
    <row r="29" spans="1:35" ht="16.5" thickTop="1">
      <c r="A29" s="1082"/>
      <c r="B29" s="1082"/>
      <c r="C29" s="1082"/>
      <c r="D29" s="1082"/>
      <c r="E29" s="1082"/>
      <c r="F29" s="1136">
        <f t="shared" si="6"/>
        <v>23</v>
      </c>
      <c r="G29" s="1097"/>
      <c r="H29" s="1097"/>
      <c r="I29" s="1097"/>
      <c r="J29" s="1097"/>
      <c r="K29" s="1097"/>
      <c r="L29" s="1097"/>
      <c r="M29" s="1097"/>
      <c r="N29" s="1097"/>
      <c r="O29" s="1082"/>
      <c r="P29" s="1082"/>
      <c r="R29" s="1140">
        <v>4</v>
      </c>
      <c r="S29" s="1129">
        <f ca="1">AI24/Investment*100</f>
        <v>279.83831153405936</v>
      </c>
      <c r="T29" s="1146">
        <f ca="1">EXP(y_inter4-(slope*LN(S29)))</f>
        <v>6.2981648498935803</v>
      </c>
      <c r="U29" s="1131">
        <f ca="1">(+S29*T29/100)/100</f>
        <v>0.17624678173573818</v>
      </c>
      <c r="V29" s="1131">
        <f>regDebt_weighted</f>
        <v>3.5860000000000003E-2</v>
      </c>
      <c r="W29" s="1131">
        <f ca="1">+U29-V29</f>
        <v>0.14038678173573818</v>
      </c>
      <c r="X29" s="1131">
        <f ca="1">+((W29*(1-0.34))-Pfd_weighted)/Equity_percent</f>
        <v>0.25135254635345117</v>
      </c>
      <c r="Y29" s="1131">
        <f ca="1">+X29*equityP</f>
        <v>0.15081152781207069</v>
      </c>
      <c r="Z29" s="1131">
        <f ca="1">+Y29/(1-taxrate)</f>
        <v>0.22178165854716281</v>
      </c>
      <c r="AA29" s="1131">
        <f>debtP*Debt_Rate</f>
        <v>2.0000000000000004E-2</v>
      </c>
      <c r="AB29" s="1131">
        <f ca="1">+AA29+Z29</f>
        <v>0.24178165854716283</v>
      </c>
      <c r="AC29" s="1131">
        <f ca="1">+AB29/(S29/100)</f>
        <v>8.6400485059293028E-2</v>
      </c>
      <c r="AD29" s="1131">
        <f ca="1">1-AC29</f>
        <v>0.91359951494070701</v>
      </c>
      <c r="AE29" s="1132">
        <f ca="1">expenses/(AD29)</f>
        <v>4811946.1104077278</v>
      </c>
      <c r="AF29" s="1133">
        <f ca="1">+AE29-Revenue</f>
        <v>414435.91100234445</v>
      </c>
      <c r="AG29" s="1134">
        <f ca="1">+AF29/$J$49</f>
        <v>470714.30577700434</v>
      </c>
      <c r="AH29" s="1134">
        <f ca="1">+AG29*$J$47</f>
        <v>15439.429229485744</v>
      </c>
      <c r="AI29" s="1132">
        <f t="shared" ca="1" si="10"/>
        <v>4827385.5396400001</v>
      </c>
    </row>
    <row r="30" spans="1:35" ht="15.75">
      <c r="A30" s="1082"/>
      <c r="B30" s="1082"/>
      <c r="C30" s="1082"/>
      <c r="D30" s="1082"/>
      <c r="E30" s="1082"/>
      <c r="F30" s="1136">
        <f t="shared" si="6"/>
        <v>24</v>
      </c>
      <c r="G30" s="1097"/>
      <c r="H30" s="1097"/>
      <c r="I30" s="1097"/>
      <c r="J30" s="1190" t="s">
        <v>1343</v>
      </c>
      <c r="K30" s="1190" t="s">
        <v>1344</v>
      </c>
      <c r="L30" s="1097"/>
      <c r="M30" s="1097"/>
      <c r="N30" s="1097"/>
      <c r="O30" s="1082"/>
      <c r="P30" s="1082"/>
      <c r="R30" s="1099" t="s">
        <v>1345</v>
      </c>
      <c r="W30" s="1180"/>
      <c r="X30" s="1181"/>
      <c r="Y30" s="1182"/>
      <c r="Z30" s="1182"/>
      <c r="AA30" s="1181"/>
      <c r="AC30" s="1181"/>
      <c r="AD30" s="1181"/>
      <c r="AE30" s="1182"/>
      <c r="AF30" s="1180"/>
      <c r="AH30" s="1182"/>
    </row>
    <row r="31" spans="1:35" ht="15.75">
      <c r="A31" s="1082"/>
      <c r="B31" s="1082"/>
      <c r="C31" s="1082"/>
      <c r="D31" s="1082"/>
      <c r="E31" s="1082"/>
      <c r="F31" s="1136">
        <f t="shared" si="6"/>
        <v>25</v>
      </c>
      <c r="G31" s="1097"/>
      <c r="H31" s="1191" t="s">
        <v>1346</v>
      </c>
      <c r="I31" s="1192"/>
      <c r="J31" s="1193" t="s">
        <v>1347</v>
      </c>
      <c r="K31" s="1193" t="s">
        <v>1347</v>
      </c>
      <c r="L31" s="1097"/>
      <c r="M31" s="1097"/>
      <c r="N31" s="1097"/>
      <c r="O31" s="1082"/>
      <c r="P31" s="1082"/>
      <c r="R31" s="1152">
        <v>1</v>
      </c>
      <c r="S31" s="1153">
        <f ca="1">AI26/Investment*100</f>
        <v>280.82348769892678</v>
      </c>
      <c r="T31" s="1154">
        <f ca="1">EXP(y_inter1-(slope*LN(+S31)))</f>
        <v>6.4769884094079835</v>
      </c>
      <c r="U31" s="1155">
        <f ca="1">(+S31*T31/100)/100</f>
        <v>0.18188904749154741</v>
      </c>
      <c r="V31" s="1155">
        <f>regDebt_weighted</f>
        <v>3.5860000000000003E-2</v>
      </c>
      <c r="W31" s="1155">
        <f ca="1">+U31-V31</f>
        <v>0.14602904749154741</v>
      </c>
      <c r="X31" s="1155">
        <f ca="1">+((W31*(1-0.34))-Pfd_weighted)/Equity_percent</f>
        <v>0.2621778236756433</v>
      </c>
      <c r="Y31" s="1155">
        <f ca="1">+X31*equityP</f>
        <v>0.15730669420538598</v>
      </c>
      <c r="Z31" s="1155">
        <f ca="1">+Y31/(1-taxrate)</f>
        <v>0.23133337383145</v>
      </c>
      <c r="AA31" s="1155">
        <f>debtP*Debt_Rate</f>
        <v>2.0000000000000004E-2</v>
      </c>
      <c r="AB31" s="1155">
        <f ca="1">+AA31+Z31</f>
        <v>0.25133337383144999</v>
      </c>
      <c r="AC31" s="1155">
        <f ca="1">+AB31/(S31/100)</f>
        <v>8.9498701084756341E-2</v>
      </c>
      <c r="AD31" s="1155">
        <f ca="1">1-AC31</f>
        <v>0.91050129891524367</v>
      </c>
      <c r="AE31" s="1156">
        <f ca="1">expenses/(AD31)</f>
        <v>4828320.0008905781</v>
      </c>
      <c r="AF31" s="1157">
        <f ca="1">+AE31-Revenue</f>
        <v>430809.80148519482</v>
      </c>
      <c r="AG31" s="1158">
        <f ca="1">+AF31/$J$49</f>
        <v>489311.69149307953</v>
      </c>
      <c r="AH31" s="1158">
        <f ca="1">+AG31*$J$47</f>
        <v>16049.42348097301</v>
      </c>
      <c r="AI31" s="1156">
        <f ca="1">ROUND(+AH31+AE31,5)</f>
        <v>4844369.4243700001</v>
      </c>
    </row>
    <row r="32" spans="1:35" ht="15.75">
      <c r="A32" s="1082"/>
      <c r="B32" s="1082"/>
      <c r="C32" s="1082"/>
      <c r="D32" s="1082"/>
      <c r="E32" s="1082"/>
      <c r="F32" s="1136">
        <f t="shared" si="6"/>
        <v>26</v>
      </c>
      <c r="G32" s="1097"/>
      <c r="H32" s="1109"/>
      <c r="I32" s="1109"/>
      <c r="J32" s="1109"/>
      <c r="K32" s="1109"/>
      <c r="L32" s="1097"/>
      <c r="M32" s="1097"/>
      <c r="N32" s="1097"/>
      <c r="O32" s="1082"/>
      <c r="P32" s="1082"/>
      <c r="R32" s="1128">
        <v>2</v>
      </c>
      <c r="S32" s="1129">
        <f ca="1">AI27/Investment*100</f>
        <v>280.35541582739171</v>
      </c>
      <c r="T32" s="1143">
        <f ca="1">EXP(y_inter2-(slope*LN(+S32)))</f>
        <v>6.3921209546381181</v>
      </c>
      <c r="U32" s="1131">
        <f ca="1">(+S32*T32/100)/100</f>
        <v>0.17920657282565536</v>
      </c>
      <c r="V32" s="1131">
        <f>regDebt_weighted</f>
        <v>3.5860000000000003E-2</v>
      </c>
      <c r="W32" s="1131">
        <f ca="1">+U32-V32</f>
        <v>0.14334657282565536</v>
      </c>
      <c r="X32" s="1131">
        <f ca="1">+((W32*(1-0.34))-Pfd_weighted)/Equity_percent</f>
        <v>0.25703121530503642</v>
      </c>
      <c r="Y32" s="1131">
        <f ca="1">+X32*equityP</f>
        <v>0.15421872918302185</v>
      </c>
      <c r="Z32" s="1131">
        <f ca="1">+Y32/(1-taxrate)</f>
        <v>0.22679224879856155</v>
      </c>
      <c r="AA32" s="1131">
        <f>debtP*Debt_Rate</f>
        <v>2.0000000000000004E-2</v>
      </c>
      <c r="AB32" s="1131">
        <f ca="1">+AA32+Z32</f>
        <v>0.24679224879856154</v>
      </c>
      <c r="AC32" s="1131">
        <f ca="1">+AB32/(S32/100)</f>
        <v>8.8028350752640983E-2</v>
      </c>
      <c r="AD32" s="1131">
        <f ca="1">1-AC32</f>
        <v>0.91197164924735907</v>
      </c>
      <c r="AE32" s="1132">
        <f ca="1">expenses/(AD32)</f>
        <v>4820535.4146891013</v>
      </c>
      <c r="AF32" s="1133">
        <f ca="1">+AE32-Revenue</f>
        <v>423025.21528371796</v>
      </c>
      <c r="AG32" s="1134">
        <f ca="1">+AF32/$J$49</f>
        <v>480469.99608901329</v>
      </c>
      <c r="AH32" s="1134">
        <f ca="1">+AG32*$J$47</f>
        <v>15759.415871719637</v>
      </c>
      <c r="AI32" s="1132">
        <f t="shared" ref="AI32:AI34" ca="1" si="11">ROUND(+AH32+AE32,5)</f>
        <v>4836294.8305599997</v>
      </c>
    </row>
    <row r="33" spans="1:46" ht="15.75">
      <c r="A33" s="1082"/>
      <c r="B33" s="1082"/>
      <c r="C33" s="1082"/>
      <c r="D33" s="1082"/>
      <c r="E33" s="1082"/>
      <c r="F33" s="1136">
        <f t="shared" si="6"/>
        <v>27</v>
      </c>
      <c r="G33" s="1097"/>
      <c r="H33" s="1109" t="s">
        <v>1348</v>
      </c>
      <c r="I33" s="1109"/>
      <c r="J33" s="1194">
        <f ca="1">+K9/J28</f>
        <v>0.24296285328948436</v>
      </c>
      <c r="K33" s="1194">
        <f ca="1">+(M14+M11)/J28</f>
        <v>0.17161474023684936</v>
      </c>
      <c r="L33" s="1097"/>
      <c r="M33" s="1097"/>
      <c r="N33" s="1097"/>
      <c r="O33" s="1082"/>
      <c r="P33" s="1082"/>
      <c r="R33" s="1137">
        <v>3</v>
      </c>
      <c r="S33" s="1129">
        <f ca="1">AI28/Investment*100</f>
        <v>280.04035431754937</v>
      </c>
      <c r="T33" s="1130">
        <f ca="1">EXP(y_inter3-(slope*LN(S33)))</f>
        <v>6.3348419630774364</v>
      </c>
      <c r="U33" s="1131">
        <f ca="1">(+S33*T33/100)/100</f>
        <v>0.17740113878858854</v>
      </c>
      <c r="V33" s="1131">
        <f>regDebt_weighted</f>
        <v>3.5860000000000003E-2</v>
      </c>
      <c r="W33" s="1131">
        <f ca="1">+U33-V33</f>
        <v>0.14154113878858854</v>
      </c>
      <c r="X33" s="1131">
        <f ca="1">+((W33*(1-0.34))-Pfd_weighted)/Equity_percent</f>
        <v>0.25356730116415244</v>
      </c>
      <c r="Y33" s="1131">
        <f ca="1">+X33*equityP</f>
        <v>0.15214038069849145</v>
      </c>
      <c r="Z33" s="1131">
        <f ca="1">+Y33/(1-taxrate)</f>
        <v>0.22373585396836981</v>
      </c>
      <c r="AA33" s="1131">
        <f>debtP*Debt_Rate</f>
        <v>2.0000000000000004E-2</v>
      </c>
      <c r="AB33" s="1131">
        <f ca="1">+AA33+Z33</f>
        <v>0.24373585396836983</v>
      </c>
      <c r="AC33" s="1131">
        <f ca="1">+AB33/(S33/100)</f>
        <v>8.7035975426594289E-2</v>
      </c>
      <c r="AD33" s="1131">
        <f ca="1">1-AC33</f>
        <v>0.91296402457340575</v>
      </c>
      <c r="AE33" s="1132">
        <f ca="1">expenses/(AD33)</f>
        <v>4815295.5801774329</v>
      </c>
      <c r="AF33" s="1133">
        <f ca="1">+AE33-Revenue</f>
        <v>417785.38077204954</v>
      </c>
      <c r="AG33" s="1134">
        <f ca="1">+AF33/$J$49</f>
        <v>474518.61736176681</v>
      </c>
      <c r="AH33" s="1134">
        <f ca="1">+AG33*$J$47</f>
        <v>15564.210649465953</v>
      </c>
      <c r="AI33" s="1132">
        <f t="shared" ca="1" si="11"/>
        <v>4830859.7908300003</v>
      </c>
    </row>
    <row r="34" spans="1:46" ht="15.75">
      <c r="A34" s="1082"/>
      <c r="B34" s="1082"/>
      <c r="C34" s="1082"/>
      <c r="D34" s="1082"/>
      <c r="E34" s="1082"/>
      <c r="F34" s="1136">
        <f t="shared" si="6"/>
        <v>28</v>
      </c>
      <c r="G34" s="1097"/>
      <c r="H34" s="1109" t="s">
        <v>1349</v>
      </c>
      <c r="I34" s="1109"/>
      <c r="J34" s="1194">
        <f ca="1">+(M9-M11)/J26</f>
        <v>0.37160475548247396</v>
      </c>
      <c r="K34" s="1194">
        <f ca="1">+M14/J26</f>
        <v>0.25269123372808228</v>
      </c>
      <c r="L34" s="1097"/>
      <c r="M34" s="1097"/>
      <c r="N34" s="1097"/>
      <c r="O34" s="1195"/>
      <c r="P34" s="1082"/>
      <c r="R34" s="1140">
        <v>4</v>
      </c>
      <c r="S34" s="1129">
        <f ca="1">AI29/Investment*100</f>
        <v>279.83892041306297</v>
      </c>
      <c r="T34" s="1146">
        <f ca="1">EXP(y_inter4-(slope*LN(S34)))</f>
        <v>6.2981554811019951</v>
      </c>
      <c r="U34" s="1131">
        <f ca="1">(+S34*T34/100)/100</f>
        <v>0.17624690304251975</v>
      </c>
      <c r="V34" s="1131">
        <f>regDebt_weighted</f>
        <v>3.5860000000000003E-2</v>
      </c>
      <c r="W34" s="1131">
        <f ca="1">+U34-V34</f>
        <v>0.14038690304251975</v>
      </c>
      <c r="X34" s="1131">
        <f ca="1">+((W34*(1-0.34))-Pfd_weighted)/Equity_percent</f>
        <v>0.25135277909320647</v>
      </c>
      <c r="Y34" s="1131">
        <f ca="1">+X34*equityP</f>
        <v>0.15081166745592386</v>
      </c>
      <c r="Z34" s="1131">
        <f ca="1">+Y34/(1-taxrate)</f>
        <v>0.2217818639057704</v>
      </c>
      <c r="AA34" s="1131">
        <f>debtP*Debt_Rate</f>
        <v>2.0000000000000004E-2</v>
      </c>
      <c r="AB34" s="1131">
        <f ca="1">+AA34+Z34</f>
        <v>0.24178186390577039</v>
      </c>
      <c r="AC34" s="1131">
        <f ca="1">+AB34/(S34/100)</f>
        <v>8.6400370452002342E-2</v>
      </c>
      <c r="AD34" s="1131">
        <f ca="1">1-AC34</f>
        <v>0.91359962954799767</v>
      </c>
      <c r="AE34" s="1132">
        <f ca="1">expenses/(AD34)</f>
        <v>4811945.5067690127</v>
      </c>
      <c r="AF34" s="1133">
        <f ca="1">+AE34-Revenue</f>
        <v>414435.30736362934</v>
      </c>
      <c r="AG34" s="1134">
        <f ca="1">+AF34/$J$49</f>
        <v>470713.62016706762</v>
      </c>
      <c r="AH34" s="1134">
        <f ca="1">+AG34*$J$47</f>
        <v>15439.406741479819</v>
      </c>
      <c r="AI34" s="1132">
        <f t="shared" ca="1" si="11"/>
        <v>4827384.9135100003</v>
      </c>
    </row>
    <row r="35" spans="1:46" ht="15.75">
      <c r="A35" s="1082"/>
      <c r="B35" s="1082"/>
      <c r="C35" s="1082"/>
      <c r="D35" s="1082"/>
      <c r="E35" s="1082"/>
      <c r="F35" s="1136">
        <f t="shared" si="6"/>
        <v>29</v>
      </c>
      <c r="G35" s="1097"/>
      <c r="H35" s="1196" t="s">
        <v>1305</v>
      </c>
      <c r="I35" s="1109"/>
      <c r="J35" s="1194">
        <f ca="1">+K8/K7</f>
        <v>0.91295999999999999</v>
      </c>
      <c r="K35" s="1194">
        <f ca="1">+M8/M7</f>
        <v>0.91324044108291635</v>
      </c>
      <c r="L35" s="1097"/>
      <c r="M35" s="1097"/>
      <c r="N35" s="1097"/>
      <c r="O35" s="1082"/>
      <c r="P35" s="1082"/>
      <c r="R35" s="1099" t="s">
        <v>1350</v>
      </c>
      <c r="X35" s="1181"/>
      <c r="Y35" s="1197"/>
      <c r="Z35" s="1182"/>
      <c r="AA35" s="1181"/>
      <c r="AC35" s="1181"/>
      <c r="AD35" s="1181"/>
      <c r="AE35" s="1182"/>
      <c r="AF35" s="1180"/>
      <c r="AH35" s="1182"/>
    </row>
    <row r="36" spans="1:46" ht="15.75">
      <c r="A36" s="1082"/>
      <c r="B36" s="1082"/>
      <c r="C36" s="1082"/>
      <c r="D36" s="1082"/>
      <c r="E36" s="1082"/>
      <c r="F36" s="1136">
        <f t="shared" si="6"/>
        <v>30</v>
      </c>
      <c r="G36" s="1097"/>
      <c r="H36" s="1109" t="s">
        <v>1351</v>
      </c>
      <c r="I36" s="1109"/>
      <c r="J36" s="1194">
        <f ca="1">+K9/K7</f>
        <v>8.7040000000000048E-2</v>
      </c>
      <c r="K36" s="1194">
        <f ca="1">+J36</f>
        <v>8.7040000000000048E-2</v>
      </c>
      <c r="L36" s="1097"/>
      <c r="M36" s="1097"/>
      <c r="N36" s="1097"/>
      <c r="O36" s="1082"/>
      <c r="P36" s="1082"/>
      <c r="R36" s="1152">
        <v>1</v>
      </c>
      <c r="S36" s="1153">
        <f ca="1">AI31/Investment*100</f>
        <v>280.82345995900062</v>
      </c>
      <c r="T36" s="1154">
        <f ca="1">EXP(y_inter1-(slope*LN(+S36)))</f>
        <v>6.4769888468208467</v>
      </c>
      <c r="U36" s="1155">
        <f ca="1">(+S36*T36/100)/100</f>
        <v>0.18188904180800874</v>
      </c>
      <c r="V36" s="1155">
        <f>regDebt_weighted</f>
        <v>3.5860000000000003E-2</v>
      </c>
      <c r="W36" s="1155">
        <f ca="1">+U36-V36</f>
        <v>0.14602904180800874</v>
      </c>
      <c r="X36" s="1155">
        <f ca="1">+((W36*(1-0.34))-Pfd_weighted)/Equity_percent</f>
        <v>0.26217781277117952</v>
      </c>
      <c r="Y36" s="1155">
        <f ca="1">+X36*equityP</f>
        <v>0.15730668766270769</v>
      </c>
      <c r="Z36" s="1155">
        <f ca="1">+Y36/(1-taxrate)</f>
        <v>0.23133336420986428</v>
      </c>
      <c r="AA36" s="1155">
        <f>debtP*Debt_Rate</f>
        <v>2.0000000000000004E-2</v>
      </c>
      <c r="AB36" s="1155">
        <f ca="1">+AA36+Z36</f>
        <v>0.2513333642098643</v>
      </c>
      <c r="AC36" s="1155">
        <f ca="1">+AB36/(S36/100)</f>
        <v>8.9498706499292549E-2</v>
      </c>
      <c r="AD36" s="1155">
        <f ca="1">1-AC36</f>
        <v>0.91050129350070741</v>
      </c>
      <c r="AE36" s="1156">
        <f ca="1">expenses/(AD36)</f>
        <v>4828320.0296034571</v>
      </c>
      <c r="AF36" s="1157">
        <f ca="1">+AE36-Revenue</f>
        <v>430809.83019807376</v>
      </c>
      <c r="AG36" s="1158">
        <f ca="1">+AF36/$J$49</f>
        <v>489311.72410502873</v>
      </c>
      <c r="AH36" s="1158">
        <f ca="1">+AG36*$J$47</f>
        <v>16049.424550644944</v>
      </c>
      <c r="AI36" s="1156">
        <f ca="1">ROUND(+AH36+AE36,5)</f>
        <v>4844369.4541499997</v>
      </c>
    </row>
    <row r="37" spans="1:46" ht="15.75">
      <c r="A37" s="1082"/>
      <c r="B37" s="1082"/>
      <c r="C37" s="1082"/>
      <c r="D37" s="1082"/>
      <c r="E37" s="1082"/>
      <c r="F37" s="1136">
        <f t="shared" si="6"/>
        <v>31</v>
      </c>
      <c r="G37" s="1097"/>
      <c r="H37" s="1109" t="s">
        <v>1352</v>
      </c>
      <c r="I37" s="1198"/>
      <c r="J37" s="1199">
        <f ca="1">+S39/100</f>
        <v>2.7983888411690598</v>
      </c>
      <c r="K37" s="1199">
        <f ca="1">+J37</f>
        <v>2.7983888411690598</v>
      </c>
      <c r="L37" s="1097"/>
      <c r="M37" s="1097"/>
      <c r="N37" s="1097"/>
      <c r="O37" s="1082"/>
      <c r="P37" s="1082"/>
      <c r="R37" s="1128">
        <v>2</v>
      </c>
      <c r="S37" s="1129">
        <f ca="1">AI32/Investment*100</f>
        <v>280.3553834824047</v>
      </c>
      <c r="T37" s="1143">
        <f ca="1">EXP(y_inter2-(slope*LN(+S37)))</f>
        <v>6.3921214588227233</v>
      </c>
      <c r="U37" s="1131">
        <f ca="1">(+S37*T37/100)/100</f>
        <v>0.17920656628543527</v>
      </c>
      <c r="V37" s="1131">
        <f>regDebt_weighted</f>
        <v>3.5860000000000003E-2</v>
      </c>
      <c r="W37" s="1131">
        <f ca="1">+U37-V37</f>
        <v>0.14334656628543527</v>
      </c>
      <c r="X37" s="1131">
        <f ca="1">+((W37*(1-0.34))-Pfd_weighted)/Equity_percent</f>
        <v>0.25703120275693975</v>
      </c>
      <c r="Y37" s="1131">
        <f ca="1">+X37*equityP</f>
        <v>0.15421872165416384</v>
      </c>
      <c r="Z37" s="1131">
        <f ca="1">+Y37/(1-taxrate)</f>
        <v>0.22679223772671156</v>
      </c>
      <c r="AA37" s="1131">
        <f>debtP*Debt_Rate</f>
        <v>2.0000000000000004E-2</v>
      </c>
      <c r="AB37" s="1131">
        <f ca="1">+AA37+Z37</f>
        <v>0.24679223772671155</v>
      </c>
      <c r="AC37" s="1131">
        <f ca="1">+AB37/(S37/100)</f>
        <v>8.8028356959373458E-2</v>
      </c>
      <c r="AD37" s="1131">
        <f ca="1">1-AC37</f>
        <v>0.9119716430406265</v>
      </c>
      <c r="AE37" s="1132">
        <f ca="1">expenses/(AD37)</f>
        <v>4820535.447496892</v>
      </c>
      <c r="AF37" s="1133">
        <f ca="1">+AE37-Revenue</f>
        <v>423025.24809150863</v>
      </c>
      <c r="AG37" s="1134">
        <f ca="1">+AF37/$J$49</f>
        <v>480470.03335194348</v>
      </c>
      <c r="AH37" s="1134">
        <f ca="1">+AG37*$J$47</f>
        <v>15759.417093943748</v>
      </c>
      <c r="AI37" s="1132">
        <f t="shared" ref="AI37:AI39" ca="1" si="12">ROUND(+AH37+AE37,5)</f>
        <v>4836294.8645900004</v>
      </c>
    </row>
    <row r="38" spans="1:46" ht="15.75">
      <c r="A38" s="1082"/>
      <c r="B38" s="1082"/>
      <c r="C38" s="1082"/>
      <c r="D38" s="1082"/>
      <c r="E38" s="1082"/>
      <c r="F38" s="1136">
        <f t="shared" si="6"/>
        <v>32</v>
      </c>
      <c r="G38" s="1097"/>
      <c r="H38" s="1109" t="s">
        <v>1353</v>
      </c>
      <c r="I38" s="1097"/>
      <c r="J38" s="1194">
        <f>+C10</f>
        <v>0.32</v>
      </c>
      <c r="K38" s="1194">
        <f>+J38</f>
        <v>0.32</v>
      </c>
      <c r="L38" s="1097"/>
      <c r="M38" s="1097"/>
      <c r="N38" s="1097"/>
      <c r="O38" s="1082"/>
      <c r="P38" s="1082"/>
      <c r="Q38" s="1200"/>
      <c r="R38" s="1137">
        <v>3</v>
      </c>
      <c r="S38" s="1129">
        <f ca="1">AI33/Investment*100</f>
        <v>280.0403194300402</v>
      </c>
      <c r="T38" s="1130">
        <f ca="1">EXP(y_inter3-(slope*LN(S38)))</f>
        <v>6.3348425026274384</v>
      </c>
      <c r="U38" s="1131">
        <f ca="1">(+S38*T38/100)/100</f>
        <v>0.17740113179747832</v>
      </c>
      <c r="V38" s="1131">
        <f>regDebt_weighted</f>
        <v>3.5860000000000003E-2</v>
      </c>
      <c r="W38" s="1131">
        <f ca="1">+U38-V38</f>
        <v>0.14154113179747832</v>
      </c>
      <c r="X38" s="1131">
        <f ca="1">+((W38*(1-0.34))-Pfd_weighted)/Equity_percent</f>
        <v>0.25356728775097587</v>
      </c>
      <c r="Y38" s="1131">
        <f ca="1">+X38*equityP</f>
        <v>0.15214037265058553</v>
      </c>
      <c r="Z38" s="1131">
        <f ca="1">+Y38/(1-taxrate)</f>
        <v>0.22373584213321404</v>
      </c>
      <c r="AA38" s="1131">
        <f>debtP*Debt_Rate</f>
        <v>2.0000000000000004E-2</v>
      </c>
      <c r="AB38" s="1131">
        <f ca="1">+AA38+Z38</f>
        <v>0.24373584213321403</v>
      </c>
      <c r="AC38" s="1131">
        <f ca="1">+AB38/(S38/100)</f>
        <v>8.7035982043330087E-2</v>
      </c>
      <c r="AD38" s="1131">
        <f ca="1">1-AC38</f>
        <v>0.91296401795666993</v>
      </c>
      <c r="AE38" s="1132">
        <f ca="1">expenses/(AD38)</f>
        <v>4815295.6150764413</v>
      </c>
      <c r="AF38" s="1133">
        <f ca="1">+AE38-Revenue</f>
        <v>417785.415671058</v>
      </c>
      <c r="AG38" s="1134">
        <f ca="1">+AF38/$J$49</f>
        <v>474518.65699989203</v>
      </c>
      <c r="AH38" s="1134">
        <f ca="1">+AG38*$J$47</f>
        <v>15564.21194959646</v>
      </c>
      <c r="AI38" s="1132">
        <f t="shared" ca="1" si="12"/>
        <v>4830859.8270300003</v>
      </c>
    </row>
    <row r="39" spans="1:46" ht="15.75">
      <c r="A39" s="1082"/>
      <c r="B39" s="1082"/>
      <c r="C39" s="1082"/>
      <c r="D39" s="1082"/>
      <c r="E39" s="1082"/>
      <c r="F39" s="1136">
        <f t="shared" si="6"/>
        <v>33</v>
      </c>
      <c r="G39" s="1097"/>
      <c r="H39" s="1097"/>
      <c r="I39" s="1097"/>
      <c r="J39" s="1097"/>
      <c r="K39" s="1097"/>
      <c r="L39" s="1097"/>
      <c r="M39" s="1097"/>
      <c r="N39" s="1097"/>
      <c r="O39" s="1082"/>
      <c r="P39" s="1082"/>
      <c r="R39" s="1140">
        <v>4</v>
      </c>
      <c r="S39" s="1129">
        <f ca="1">AI34/Investment*100</f>
        <v>279.838884116906</v>
      </c>
      <c r="T39" s="1146">
        <f ca="1">EXP(y_inter4-(slope*LN(S39)))</f>
        <v>6.2981560395882319</v>
      </c>
      <c r="U39" s="1131">
        <f ca="1">(+S39*T39/100)/100</f>
        <v>0.17624689581125227</v>
      </c>
      <c r="V39" s="1131">
        <f>regDebt_weighted</f>
        <v>3.5860000000000003E-2</v>
      </c>
      <c r="W39" s="1131">
        <f ca="1">+U39-V39</f>
        <v>0.14038689581125227</v>
      </c>
      <c r="X39" s="1131">
        <f ca="1">+((W39*(1-0.34))-Pfd_weighted)/Equity_percent</f>
        <v>0.25135276521926309</v>
      </c>
      <c r="Y39" s="1131">
        <f ca="1">+X39*equityP</f>
        <v>0.15081165913155783</v>
      </c>
      <c r="Z39" s="1131">
        <f ca="1">+Y39/(1-taxrate)</f>
        <v>0.22178185166405565</v>
      </c>
      <c r="AA39" s="1131">
        <f>debtP*Debt_Rate</f>
        <v>2.0000000000000004E-2</v>
      </c>
      <c r="AB39" s="1131">
        <f ca="1">+AA39+Z39</f>
        <v>0.24178185166405564</v>
      </c>
      <c r="AC39" s="1131">
        <f ca="1">+AB39/(S39/100)</f>
        <v>8.6400377283897559E-2</v>
      </c>
      <c r="AD39" s="1131">
        <f ca="1">1-AC39</f>
        <v>0.9135996227161024</v>
      </c>
      <c r="AE39" s="1132">
        <f ca="1">expenses/(AD39)</f>
        <v>4811945.5427527269</v>
      </c>
      <c r="AF39" s="1133">
        <f ca="1">+AE39-Revenue</f>
        <v>414435.34334734362</v>
      </c>
      <c r="AG39" s="1134">
        <f ca="1">+AF39/$J$49</f>
        <v>470713.66103719646</v>
      </c>
      <c r="AH39" s="1134">
        <f ca="1">+AG39*$J$47</f>
        <v>15439.408082020045</v>
      </c>
      <c r="AI39" s="1132">
        <f t="shared" ca="1" si="12"/>
        <v>4827384.9508300005</v>
      </c>
    </row>
    <row r="40" spans="1:46" ht="15.75">
      <c r="A40" s="1082"/>
      <c r="B40" s="1082"/>
      <c r="C40" s="1082"/>
      <c r="D40" s="1082"/>
      <c r="E40" s="1082"/>
      <c r="F40" s="1136">
        <f t="shared" si="6"/>
        <v>34</v>
      </c>
      <c r="G40" s="1198"/>
      <c r="H40" s="1097"/>
      <c r="I40" s="1097"/>
      <c r="J40" s="1097"/>
      <c r="K40" s="1097"/>
      <c r="L40" s="1097"/>
      <c r="M40" s="1097"/>
      <c r="N40" s="1097"/>
      <c r="O40" s="1082"/>
      <c r="P40" s="1082"/>
      <c r="X40" s="1181"/>
      <c r="Y40" s="1197"/>
      <c r="Z40" s="1182"/>
      <c r="AA40" s="1181"/>
      <c r="AC40" s="1181"/>
      <c r="AD40" s="1181"/>
      <c r="AE40" s="1182"/>
      <c r="AF40" s="1180"/>
      <c r="AH40" s="1182"/>
    </row>
    <row r="41" spans="1:46" ht="15.75">
      <c r="A41" s="1082"/>
      <c r="B41" s="1082"/>
      <c r="C41" s="1082"/>
      <c r="D41" s="1082"/>
      <c r="E41" s="1082"/>
      <c r="F41" s="1136">
        <f t="shared" si="6"/>
        <v>35</v>
      </c>
      <c r="G41" s="1097"/>
      <c r="H41" s="1191" t="s">
        <v>1354</v>
      </c>
      <c r="I41" s="1201"/>
      <c r="J41" s="1097"/>
      <c r="K41" s="1097"/>
      <c r="L41" s="1097"/>
      <c r="M41" s="1097"/>
      <c r="N41" s="1097"/>
      <c r="O41" s="1082"/>
      <c r="P41" s="1082"/>
      <c r="R41" s="1202" t="s">
        <v>1355</v>
      </c>
      <c r="S41" s="1203"/>
      <c r="T41" s="1160"/>
      <c r="U41" s="1160"/>
      <c r="V41" s="1161"/>
      <c r="X41" s="1204"/>
      <c r="Y41" s="1197"/>
      <c r="Z41" s="1182"/>
      <c r="AA41" s="1181"/>
      <c r="AC41" s="1181"/>
      <c r="AD41" s="1181"/>
      <c r="AE41" s="1182"/>
      <c r="AF41" s="1180"/>
      <c r="AH41" s="1182"/>
    </row>
    <row r="42" spans="1:46" ht="15.75">
      <c r="A42" s="1082"/>
      <c r="B42" s="1082"/>
      <c r="C42" s="1082"/>
      <c r="D42" s="1082"/>
      <c r="E42" s="1082"/>
      <c r="F42" s="1136">
        <f t="shared" si="6"/>
        <v>36</v>
      </c>
      <c r="G42" s="1097"/>
      <c r="H42" s="1097"/>
      <c r="I42" s="1097"/>
      <c r="J42" s="1205" t="s">
        <v>63</v>
      </c>
      <c r="K42" s="1206" t="s">
        <v>168</v>
      </c>
      <c r="L42" s="1097"/>
      <c r="M42" s="1097"/>
      <c r="N42" s="1097"/>
      <c r="O42" s="1082"/>
      <c r="P42" s="1082"/>
      <c r="R42" s="1207" t="s">
        <v>1356</v>
      </c>
      <c r="S42" s="1208"/>
      <c r="T42" s="1169"/>
      <c r="U42" s="1169"/>
      <c r="V42" s="1209"/>
      <c r="X42" s="1181"/>
      <c r="Y42" s="1197"/>
      <c r="Z42" s="1182"/>
      <c r="AA42" s="1181"/>
      <c r="AC42" s="1181"/>
      <c r="AD42" s="1181"/>
      <c r="AE42" s="1182"/>
      <c r="AH42" s="1182"/>
    </row>
    <row r="43" spans="1:46" ht="15.75">
      <c r="A43" s="1082"/>
      <c r="B43" s="1082"/>
      <c r="C43" s="1082"/>
      <c r="D43" s="1082"/>
      <c r="E43" s="1082"/>
      <c r="F43" s="1136">
        <f t="shared" si="6"/>
        <v>37</v>
      </c>
      <c r="G43" s="1097"/>
      <c r="H43" s="1109" t="s">
        <v>1357</v>
      </c>
      <c r="I43" s="1210"/>
      <c r="J43" s="1211">
        <f>IF($A$65=TRUE,C11,0)</f>
        <v>1.4999999999999999E-2</v>
      </c>
      <c r="K43" s="1212">
        <f ca="1">+J43*($J$7/$J$49)</f>
        <v>7118.1409053142906</v>
      </c>
      <c r="L43" s="1097"/>
      <c r="M43" s="1097"/>
      <c r="N43" s="1097"/>
      <c r="O43" s="1082"/>
      <c r="P43" s="1082"/>
      <c r="R43" s="1137">
        <v>0</v>
      </c>
      <c r="S43" s="1213">
        <v>1</v>
      </c>
      <c r="T43" s="1169"/>
      <c r="U43" s="1214" t="s">
        <v>1351</v>
      </c>
      <c r="V43" s="1215">
        <f ca="1">VLOOKUP(R49,R36:AE39,12)</f>
        <v>8.7035982043330087E-2</v>
      </c>
      <c r="AA43" s="1181"/>
      <c r="AC43" s="1181"/>
      <c r="AH43" s="1182"/>
      <c r="AL43" s="1181"/>
      <c r="AM43" s="1181"/>
      <c r="AN43" s="1181"/>
      <c r="AO43" s="1181"/>
      <c r="AP43" s="1181"/>
      <c r="AQ43" s="1181"/>
      <c r="AR43" s="1181"/>
      <c r="AS43" s="1181"/>
      <c r="AT43" s="1181"/>
    </row>
    <row r="44" spans="1:46" ht="15.75">
      <c r="A44" s="1082"/>
      <c r="B44" s="1082"/>
      <c r="C44" s="1082"/>
      <c r="D44" s="1082"/>
      <c r="E44" s="1082"/>
      <c r="F44" s="1136">
        <f t="shared" si="6"/>
        <v>38</v>
      </c>
      <c r="G44" s="1097"/>
      <c r="H44" s="1109" t="s">
        <v>1358</v>
      </c>
      <c r="I44" s="1210"/>
      <c r="J44" s="1211">
        <f t="shared" ref="J44:J46" si="13">IF($A$65=TRUE,C12,0)</f>
        <v>5.1000000000000004E-3</v>
      </c>
      <c r="K44" s="1212">
        <f ca="1">+J44*($J$7/$J$49)</f>
        <v>2420.1679078068591</v>
      </c>
      <c r="L44" s="1097"/>
      <c r="M44" s="1097"/>
      <c r="N44" s="1097"/>
      <c r="O44" s="1082"/>
      <c r="P44" s="1082"/>
      <c r="R44" s="1137">
        <v>50</v>
      </c>
      <c r="S44" s="1213">
        <v>2</v>
      </c>
      <c r="T44" s="1169"/>
      <c r="U44" s="1214" t="s">
        <v>1305</v>
      </c>
      <c r="V44" s="1215">
        <f ca="1">ROUND(1-V43,5)</f>
        <v>0.91295999999999999</v>
      </c>
      <c r="Y44" s="1216"/>
      <c r="Z44" s="1099"/>
      <c r="AA44" s="1099"/>
      <c r="AC44" s="1181"/>
      <c r="AF44" s="1180"/>
      <c r="AH44" s="1182"/>
      <c r="AL44" s="1181"/>
      <c r="AM44" s="1181"/>
      <c r="AN44" s="1181"/>
      <c r="AO44" s="1181"/>
      <c r="AP44" s="1181"/>
      <c r="AQ44" s="1181"/>
      <c r="AR44" s="1181"/>
      <c r="AS44" s="1181"/>
      <c r="AT44" s="1181"/>
    </row>
    <row r="45" spans="1:46" ht="15.75">
      <c r="A45" s="1082"/>
      <c r="B45" s="1082"/>
      <c r="C45" s="1082"/>
      <c r="D45" s="1082"/>
      <c r="E45" s="1082"/>
      <c r="F45" s="1136">
        <f t="shared" si="6"/>
        <v>39</v>
      </c>
      <c r="G45" s="1097"/>
      <c r="H45" s="1109" t="s">
        <v>1359</v>
      </c>
      <c r="I45" s="1210"/>
      <c r="J45" s="1211">
        <f t="shared" si="13"/>
        <v>1E-3</v>
      </c>
      <c r="K45" s="1212">
        <f ca="1">+J45*($J$7/$J$49)</f>
        <v>474.54272702095273</v>
      </c>
      <c r="L45" s="1097"/>
      <c r="M45" s="1097"/>
      <c r="N45" s="1097"/>
      <c r="O45" s="1082"/>
      <c r="P45" s="1082"/>
      <c r="R45" s="1137">
        <v>125</v>
      </c>
      <c r="S45" s="1213">
        <v>3</v>
      </c>
      <c r="T45" s="1169"/>
      <c r="U45" s="1217" t="s">
        <v>1360</v>
      </c>
      <c r="V45" s="1218">
        <f ca="1">+M7/Revenue-1</f>
        <v>9.8549313062628929E-2</v>
      </c>
      <c r="W45" s="1219"/>
      <c r="X45" s="1181"/>
      <c r="Y45" s="1216"/>
      <c r="Z45" s="1182"/>
      <c r="AA45" s="1181"/>
      <c r="AC45" s="1181"/>
      <c r="AD45" s="1181"/>
      <c r="AE45" s="1182"/>
      <c r="AF45" s="1180"/>
      <c r="AH45" s="1182"/>
      <c r="AL45" s="1181"/>
      <c r="AM45" s="1181"/>
      <c r="AN45" s="1181"/>
      <c r="AO45" s="1181"/>
      <c r="AP45" s="1181"/>
      <c r="AQ45" s="1181"/>
      <c r="AR45" s="1181"/>
      <c r="AS45" s="1181"/>
      <c r="AT45" s="1181"/>
    </row>
    <row r="46" spans="1:46" ht="15.75">
      <c r="A46" s="1082"/>
      <c r="B46" s="1082"/>
      <c r="C46" s="1082"/>
      <c r="D46" s="1082"/>
      <c r="E46" s="1082"/>
      <c r="F46" s="1136">
        <f t="shared" si="6"/>
        <v>40</v>
      </c>
      <c r="G46" s="1097"/>
      <c r="H46" s="1109" t="s">
        <v>1361</v>
      </c>
      <c r="I46" s="1210"/>
      <c r="J46" s="1211">
        <f t="shared" si="13"/>
        <v>1.17E-2</v>
      </c>
      <c r="K46" s="1212">
        <f ca="1">+J46*($J$7/$J$49)</f>
        <v>5552.1499061451468</v>
      </c>
      <c r="L46" s="1097"/>
      <c r="M46" s="1097"/>
      <c r="N46" s="1097"/>
      <c r="O46" s="1082"/>
      <c r="P46" s="1082"/>
      <c r="R46" s="1140">
        <v>401</v>
      </c>
      <c r="S46" s="1220">
        <v>4</v>
      </c>
      <c r="T46" s="1172"/>
      <c r="U46" s="1172"/>
      <c r="V46" s="1173"/>
      <c r="X46" s="1181"/>
      <c r="Y46" s="1197"/>
      <c r="Z46" s="1182"/>
      <c r="AA46" s="1181"/>
      <c r="AC46" s="1181"/>
      <c r="AD46" s="1181"/>
      <c r="AE46" s="1182"/>
      <c r="AF46" s="1180"/>
      <c r="AH46" s="1182"/>
      <c r="AL46" s="1181"/>
      <c r="AM46" s="1181"/>
      <c r="AN46" s="1181"/>
      <c r="AO46" s="1181"/>
      <c r="AP46" s="1181"/>
      <c r="AQ46" s="1181"/>
      <c r="AR46" s="1181"/>
      <c r="AS46" s="1181"/>
      <c r="AT46" s="1181"/>
    </row>
    <row r="47" spans="1:46" ht="16.5" thickBot="1">
      <c r="A47" s="1082"/>
      <c r="B47" s="1082"/>
      <c r="C47" s="1082"/>
      <c r="D47" s="1082"/>
      <c r="E47" s="1082"/>
      <c r="F47" s="1136">
        <f t="shared" si="6"/>
        <v>41</v>
      </c>
      <c r="G47" s="1097"/>
      <c r="H47" s="1109" t="s">
        <v>1362</v>
      </c>
      <c r="I47" s="1198"/>
      <c r="J47" s="1221">
        <f>SUM(J43:J46)</f>
        <v>3.2800000000000003E-2</v>
      </c>
      <c r="K47" s="1187">
        <f ca="1">+K43+K44+K45+K46</f>
        <v>15565.00144628725</v>
      </c>
      <c r="L47" s="1097"/>
      <c r="M47" s="1097"/>
      <c r="N47" s="1097"/>
      <c r="O47" s="1082"/>
      <c r="P47" s="1082"/>
      <c r="R47" s="1137"/>
      <c r="S47" s="1222"/>
      <c r="T47" s="1169"/>
      <c r="U47" s="1169"/>
      <c r="V47" s="1169"/>
      <c r="X47" s="1181"/>
      <c r="Y47" s="1197"/>
      <c r="Z47" s="1182"/>
      <c r="AA47" s="1181"/>
      <c r="AC47" s="1181"/>
      <c r="AD47" s="1181"/>
      <c r="AE47" s="1182"/>
      <c r="AF47" s="1180"/>
      <c r="AH47" s="1182"/>
      <c r="AL47" s="1181"/>
      <c r="AM47" s="1181"/>
      <c r="AN47" s="1181"/>
      <c r="AO47" s="1181"/>
      <c r="AP47" s="1181"/>
      <c r="AQ47" s="1181"/>
      <c r="AR47" s="1181"/>
      <c r="AS47" s="1181"/>
      <c r="AT47" s="1181"/>
    </row>
    <row r="48" spans="1:46" ht="16.5" thickTop="1">
      <c r="A48" s="1082"/>
      <c r="B48" s="1082"/>
      <c r="C48" s="1082"/>
      <c r="D48" s="1082"/>
      <c r="E48" s="1082"/>
      <c r="F48" s="1136">
        <f t="shared" si="6"/>
        <v>42</v>
      </c>
      <c r="G48" s="1097"/>
      <c r="H48" s="1109"/>
      <c r="I48" s="1198"/>
      <c r="J48" s="1223"/>
      <c r="K48" s="1163"/>
      <c r="L48" s="1097"/>
      <c r="M48" s="1097"/>
      <c r="N48" s="1097"/>
      <c r="O48" s="1082"/>
      <c r="P48" s="1082"/>
      <c r="R48" s="1224">
        <f ca="1">VLOOKUP(R49,R36:S39,2)</f>
        <v>280.0403194300402</v>
      </c>
      <c r="S48" s="1225" t="s">
        <v>1363</v>
      </c>
      <c r="T48" s="1161"/>
      <c r="V48" s="1160"/>
      <c r="X48" s="1091" t="s">
        <v>1364</v>
      </c>
      <c r="AC48" s="1181"/>
      <c r="AF48" s="1180"/>
      <c r="AH48" s="1182"/>
    </row>
    <row r="49" spans="1:46" ht="15.75">
      <c r="A49" s="1082"/>
      <c r="B49" s="1082"/>
      <c r="C49" s="1082"/>
      <c r="D49" s="1082"/>
      <c r="E49" s="1082"/>
      <c r="F49" s="1136">
        <f t="shared" si="6"/>
        <v>43</v>
      </c>
      <c r="G49" s="1103"/>
      <c r="H49" s="1226" t="s">
        <v>1365</v>
      </c>
      <c r="I49" s="1174"/>
      <c r="J49" s="1227">
        <f ca="1">((K35)-J47)</f>
        <v>0.8804404410829163</v>
      </c>
      <c r="K49" s="1174"/>
      <c r="L49" s="1174"/>
      <c r="M49" s="1174"/>
      <c r="N49" s="1174"/>
      <c r="O49" s="1082"/>
      <c r="P49" s="1082"/>
      <c r="R49" s="1228">
        <f ca="1">VLOOKUP(S36,R43:S46,2)</f>
        <v>3</v>
      </c>
      <c r="S49" s="1229" t="s">
        <v>1366</v>
      </c>
      <c r="T49" s="1209"/>
      <c r="X49" s="1091" t="s">
        <v>1367</v>
      </c>
      <c r="AA49" s="1099"/>
      <c r="AC49" s="1181"/>
      <c r="AH49" s="1182"/>
    </row>
    <row r="50" spans="1:46">
      <c r="A50" s="1082"/>
      <c r="B50" s="1082"/>
      <c r="C50" s="1082"/>
      <c r="D50" s="1082"/>
      <c r="E50" s="1082"/>
      <c r="F50" s="1082"/>
      <c r="G50" s="1082"/>
      <c r="H50" s="1082"/>
      <c r="I50" s="1082"/>
      <c r="J50" s="1082"/>
      <c r="K50" s="1230"/>
      <c r="L50" s="1082"/>
      <c r="M50" s="1082"/>
      <c r="N50" s="1231"/>
      <c r="O50" s="1082"/>
      <c r="P50" s="1082"/>
      <c r="R50" s="1228"/>
      <c r="S50" s="1217"/>
      <c r="T50" s="1209"/>
      <c r="X50" s="1091" t="s">
        <v>1368</v>
      </c>
      <c r="AA50" s="1181"/>
      <c r="AC50" s="1181"/>
      <c r="AD50" s="1181"/>
      <c r="AE50" s="1182"/>
      <c r="AH50" s="1182"/>
    </row>
    <row r="51" spans="1:46">
      <c r="A51" s="1082"/>
      <c r="B51" s="1082"/>
      <c r="C51" s="1082"/>
      <c r="D51" s="1082"/>
      <c r="E51" s="1082"/>
      <c r="F51" s="1082"/>
      <c r="G51" s="1082"/>
      <c r="H51" s="1082"/>
      <c r="I51" s="1082"/>
      <c r="J51" s="1082"/>
      <c r="K51" s="1230"/>
      <c r="L51" s="1082"/>
      <c r="M51" s="1082"/>
      <c r="N51" s="1231"/>
      <c r="O51" s="1082"/>
      <c r="P51" s="1082"/>
      <c r="R51" s="1232">
        <f ca="1">+V44</f>
        <v>0.91295999999999999</v>
      </c>
      <c r="S51" s="1233" t="s">
        <v>1305</v>
      </c>
      <c r="T51" s="1234"/>
      <c r="X51" s="1091" t="s">
        <v>1369</v>
      </c>
      <c r="AA51" s="1181"/>
      <c r="AC51" s="1181"/>
      <c r="AD51" s="1181"/>
      <c r="AE51" s="1182"/>
      <c r="AF51" s="1181"/>
      <c r="AH51" s="1182"/>
      <c r="AL51" s="1181"/>
      <c r="AM51" s="1181"/>
      <c r="AN51" s="1181"/>
      <c r="AO51" s="1181"/>
      <c r="AP51" s="1181"/>
      <c r="AQ51" s="1181"/>
      <c r="AR51" s="1181"/>
      <c r="AS51" s="1181"/>
      <c r="AT51" s="1181"/>
    </row>
    <row r="52" spans="1:46">
      <c r="A52" s="1082"/>
      <c r="B52" s="1082"/>
      <c r="C52" s="1082"/>
      <c r="D52" s="1082"/>
      <c r="E52" s="1082"/>
      <c r="F52" s="1082"/>
      <c r="G52" s="1082"/>
      <c r="H52" s="1082"/>
      <c r="I52" s="1082"/>
      <c r="J52" s="1082"/>
      <c r="K52" s="1082"/>
      <c r="L52" s="1082"/>
      <c r="M52" s="1082"/>
      <c r="N52" s="1082"/>
      <c r="O52" s="1082"/>
      <c r="P52" s="1082"/>
      <c r="Z52" s="1182"/>
      <c r="AA52" s="1181"/>
      <c r="AC52" s="1181"/>
      <c r="AD52" s="1181"/>
      <c r="AE52" s="1182"/>
      <c r="AF52" s="1180"/>
      <c r="AH52" s="1182"/>
      <c r="AL52" s="1181"/>
      <c r="AM52" s="1181"/>
      <c r="AN52" s="1181"/>
      <c r="AO52" s="1181"/>
      <c r="AP52" s="1181"/>
      <c r="AQ52" s="1181"/>
      <c r="AR52" s="1181"/>
      <c r="AS52" s="1181"/>
      <c r="AT52" s="1181"/>
    </row>
    <row r="53" spans="1:46">
      <c r="A53" s="1082"/>
      <c r="B53" s="1082"/>
      <c r="C53" s="1082"/>
      <c r="D53" s="1082"/>
      <c r="E53" s="1082"/>
      <c r="F53" s="1082"/>
      <c r="G53" s="1082"/>
      <c r="H53" s="1082"/>
      <c r="I53" s="1082"/>
      <c r="J53" s="1235"/>
      <c r="K53" s="1235"/>
      <c r="L53" s="1235"/>
      <c r="M53" s="1235"/>
      <c r="N53" s="1082"/>
      <c r="O53" s="1082"/>
      <c r="P53" s="1082"/>
      <c r="R53" s="1091"/>
      <c r="Z53" s="1182"/>
      <c r="AA53" s="1181"/>
      <c r="AC53" s="1181"/>
      <c r="AD53" s="1181"/>
      <c r="AE53" s="1182"/>
      <c r="AF53" s="1180"/>
      <c r="AH53" s="1182"/>
      <c r="AL53" s="1181"/>
      <c r="AM53" s="1181"/>
      <c r="AN53" s="1181"/>
      <c r="AO53" s="1181"/>
      <c r="AP53" s="1181"/>
      <c r="AQ53" s="1181"/>
      <c r="AR53" s="1181"/>
      <c r="AS53" s="1181"/>
      <c r="AT53" s="1181"/>
    </row>
    <row r="54" spans="1:46" ht="15.75">
      <c r="A54" s="1082"/>
      <c r="B54" s="1082"/>
      <c r="C54" s="1082"/>
      <c r="D54" s="1082"/>
      <c r="E54" s="1082"/>
      <c r="F54" s="1082"/>
      <c r="G54" s="1082"/>
      <c r="H54" s="1082"/>
      <c r="I54" s="1082"/>
      <c r="J54" s="1082"/>
      <c r="K54" s="1235"/>
      <c r="L54" s="1235"/>
      <c r="M54" s="1235"/>
      <c r="N54" s="1082"/>
      <c r="O54" s="1082"/>
      <c r="P54" s="1082"/>
      <c r="R54" s="1091"/>
      <c r="S54" s="1091" t="s">
        <v>1370</v>
      </c>
      <c r="T54" s="1181"/>
      <c r="U54" s="1236"/>
      <c r="W54" s="1237" t="s">
        <v>1371</v>
      </c>
      <c r="X54" s="1238"/>
      <c r="Y54" s="1238"/>
      <c r="Z54" s="1238"/>
      <c r="AC54" s="1181"/>
      <c r="AF54" s="1180"/>
      <c r="AH54" s="1182"/>
      <c r="AL54" s="1181"/>
      <c r="AM54" s="1181"/>
      <c r="AN54" s="1181"/>
      <c r="AO54" s="1181"/>
      <c r="AP54" s="1181"/>
      <c r="AQ54" s="1181"/>
      <c r="AR54" s="1181"/>
      <c r="AS54" s="1181"/>
      <c r="AT54" s="1181"/>
    </row>
    <row r="55" spans="1:46">
      <c r="A55" s="1082"/>
      <c r="B55" s="1082"/>
      <c r="C55" s="1082"/>
      <c r="D55" s="1082"/>
      <c r="E55" s="1082"/>
      <c r="F55" s="1082"/>
      <c r="G55" s="1082"/>
      <c r="H55" s="1082"/>
      <c r="I55" s="1082"/>
      <c r="J55" s="1082"/>
      <c r="K55" s="1082"/>
      <c r="L55" s="1239"/>
      <c r="M55" s="1239"/>
      <c r="N55" s="1082"/>
      <c r="O55" s="1082"/>
      <c r="P55" s="1082"/>
      <c r="R55" s="1240"/>
      <c r="S55" s="1241" t="s">
        <v>1339</v>
      </c>
      <c r="T55" s="1241" t="s">
        <v>72</v>
      </c>
      <c r="U55" s="1242" t="s">
        <v>1341</v>
      </c>
      <c r="W55" s="1243" t="s">
        <v>1372</v>
      </c>
      <c r="X55" s="1244">
        <v>5.7225999999999999</v>
      </c>
      <c r="Y55" s="1245" t="s">
        <v>1373</v>
      </c>
      <c r="Z55" s="1246">
        <v>5.6985000000000001</v>
      </c>
      <c r="AA55" s="1099"/>
      <c r="AC55" s="1181"/>
      <c r="AH55" s="1182"/>
    </row>
    <row r="56" spans="1:46">
      <c r="A56" s="1082"/>
      <c r="B56" s="1082"/>
      <c r="C56" s="1082"/>
      <c r="D56" s="1082"/>
      <c r="E56" s="1082"/>
      <c r="F56" s="1082"/>
      <c r="G56" s="1082"/>
      <c r="H56" s="1082"/>
      <c r="I56" s="1082"/>
      <c r="J56" s="1239"/>
      <c r="K56" s="1082"/>
      <c r="L56" s="1239"/>
      <c r="M56" s="1239"/>
      <c r="N56" s="1082"/>
      <c r="O56" s="1082"/>
      <c r="P56" s="1082"/>
      <c r="R56" s="1092" t="s">
        <v>208</v>
      </c>
      <c r="S56" s="1247">
        <v>0.56200000000000006</v>
      </c>
      <c r="T56" s="1247">
        <v>6.3799999999999996E-2</v>
      </c>
      <c r="U56" s="1215">
        <f>ROUND(+S56*T56,5)</f>
        <v>3.5860000000000003E-2</v>
      </c>
      <c r="W56" s="1248" t="s">
        <v>1374</v>
      </c>
      <c r="X56" s="1249">
        <v>5.7082699999999997</v>
      </c>
      <c r="Y56" s="1250" t="s">
        <v>1375</v>
      </c>
      <c r="Z56" s="1251">
        <v>5.6921999999999997</v>
      </c>
      <c r="AA56" s="1181"/>
      <c r="AC56" s="1181"/>
      <c r="AD56" s="1181"/>
      <c r="AE56" s="1182"/>
      <c r="AH56" s="1182"/>
    </row>
    <row r="57" spans="1:46">
      <c r="A57" s="1082"/>
      <c r="B57" s="1082"/>
      <c r="C57" s="1082"/>
      <c r="D57" s="1082"/>
      <c r="E57" s="1235"/>
      <c r="F57" s="1082"/>
      <c r="G57" s="1082"/>
      <c r="H57" s="1082"/>
      <c r="I57" s="1082"/>
      <c r="J57" s="1239"/>
      <c r="K57" s="1082"/>
      <c r="L57" s="1239"/>
      <c r="M57" s="1239"/>
      <c r="N57" s="1082"/>
      <c r="O57" s="1082"/>
      <c r="P57" s="1082"/>
      <c r="R57" s="1092" t="s">
        <v>1376</v>
      </c>
      <c r="S57" s="1247">
        <v>9.4E-2</v>
      </c>
      <c r="T57" s="1247">
        <v>6.59E-2</v>
      </c>
      <c r="U57" s="1215">
        <f>ROUND(+S57*T57,5)</f>
        <v>6.1900000000000002E-3</v>
      </c>
      <c r="W57" s="1092"/>
      <c r="X57" s="1169"/>
      <c r="Y57" s="1252"/>
      <c r="Z57" s="1253"/>
      <c r="AA57" s="1181"/>
      <c r="AC57" s="1181"/>
      <c r="AD57" s="1181"/>
      <c r="AE57" s="1182"/>
      <c r="AF57" s="1180"/>
      <c r="AH57" s="1182"/>
      <c r="AL57" s="1181"/>
    </row>
    <row r="58" spans="1:46" ht="15.75">
      <c r="A58" s="1082"/>
      <c r="B58" s="1082"/>
      <c r="C58" s="1082"/>
      <c r="D58" s="1082"/>
      <c r="E58" s="1235"/>
      <c r="F58" s="1235"/>
      <c r="G58" s="1235"/>
      <c r="H58" s="1254"/>
      <c r="I58" s="1235"/>
      <c r="J58" s="1239"/>
      <c r="K58" s="1082"/>
      <c r="L58" s="1082"/>
      <c r="M58" s="1082"/>
      <c r="N58" s="1082"/>
      <c r="O58" s="1082"/>
      <c r="P58" s="1082"/>
      <c r="R58" s="1092" t="s">
        <v>204</v>
      </c>
      <c r="S58" s="1255">
        <v>0.34399999999999997</v>
      </c>
      <c r="T58" s="1256"/>
      <c r="U58" s="1257"/>
      <c r="W58" s="1171"/>
      <c r="X58" s="1258" t="s">
        <v>1377</v>
      </c>
      <c r="Y58" s="1259">
        <v>0.68367</v>
      </c>
      <c r="Z58" s="1260"/>
      <c r="AA58" s="1181"/>
      <c r="AC58" s="1181"/>
      <c r="AD58" s="1181"/>
      <c r="AE58" s="1182"/>
      <c r="AF58" s="1180"/>
      <c r="AH58" s="1182"/>
    </row>
    <row r="59" spans="1:46" ht="15.75">
      <c r="A59" s="1082"/>
      <c r="B59" s="1082"/>
      <c r="C59" s="1082"/>
      <c r="D59" s="1082"/>
      <c r="E59" s="1082"/>
      <c r="F59" s="1082"/>
      <c r="G59" s="1082"/>
      <c r="H59" s="1082"/>
      <c r="I59" s="1082"/>
      <c r="J59" s="1082"/>
      <c r="K59" s="1082"/>
      <c r="L59" s="1082"/>
      <c r="M59" s="1082"/>
      <c r="N59" s="1082"/>
      <c r="O59" s="1082"/>
      <c r="P59" s="1082"/>
      <c r="R59" s="1171"/>
      <c r="S59" s="1255">
        <f>SUM(S56:S58)</f>
        <v>1</v>
      </c>
      <c r="T59" s="1261"/>
      <c r="U59" s="1262"/>
      <c r="X59" s="1181"/>
      <c r="Y59" s="1197"/>
      <c r="Z59" s="1182"/>
      <c r="AA59" s="1181"/>
      <c r="AC59" s="1181"/>
      <c r="AD59" s="1181"/>
      <c r="AE59" s="1182"/>
      <c r="AF59" s="1180"/>
      <c r="AH59" s="1182"/>
    </row>
    <row r="60" spans="1:46">
      <c r="A60" s="1082"/>
      <c r="B60" s="1082"/>
      <c r="C60" s="1082"/>
      <c r="D60" s="1082"/>
      <c r="E60" s="1082"/>
      <c r="F60" s="1082"/>
      <c r="G60" s="1082"/>
      <c r="H60" s="1082"/>
      <c r="I60" s="1082"/>
      <c r="J60" s="1082"/>
      <c r="K60" s="1082"/>
      <c r="L60" s="1082"/>
      <c r="M60" s="1082"/>
      <c r="N60" s="1082"/>
      <c r="O60" s="1082"/>
      <c r="P60" s="1082"/>
      <c r="X60" s="1263"/>
      <c r="AC60" s="1181"/>
      <c r="AF60" s="1180"/>
      <c r="AH60" s="1182"/>
      <c r="AL60" s="1180"/>
      <c r="AM60" s="1180"/>
      <c r="AN60" s="1180"/>
      <c r="AO60" s="1180"/>
      <c r="AP60" s="1180"/>
      <c r="AQ60" s="1180"/>
      <c r="AR60" s="1180"/>
      <c r="AS60" s="1180"/>
      <c r="AT60" s="1180"/>
    </row>
    <row r="61" spans="1:46">
      <c r="A61" s="1082"/>
      <c r="B61" s="1082"/>
      <c r="C61" s="1082"/>
      <c r="D61" s="1082"/>
      <c r="E61" s="1235"/>
      <c r="F61" s="1082"/>
      <c r="G61" s="1082"/>
      <c r="H61" s="1082"/>
      <c r="I61" s="1082"/>
      <c r="J61" s="1082"/>
      <c r="K61" s="1082"/>
      <c r="L61" s="1082"/>
      <c r="M61" s="1082"/>
      <c r="N61" s="1082"/>
      <c r="O61" s="1082"/>
      <c r="P61" s="1082"/>
      <c r="W61" s="1240" t="s">
        <v>1346</v>
      </c>
      <c r="X61" s="1264"/>
      <c r="Y61" s="1160" t="s">
        <v>1378</v>
      </c>
      <c r="Z61" s="1161" t="s">
        <v>1287</v>
      </c>
      <c r="AC61" s="1181"/>
      <c r="AH61" s="1182"/>
      <c r="AL61" s="1180"/>
      <c r="AM61" s="1180"/>
      <c r="AN61" s="1180"/>
      <c r="AO61" s="1180"/>
      <c r="AP61" s="1180"/>
      <c r="AQ61" s="1180"/>
      <c r="AR61" s="1180"/>
      <c r="AS61" s="1180"/>
      <c r="AT61" s="1180"/>
    </row>
    <row r="62" spans="1:46">
      <c r="A62" s="1082"/>
      <c r="B62" s="1082"/>
      <c r="C62" s="1082"/>
      <c r="D62" s="1082"/>
      <c r="E62" s="1082"/>
      <c r="F62" s="1235"/>
      <c r="G62" s="1235"/>
      <c r="H62" s="1235"/>
      <c r="I62" s="1235"/>
      <c r="J62" s="1235"/>
      <c r="K62" s="1235"/>
      <c r="L62" s="1235"/>
      <c r="M62" s="1235"/>
      <c r="N62" s="1235"/>
      <c r="O62" s="1082"/>
      <c r="P62" s="1082"/>
      <c r="W62" s="1265"/>
      <c r="X62" s="1266"/>
      <c r="Y62" s="1266"/>
      <c r="Z62" s="1267"/>
      <c r="AC62" s="1181"/>
      <c r="AD62" s="1181"/>
      <c r="AE62" s="1182"/>
      <c r="AH62" s="1182"/>
      <c r="AL62" s="1180"/>
      <c r="AM62" s="1180"/>
      <c r="AN62" s="1180"/>
      <c r="AO62" s="1180"/>
      <c r="AP62" s="1180"/>
      <c r="AQ62" s="1180"/>
      <c r="AR62" s="1180"/>
      <c r="AS62" s="1180"/>
      <c r="AT62" s="1180"/>
    </row>
    <row r="63" spans="1:46">
      <c r="A63" s="1082"/>
      <c r="B63" s="1082"/>
      <c r="C63" s="1082"/>
      <c r="D63" s="1082"/>
      <c r="E63" s="1082"/>
      <c r="F63" s="1082"/>
      <c r="G63" s="1082"/>
      <c r="H63" s="1082"/>
      <c r="I63" s="1082"/>
      <c r="J63" s="1082"/>
      <c r="K63" s="1082"/>
      <c r="L63" s="1082"/>
      <c r="M63" s="1082"/>
      <c r="N63" s="1082"/>
      <c r="O63" s="1082"/>
      <c r="P63" s="1082"/>
      <c r="W63" s="1092" t="s">
        <v>1348</v>
      </c>
      <c r="X63" s="1266"/>
      <c r="Y63" s="1215">
        <f t="shared" ref="Y63:Z68" ca="1" si="14">+J33</f>
        <v>0.24296285328948436</v>
      </c>
      <c r="Z63" s="1215">
        <f ca="1">+K33</f>
        <v>0.17161474023684936</v>
      </c>
      <c r="AC63" s="1181"/>
      <c r="AD63" s="1181"/>
      <c r="AE63" s="1182"/>
      <c r="AF63" s="1180"/>
      <c r="AH63" s="1182"/>
      <c r="AL63" s="1180"/>
      <c r="AM63" s="1180"/>
      <c r="AN63" s="1180"/>
      <c r="AO63" s="1180"/>
      <c r="AP63" s="1180"/>
      <c r="AQ63" s="1180"/>
      <c r="AR63" s="1180"/>
      <c r="AS63" s="1180"/>
      <c r="AT63" s="1180"/>
    </row>
    <row r="64" spans="1:46">
      <c r="A64" s="1082"/>
      <c r="B64" s="1082"/>
      <c r="C64" s="1082"/>
      <c r="D64" s="1082"/>
      <c r="E64" s="1082"/>
      <c r="F64" s="1082"/>
      <c r="G64" s="1082"/>
      <c r="H64" s="1082"/>
      <c r="I64" s="1082"/>
      <c r="J64" s="1082"/>
      <c r="K64" s="1082"/>
      <c r="L64" s="1082"/>
      <c r="M64" s="1082"/>
      <c r="N64" s="1082"/>
      <c r="O64" s="1082"/>
      <c r="P64" s="1082"/>
      <c r="W64" s="1092" t="s">
        <v>1349</v>
      </c>
      <c r="X64" s="1266"/>
      <c r="Y64" s="1215">
        <f t="shared" ca="1" si="14"/>
        <v>0.37160475548247396</v>
      </c>
      <c r="Z64" s="1215">
        <f t="shared" ca="1" si="14"/>
        <v>0.25269123372808228</v>
      </c>
      <c r="AC64" s="1181"/>
      <c r="AD64" s="1181"/>
      <c r="AE64" s="1182"/>
      <c r="AF64" s="1180"/>
      <c r="AH64" s="1182"/>
    </row>
    <row r="65" spans="1:38">
      <c r="A65" s="1091" t="b">
        <v>1</v>
      </c>
      <c r="F65" s="1082"/>
      <c r="G65" s="1082"/>
      <c r="H65" s="1082"/>
      <c r="I65" s="1082"/>
      <c r="J65" s="1082"/>
      <c r="K65" s="1082"/>
      <c r="L65" s="1082"/>
      <c r="M65" s="1082"/>
      <c r="N65" s="1082"/>
      <c r="W65" s="1092" t="s">
        <v>1305</v>
      </c>
      <c r="X65" s="1266"/>
      <c r="Y65" s="1215">
        <f t="shared" ca="1" si="14"/>
        <v>0.91295999999999999</v>
      </c>
      <c r="Z65" s="1215">
        <f t="shared" ca="1" si="14"/>
        <v>0.91324044108291635</v>
      </c>
      <c r="AC65" s="1181"/>
      <c r="AD65" s="1181"/>
      <c r="AE65" s="1182"/>
      <c r="AF65" s="1180"/>
      <c r="AH65" s="1182"/>
    </row>
    <row r="66" spans="1:38">
      <c r="H66" s="1180"/>
      <c r="I66" s="1180"/>
      <c r="J66" s="1180"/>
      <c r="K66" s="1180"/>
      <c r="L66" s="1180"/>
      <c r="M66" s="1180"/>
      <c r="N66" s="1180"/>
      <c r="O66" s="1180"/>
      <c r="W66" s="1092" t="s">
        <v>1351</v>
      </c>
      <c r="X66" s="1266"/>
      <c r="Y66" s="1215">
        <f t="shared" ca="1" si="14"/>
        <v>8.7040000000000048E-2</v>
      </c>
      <c r="Z66" s="1215">
        <f t="shared" ca="1" si="14"/>
        <v>8.7040000000000048E-2</v>
      </c>
      <c r="AC66" s="1181"/>
      <c r="AF66" s="1180"/>
      <c r="AH66" s="1182"/>
      <c r="AL66" s="1180"/>
    </row>
    <row r="67" spans="1:38">
      <c r="H67" s="1180"/>
      <c r="I67" s="1180"/>
      <c r="J67" s="1180"/>
      <c r="K67" s="1180"/>
      <c r="L67" s="1180"/>
      <c r="M67" s="1180"/>
      <c r="N67" s="1180"/>
      <c r="O67" s="1180"/>
      <c r="W67" s="1092" t="s">
        <v>1352</v>
      </c>
      <c r="X67" s="1269"/>
      <c r="Y67" s="1215">
        <f t="shared" ca="1" si="14"/>
        <v>2.7983888411690598</v>
      </c>
      <c r="Z67" s="1215">
        <f t="shared" ca="1" si="14"/>
        <v>2.7983888411690598</v>
      </c>
      <c r="AC67" s="1181"/>
      <c r="AH67" s="1182"/>
    </row>
    <row r="68" spans="1:38">
      <c r="O68" s="1180"/>
      <c r="W68" s="1092" t="s">
        <v>1353</v>
      </c>
      <c r="X68" s="1270"/>
      <c r="Y68" s="1215">
        <f t="shared" si="14"/>
        <v>0.32</v>
      </c>
      <c r="Z68" s="1215">
        <f t="shared" si="14"/>
        <v>0.32</v>
      </c>
      <c r="AC68" s="1181"/>
      <c r="AD68" s="1181"/>
      <c r="AE68" s="1182"/>
      <c r="AH68" s="1182"/>
    </row>
    <row r="69" spans="1:38" ht="15.75">
      <c r="O69" s="1180"/>
      <c r="W69" s="1092"/>
      <c r="X69" s="1169"/>
      <c r="Y69" s="1256"/>
      <c r="Z69" s="1271"/>
      <c r="AC69" s="1181"/>
      <c r="AD69" s="1181"/>
      <c r="AE69" s="1182"/>
      <c r="AF69" s="1180"/>
      <c r="AH69" s="1182"/>
    </row>
    <row r="70" spans="1:38">
      <c r="O70" s="1180"/>
      <c r="W70" s="1171"/>
      <c r="X70" s="1272"/>
      <c r="Y70" s="1273"/>
      <c r="Z70" s="1274"/>
      <c r="AA70" s="1181"/>
      <c r="AC70" s="1181"/>
      <c r="AD70" s="1181"/>
      <c r="AE70" s="1182"/>
      <c r="AF70" s="1180"/>
      <c r="AH70" s="1182"/>
    </row>
    <row r="71" spans="1:38">
      <c r="X71" s="1181"/>
      <c r="Y71" s="1197"/>
      <c r="Z71" s="1182"/>
      <c r="AA71" s="1181"/>
      <c r="AC71" s="1181"/>
      <c r="AD71" s="1181"/>
      <c r="AE71" s="1182"/>
      <c r="AF71" s="1180"/>
      <c r="AH71" s="1182"/>
    </row>
    <row r="72" spans="1:38">
      <c r="AC72" s="1181"/>
      <c r="AF72" s="1180"/>
      <c r="AH72" s="1182"/>
    </row>
    <row r="73" spans="1:38">
      <c r="Y73" s="1099"/>
      <c r="Z73" s="1099"/>
      <c r="AA73" s="1099"/>
      <c r="AC73" s="1181"/>
      <c r="AH73" s="1182"/>
    </row>
    <row r="74" spans="1:38">
      <c r="X74" s="1181"/>
      <c r="Y74" s="1197"/>
      <c r="Z74" s="1182"/>
      <c r="AA74" s="1181"/>
      <c r="AC74" s="1181"/>
      <c r="AD74" s="1181"/>
      <c r="AE74" s="1182"/>
      <c r="AH74" s="1182"/>
    </row>
    <row r="75" spans="1:38">
      <c r="X75" s="1181"/>
      <c r="Y75" s="1197"/>
      <c r="Z75" s="1182"/>
      <c r="AA75" s="1181"/>
      <c r="AC75" s="1181"/>
      <c r="AD75" s="1181"/>
      <c r="AE75" s="1182"/>
      <c r="AF75" s="1180"/>
      <c r="AH75" s="1182"/>
    </row>
    <row r="76" spans="1:38">
      <c r="X76" s="1181"/>
      <c r="Y76" s="1197"/>
      <c r="Z76" s="1182"/>
      <c r="AA76" s="1181"/>
      <c r="AC76" s="1181"/>
      <c r="AD76" s="1181"/>
      <c r="AE76" s="1182"/>
      <c r="AF76" s="1180"/>
      <c r="AH76" s="1182"/>
    </row>
    <row r="77" spans="1:38">
      <c r="X77" s="1181"/>
      <c r="Y77" s="1197"/>
      <c r="Z77" s="1182"/>
      <c r="AA77" s="1181"/>
      <c r="AC77" s="1181"/>
      <c r="AD77" s="1181"/>
      <c r="AE77" s="1182"/>
      <c r="AF77" s="1180"/>
      <c r="AH77" s="1182"/>
    </row>
    <row r="78" spans="1:38">
      <c r="AC78" s="1181"/>
      <c r="AF78" s="1180"/>
      <c r="AH78" s="1182"/>
    </row>
    <row r="80" spans="1:38">
      <c r="X80" s="1181"/>
      <c r="Y80" s="1197"/>
      <c r="Z80" s="1182"/>
      <c r="AA80" s="1181"/>
      <c r="AD80" s="1181"/>
      <c r="AE80" s="1182"/>
    </row>
    <row r="81" spans="24:32">
      <c r="X81" s="1181"/>
      <c r="Y81" s="1197"/>
      <c r="Z81" s="1182"/>
      <c r="AA81" s="1181"/>
      <c r="AD81" s="1181"/>
      <c r="AE81" s="1182"/>
      <c r="AF81" s="1180"/>
    </row>
    <row r="82" spans="24:32">
      <c r="X82" s="1181"/>
      <c r="Y82" s="1197"/>
      <c r="Z82" s="1182"/>
      <c r="AA82" s="1181"/>
      <c r="AD82" s="1181"/>
      <c r="AE82" s="1182"/>
      <c r="AF82" s="1180"/>
    </row>
    <row r="83" spans="24:32">
      <c r="X83" s="1181"/>
      <c r="Y83" s="1197"/>
      <c r="Z83" s="1182"/>
      <c r="AA83" s="1181"/>
      <c r="AD83" s="1181"/>
      <c r="AE83" s="1182"/>
      <c r="AF83" s="1180"/>
    </row>
    <row r="84" spans="24:32">
      <c r="AF84" s="1180"/>
    </row>
    <row r="86" spans="24:32">
      <c r="X86" s="1181"/>
      <c r="Y86" s="1197"/>
      <c r="Z86" s="1182"/>
      <c r="AA86" s="1181"/>
      <c r="AD86" s="1181"/>
      <c r="AE86" s="1182"/>
    </row>
    <row r="87" spans="24:32">
      <c r="X87" s="1181"/>
      <c r="Y87" s="1197"/>
      <c r="Z87" s="1182"/>
      <c r="AA87" s="1181"/>
      <c r="AD87" s="1181"/>
      <c r="AE87" s="1182"/>
      <c r="AF87" s="1180"/>
    </row>
    <row r="88" spans="24:32">
      <c r="X88" s="1181"/>
      <c r="Y88" s="1197"/>
      <c r="Z88" s="1182"/>
      <c r="AA88" s="1181"/>
      <c r="AD88" s="1181"/>
      <c r="AE88" s="1182"/>
      <c r="AF88" s="1180"/>
    </row>
    <row r="89" spans="24:32">
      <c r="X89" s="1181"/>
      <c r="Y89" s="1197"/>
      <c r="Z89" s="1182"/>
      <c r="AA89" s="1181"/>
      <c r="AD89" s="1181"/>
      <c r="AE89" s="1182"/>
      <c r="AF89" s="1180"/>
    </row>
    <row r="90" spans="24:32">
      <c r="AF90" s="1180"/>
    </row>
    <row r="92" spans="24:32">
      <c r="X92" s="1181"/>
      <c r="Y92" s="1197"/>
      <c r="Z92" s="1182"/>
      <c r="AA92" s="1181"/>
      <c r="AD92" s="1181"/>
      <c r="AE92" s="1182"/>
    </row>
    <row r="93" spans="24:32">
      <c r="X93" s="1181"/>
      <c r="Y93" s="1197"/>
      <c r="Z93" s="1182"/>
      <c r="AA93" s="1181"/>
      <c r="AD93" s="1181"/>
      <c r="AE93" s="1182"/>
      <c r="AF93" s="1180"/>
    </row>
    <row r="94" spans="24:32">
      <c r="X94" s="1181"/>
      <c r="Y94" s="1197"/>
      <c r="Z94" s="1182"/>
      <c r="AA94" s="1181"/>
      <c r="AD94" s="1181"/>
      <c r="AE94" s="1182"/>
      <c r="AF94" s="1180"/>
    </row>
    <row r="95" spans="24:32">
      <c r="X95" s="1181"/>
      <c r="Y95" s="1197"/>
      <c r="Z95" s="1182"/>
      <c r="AA95" s="1181"/>
      <c r="AD95" s="1181"/>
      <c r="AE95" s="1182"/>
      <c r="AF95" s="1180"/>
    </row>
    <row r="96" spans="24:32">
      <c r="AF96" s="1180"/>
    </row>
    <row r="98" spans="24:32">
      <c r="X98" s="1181"/>
      <c r="Y98" s="1197"/>
      <c r="Z98" s="1182"/>
      <c r="AA98" s="1181"/>
      <c r="AD98" s="1181"/>
      <c r="AE98" s="1182"/>
    </row>
    <row r="99" spans="24:32">
      <c r="X99" s="1181"/>
      <c r="Y99" s="1197"/>
      <c r="Z99" s="1182"/>
      <c r="AA99" s="1181"/>
      <c r="AD99" s="1181"/>
      <c r="AE99" s="1182"/>
      <c r="AF99" s="1180"/>
    </row>
    <row r="100" spans="24:32">
      <c r="X100" s="1181"/>
      <c r="Y100" s="1197"/>
      <c r="Z100" s="1182"/>
      <c r="AA100" s="1181"/>
      <c r="AD100" s="1181"/>
      <c r="AE100" s="1182"/>
      <c r="AF100" s="1180"/>
    </row>
    <row r="101" spans="24:32">
      <c r="X101" s="1181"/>
      <c r="Y101" s="1197"/>
      <c r="Z101" s="1182"/>
      <c r="AA101" s="1181"/>
      <c r="AD101" s="1181"/>
      <c r="AE101" s="1182"/>
      <c r="AF101" s="1180"/>
    </row>
    <row r="102" spans="24:32">
      <c r="AF102" s="1180"/>
    </row>
    <row r="104" spans="24:32">
      <c r="X104" s="1181"/>
      <c r="Y104" s="1197"/>
      <c r="Z104" s="1182"/>
      <c r="AA104" s="1181"/>
      <c r="AD104" s="1181"/>
      <c r="AE104" s="1182"/>
    </row>
    <row r="105" spans="24:32">
      <c r="X105" s="1181"/>
      <c r="Y105" s="1197"/>
      <c r="Z105" s="1182"/>
      <c r="AA105" s="1181"/>
      <c r="AD105" s="1181"/>
      <c r="AE105" s="1182"/>
      <c r="AF105" s="1180"/>
    </row>
    <row r="106" spans="24:32">
      <c r="X106" s="1181"/>
      <c r="Y106" s="1197"/>
      <c r="Z106" s="1182"/>
      <c r="AA106" s="1181"/>
      <c r="AD106" s="1181"/>
      <c r="AE106" s="1182"/>
      <c r="AF106" s="1180"/>
    </row>
    <row r="107" spans="24:32">
      <c r="X107" s="1181"/>
      <c r="Y107" s="1197"/>
      <c r="Z107" s="1182"/>
      <c r="AA107" s="1181"/>
      <c r="AD107" s="1181"/>
      <c r="AE107" s="1182"/>
      <c r="AF107" s="1180"/>
    </row>
    <row r="108" spans="24:32">
      <c r="AF108" s="1180"/>
    </row>
    <row r="110" spans="24:32">
      <c r="X110" s="1181"/>
      <c r="Y110" s="1197"/>
      <c r="Z110" s="1182"/>
      <c r="AA110" s="1181"/>
      <c r="AD110" s="1181"/>
      <c r="AE110" s="1182"/>
    </row>
    <row r="111" spans="24:32">
      <c r="X111" s="1181"/>
      <c r="Y111" s="1197"/>
      <c r="Z111" s="1182"/>
      <c r="AA111" s="1181"/>
      <c r="AD111" s="1181"/>
      <c r="AE111" s="1182"/>
    </row>
    <row r="112" spans="24:32">
      <c r="X112" s="1181"/>
      <c r="Y112" s="1197"/>
      <c r="Z112" s="1182"/>
      <c r="AA112" s="1181"/>
      <c r="AD112" s="1181"/>
      <c r="AE112" s="1182"/>
    </row>
    <row r="113" spans="24:31">
      <c r="X113" s="1181"/>
      <c r="Y113" s="1197"/>
      <c r="Z113" s="1182"/>
      <c r="AA113" s="1181"/>
      <c r="AD113" s="1181"/>
      <c r="AE113" s="1182"/>
    </row>
  </sheetData>
  <mergeCells count="6">
    <mergeCell ref="B18:C18"/>
    <mergeCell ref="B2:C2"/>
    <mergeCell ref="AF2:AI2"/>
    <mergeCell ref="B15:C15"/>
    <mergeCell ref="C16:D16"/>
    <mergeCell ref="B17:C17"/>
  </mergeCells>
  <printOptions horizontalCentered="1"/>
  <pageMargins left="0.25" right="0.25" top="0.3" bottom="0.44" header="0.23" footer="0.21"/>
  <pageSetup scale="92" orientation="portrait" r:id="rId1"/>
  <headerFooter alignWithMargins="0"/>
  <drawing r:id="rId2"/>
  <legacyDrawing r:id="rId3"/>
  <controls>
    <mc:AlternateContent xmlns:mc="http://schemas.openxmlformats.org/markup-compatibility/2006">
      <mc:Choice Requires="x14">
        <control shapeId="117761" r:id="rId4" name="CheckBox1">
          <controlPr defaultSize="0" autoFill="0" autoLine="0" linkedCell="A65" r:id="rId5">
            <anchor moveWithCells="1">
              <from>
                <xdr:col>2</xdr:col>
                <xdr:colOff>95250</xdr:colOff>
                <xdr:row>14</xdr:row>
                <xdr:rowOff>171450</xdr:rowOff>
              </from>
              <to>
                <xdr:col>2</xdr:col>
                <xdr:colOff>352425</xdr:colOff>
                <xdr:row>16</xdr:row>
                <xdr:rowOff>19050</xdr:rowOff>
              </to>
            </anchor>
          </controlPr>
        </control>
      </mc:Choice>
      <mc:Fallback>
        <control shapeId="117761" r:id="rId4" name="CheckBox1"/>
      </mc:Fallback>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H38"/>
  <sheetViews>
    <sheetView zoomScaleNormal="100" workbookViewId="0">
      <selection sqref="A1:H1"/>
    </sheetView>
  </sheetViews>
  <sheetFormatPr defaultColWidth="9.77734375" defaultRowHeight="15.75"/>
  <cols>
    <col min="1" max="1" width="5.44140625" style="13" customWidth="1"/>
    <col min="2" max="2" width="10.77734375" style="13" customWidth="1"/>
    <col min="3" max="3" width="9.77734375" style="13" customWidth="1"/>
    <col min="4" max="5" width="11.33203125" style="13" customWidth="1"/>
    <col min="6" max="6" width="10.109375" style="13" customWidth="1"/>
    <col min="7" max="8" width="10.33203125" style="13" customWidth="1"/>
    <col min="9" max="16384" width="9.77734375" style="13"/>
  </cols>
  <sheetData>
    <row r="1" spans="1:8" ht="16.5" customHeight="1">
      <c r="A1" s="1335" t="str">
        <f>+'WP-4 - Dues &amp; Sub'!A1:I1</f>
        <v>WASTE CONTROL, INC.</v>
      </c>
      <c r="B1" s="1335"/>
      <c r="C1" s="1335"/>
      <c r="D1" s="1335"/>
      <c r="E1" s="1335"/>
      <c r="F1" s="1335"/>
      <c r="G1" s="1335"/>
      <c r="H1" s="1335"/>
    </row>
    <row r="2" spans="1:8" ht="13.5" customHeight="1">
      <c r="A2" s="27"/>
    </row>
    <row r="3" spans="1:8" ht="16.5" customHeight="1">
      <c r="A3" s="1336" t="s">
        <v>1005</v>
      </c>
      <c r="B3" s="1336"/>
      <c r="C3" s="1336"/>
      <c r="D3" s="1336"/>
      <c r="E3" s="1336"/>
      <c r="F3" s="1336"/>
      <c r="G3" s="1336"/>
      <c r="H3" s="1336"/>
    </row>
    <row r="4" spans="1:8">
      <c r="A4" s="14"/>
      <c r="B4" s="14"/>
      <c r="C4" s="14"/>
      <c r="D4" s="14"/>
      <c r="E4" s="14"/>
      <c r="F4" s="14"/>
      <c r="G4" s="14"/>
      <c r="H4" s="14"/>
    </row>
    <row r="5" spans="1:8">
      <c r="A5" s="1319" t="str">
        <f>'WP-4 - Dues &amp; Sub'!$A$5</f>
        <v>In Support of Tariff 19 effective September 7, 2018</v>
      </c>
      <c r="B5" s="1319"/>
      <c r="C5" s="1319"/>
      <c r="D5" s="1319"/>
      <c r="E5" s="1319"/>
      <c r="F5" s="1319"/>
      <c r="G5" s="1319"/>
      <c r="H5" s="1319"/>
    </row>
    <row r="7" spans="1:8" ht="15" customHeight="1">
      <c r="A7" s="286"/>
      <c r="B7" s="286"/>
      <c r="C7" s="286"/>
      <c r="D7" s="286"/>
      <c r="E7" s="286"/>
      <c r="F7" s="286"/>
      <c r="G7" s="287" t="s">
        <v>201</v>
      </c>
      <c r="H7" s="286"/>
    </row>
    <row r="8" spans="1:8" ht="15" customHeight="1">
      <c r="A8" s="286"/>
      <c r="B8" s="286"/>
      <c r="C8" s="286"/>
      <c r="D8" s="288">
        <v>42825</v>
      </c>
      <c r="E8" s="288">
        <v>43190</v>
      </c>
      <c r="F8" s="289" t="s">
        <v>394</v>
      </c>
      <c r="G8" s="289" t="s">
        <v>202</v>
      </c>
      <c r="H8" s="290" t="s">
        <v>97</v>
      </c>
    </row>
    <row r="9" spans="1:8" ht="15" customHeight="1">
      <c r="B9" s="13" t="s">
        <v>203</v>
      </c>
      <c r="D9" s="264">
        <f>342413.15+106600</f>
        <v>449013.15</v>
      </c>
      <c r="E9" s="264">
        <f>433762.1+191500</f>
        <v>625262.1</v>
      </c>
      <c r="F9" s="264">
        <f>(+D9+E9)/2</f>
        <v>537137.625</v>
      </c>
      <c r="G9" s="264">
        <f>E9</f>
        <v>625262.1</v>
      </c>
      <c r="H9" s="672">
        <f>G9/(+$G$9+$G$10)</f>
        <v>0.39113966636645281</v>
      </c>
    </row>
    <row r="10" spans="1:8" ht="15" customHeight="1">
      <c r="B10" s="13" t="s">
        <v>204</v>
      </c>
      <c r="D10" s="25"/>
      <c r="E10" s="25"/>
      <c r="F10" s="25"/>
      <c r="G10" s="26">
        <f>+'WP-5, pg 2 - Capital'!D22</f>
        <v>973302.69351342868</v>
      </c>
      <c r="H10" s="672">
        <f>G10/(+$G$9+$G$10)</f>
        <v>0.60886033363354719</v>
      </c>
    </row>
    <row r="11" spans="1:8" ht="15" customHeight="1">
      <c r="B11" s="13" t="s">
        <v>205</v>
      </c>
      <c r="D11" s="25" t="s">
        <v>206</v>
      </c>
      <c r="E11" s="25"/>
      <c r="F11" s="26">
        <f>+Operations!C83</f>
        <v>13892.949999999999</v>
      </c>
      <c r="G11" s="25"/>
    </row>
    <row r="12" spans="1:8" ht="15" customHeight="1">
      <c r="B12" s="13" t="s">
        <v>207</v>
      </c>
      <c r="F12" s="673">
        <f>(E9*0.05)/E9</f>
        <v>0.05</v>
      </c>
      <c r="G12" s="15"/>
    </row>
    <row r="13" spans="1:8" ht="15" customHeight="1">
      <c r="G13" s="124"/>
    </row>
    <row r="14" spans="1:8" ht="15" customHeight="1"/>
    <row r="15" spans="1:8" ht="15" customHeight="1"/>
    <row r="16" spans="1:8"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sheetData>
  <mergeCells count="3">
    <mergeCell ref="A1:H1"/>
    <mergeCell ref="A3:H3"/>
    <mergeCell ref="A5:H5"/>
  </mergeCells>
  <printOptions horizontalCentered="1"/>
  <pageMargins left="0.5" right="0.5" top="0.75" bottom="0.5" header="0" footer="0.25"/>
  <pageSetup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42"/>
  <sheetViews>
    <sheetView zoomScaleNormal="100" workbookViewId="0">
      <selection sqref="A1:E1"/>
    </sheetView>
  </sheetViews>
  <sheetFormatPr defaultRowHeight="15"/>
  <cols>
    <col min="1" max="1" width="2" customWidth="1"/>
    <col min="3" max="3" width="42" customWidth="1"/>
    <col min="4" max="4" width="13.44140625" customWidth="1"/>
    <col min="7" max="7" width="9.44140625" bestFit="1" customWidth="1"/>
  </cols>
  <sheetData>
    <row r="1" spans="1:8" ht="18.75">
      <c r="A1" s="1339" t="s">
        <v>762</v>
      </c>
      <c r="B1" s="1339"/>
      <c r="C1" s="1339"/>
      <c r="D1" s="1339"/>
      <c r="E1" s="1339"/>
    </row>
    <row r="2" spans="1:8" ht="18.75">
      <c r="A2" s="428"/>
      <c r="B2" s="429"/>
      <c r="C2" s="429"/>
      <c r="D2" s="429"/>
      <c r="E2" s="429"/>
    </row>
    <row r="3" spans="1:8" s="13" customFormat="1" ht="16.5" customHeight="1">
      <c r="A3" s="1336" t="s">
        <v>1006</v>
      </c>
      <c r="B3" s="1336"/>
      <c r="C3" s="1336"/>
      <c r="D3" s="1336"/>
      <c r="E3" s="1336"/>
      <c r="F3" s="543"/>
      <c r="G3" s="543"/>
      <c r="H3" s="543"/>
    </row>
    <row r="4" spans="1:8" s="13" customFormat="1" ht="15.75">
      <c r="A4" s="14"/>
      <c r="B4" s="14"/>
      <c r="C4" s="14"/>
      <c r="D4" s="14"/>
      <c r="E4" s="14"/>
      <c r="F4" s="14"/>
      <c r="G4" s="14"/>
      <c r="H4" s="14"/>
    </row>
    <row r="5" spans="1:8" s="13" customFormat="1" ht="15.75">
      <c r="A5" s="1319" t="str">
        <f>'WP-5 - Capital Structure'!$A$5</f>
        <v>In Support of Tariff 19 effective September 7, 2018</v>
      </c>
      <c r="B5" s="1319"/>
      <c r="C5" s="1319"/>
      <c r="D5" s="1319"/>
      <c r="E5" s="1319"/>
      <c r="F5" s="542"/>
      <c r="G5" s="542"/>
      <c r="H5" s="542"/>
    </row>
    <row r="6" spans="1:8" ht="18.75">
      <c r="A6" s="429"/>
      <c r="B6" s="429"/>
      <c r="C6" s="429"/>
      <c r="D6" s="429"/>
      <c r="E6" s="429"/>
    </row>
    <row r="7" spans="1:8">
      <c r="A7" s="1337" t="s">
        <v>1059</v>
      </c>
      <c r="B7" s="1338"/>
      <c r="C7" s="1338"/>
      <c r="D7" s="1338"/>
      <c r="E7" s="1338"/>
    </row>
    <row r="8" spans="1:8">
      <c r="A8" s="1338"/>
      <c r="B8" s="1338"/>
      <c r="C8" s="1338"/>
      <c r="D8" s="1338"/>
      <c r="E8" s="1338"/>
    </row>
    <row r="9" spans="1:8">
      <c r="A9" s="1338"/>
      <c r="B9" s="1338"/>
      <c r="C9" s="1338"/>
      <c r="D9" s="1338"/>
      <c r="E9" s="1338"/>
    </row>
    <row r="10" spans="1:8">
      <c r="A10" s="1338"/>
      <c r="B10" s="1338"/>
      <c r="C10" s="1338"/>
      <c r="D10" s="1338"/>
      <c r="E10" s="1338"/>
    </row>
    <row r="11" spans="1:8">
      <c r="A11" s="1338"/>
      <c r="B11" s="1338"/>
      <c r="C11" s="1338"/>
      <c r="D11" s="1338"/>
      <c r="E11" s="1338"/>
    </row>
    <row r="12" spans="1:8">
      <c r="A12" s="1338"/>
      <c r="B12" s="1338"/>
      <c r="C12" s="1338"/>
      <c r="D12" s="1338"/>
      <c r="E12" s="1338"/>
    </row>
    <row r="13" spans="1:8" ht="8.25" customHeight="1">
      <c r="A13" s="1338"/>
      <c r="B13" s="1338"/>
      <c r="C13" s="1338"/>
      <c r="D13" s="1338"/>
      <c r="E13" s="1338"/>
    </row>
    <row r="14" spans="1:8" ht="6" hidden="1" customHeight="1">
      <c r="A14" s="1338"/>
      <c r="B14" s="1338"/>
      <c r="C14" s="1338"/>
      <c r="D14" s="1338"/>
      <c r="E14" s="1338"/>
    </row>
    <row r="15" spans="1:8" hidden="1">
      <c r="A15" s="1338"/>
      <c r="B15" s="1338"/>
      <c r="C15" s="1338"/>
      <c r="D15" s="1338"/>
      <c r="E15" s="1338"/>
    </row>
    <row r="16" spans="1:8" ht="18.75">
      <c r="A16" s="430"/>
      <c r="B16" s="430"/>
      <c r="C16" s="430"/>
      <c r="D16" s="431" t="s">
        <v>204</v>
      </c>
      <c r="E16" s="430"/>
    </row>
    <row r="17" spans="1:5" ht="18.75">
      <c r="A17" s="429"/>
      <c r="B17" s="429" t="s">
        <v>925</v>
      </c>
      <c r="C17" s="429"/>
      <c r="D17" s="665">
        <v>739664.82</v>
      </c>
      <c r="E17" s="776"/>
    </row>
    <row r="18" spans="1:5" ht="18.75">
      <c r="A18" s="429"/>
      <c r="B18" s="429" t="s">
        <v>926</v>
      </c>
      <c r="C18" s="429"/>
      <c r="D18" s="665">
        <f>2064547.97+2755.32</f>
        <v>2067303.29</v>
      </c>
      <c r="E18" s="429"/>
    </row>
    <row r="19" spans="1:5" ht="18.75">
      <c r="A19" s="429"/>
      <c r="B19" s="429" t="s">
        <v>932</v>
      </c>
      <c r="C19" s="429"/>
      <c r="D19" s="665">
        <f>-'WP-1 - Summary Depr'!P25</f>
        <v>-1781296.2941865711</v>
      </c>
      <c r="E19" s="429"/>
    </row>
    <row r="20" spans="1:5" ht="18.75">
      <c r="A20" s="433"/>
      <c r="B20" s="433" t="s">
        <v>931</v>
      </c>
      <c r="C20" s="433"/>
      <c r="D20" s="667">
        <f>-D36</f>
        <v>-52369.122300000017</v>
      </c>
      <c r="E20" s="433"/>
    </row>
    <row r="21" spans="1:5" ht="18.75">
      <c r="A21" s="429"/>
      <c r="B21" s="429"/>
      <c r="C21" s="429"/>
      <c r="D21" s="432"/>
      <c r="E21" s="429"/>
    </row>
    <row r="22" spans="1:5" ht="19.5" thickBot="1">
      <c r="A22" s="429"/>
      <c r="B22" s="429" t="s">
        <v>927</v>
      </c>
      <c r="C22" s="429"/>
      <c r="D22" s="669">
        <f>SUM(D17:D20)</f>
        <v>973302.69351342868</v>
      </c>
      <c r="E22" s="670">
        <f>+D22/(D22+D24)</f>
        <v>0.60886033363354719</v>
      </c>
    </row>
    <row r="23" spans="1:5" ht="19.5" thickTop="1">
      <c r="A23" s="429"/>
      <c r="B23" s="429"/>
      <c r="C23" s="429"/>
      <c r="D23" s="432"/>
      <c r="E23" s="434"/>
    </row>
    <row r="24" spans="1:5" ht="19.5" thickBot="1">
      <c r="A24" s="429"/>
      <c r="B24" s="429" t="s">
        <v>930</v>
      </c>
      <c r="C24" s="429"/>
      <c r="D24" s="669">
        <f>'WP-5 - Capital Structure'!E9</f>
        <v>625262.1</v>
      </c>
      <c r="E24" s="670">
        <f>+D24/(D22+D24)</f>
        <v>0.39113966636645281</v>
      </c>
    </row>
    <row r="25" spans="1:5" ht="19.5" thickTop="1">
      <c r="A25" s="429"/>
      <c r="B25" s="429"/>
      <c r="C25" s="429"/>
      <c r="D25" s="432"/>
      <c r="E25" s="429"/>
    </row>
    <row r="26" spans="1:5" ht="18.75">
      <c r="A26" s="429"/>
      <c r="B26" s="429" t="s">
        <v>821</v>
      </c>
      <c r="C26" s="429"/>
      <c r="D26" s="432"/>
      <c r="E26" s="429"/>
    </row>
    <row r="27" spans="1:5" ht="18.75">
      <c r="A27" s="429"/>
      <c r="B27" s="429" t="s">
        <v>822</v>
      </c>
      <c r="C27" s="429"/>
      <c r="D27" s="435" t="s">
        <v>72</v>
      </c>
      <c r="E27" s="436"/>
    </row>
    <row r="28" spans="1:5" ht="18.75">
      <c r="A28" s="429"/>
      <c r="B28" s="666" t="s">
        <v>626</v>
      </c>
      <c r="C28" s="429"/>
      <c r="D28" s="665">
        <v>30544.75</v>
      </c>
      <c r="E28" s="437"/>
    </row>
    <row r="29" spans="1:5" ht="18.75">
      <c r="A29" s="429"/>
      <c r="B29" s="666" t="s">
        <v>928</v>
      </c>
      <c r="C29" s="429"/>
      <c r="D29" s="665">
        <v>64326.82</v>
      </c>
      <c r="E29" s="436"/>
    </row>
    <row r="30" spans="1:5" ht="18.75">
      <c r="A30" s="429"/>
      <c r="B30" s="666" t="s">
        <v>929</v>
      </c>
      <c r="C30" s="429"/>
      <c r="D30" s="667">
        <v>63822.74</v>
      </c>
      <c r="E30" s="436"/>
    </row>
    <row r="31" spans="1:5" ht="18.75">
      <c r="A31" s="429"/>
      <c r="B31" s="429" t="s">
        <v>823</v>
      </c>
      <c r="C31" s="429"/>
      <c r="D31" s="665">
        <f>SUM(D28:D30)</f>
        <v>158694.31</v>
      </c>
      <c r="E31" s="437"/>
    </row>
    <row r="32" spans="1:5" ht="18.75">
      <c r="A32" s="429"/>
      <c r="B32" s="429" t="s">
        <v>824</v>
      </c>
      <c r="C32" s="429"/>
      <c r="D32" s="432"/>
      <c r="E32" s="438"/>
    </row>
    <row r="33" spans="1:5" ht="18.75">
      <c r="A33" s="617" t="s">
        <v>626</v>
      </c>
      <c r="B33" s="429"/>
      <c r="D33" s="665">
        <f>'WP-1, pg 2 - Depr'!L155-D28</f>
        <v>-20464.982499999998</v>
      </c>
      <c r="E33" s="438"/>
    </row>
    <row r="34" spans="1:5" ht="18.75">
      <c r="A34" s="617" t="s">
        <v>928</v>
      </c>
      <c r="B34" s="429"/>
      <c r="D34" s="665">
        <f>'WP-1, pg 2 - Depr'!L160-D29</f>
        <v>-43098.969400000002</v>
      </c>
    </row>
    <row r="35" spans="1:5" ht="18.75">
      <c r="A35" s="617" t="s">
        <v>929</v>
      </c>
      <c r="B35" s="429"/>
      <c r="D35" s="665">
        <f>'WP-1, pg 2 - Depr'!L161-D30</f>
        <v>-42761.235799999995</v>
      </c>
      <c r="E35" s="438"/>
    </row>
    <row r="36" spans="1:5" ht="19.5" thickBot="1">
      <c r="A36" s="429"/>
      <c r="B36" s="429" t="s">
        <v>825</v>
      </c>
      <c r="C36" s="429"/>
      <c r="D36" s="668">
        <f>SUM(D31:D35)</f>
        <v>52369.122300000017</v>
      </c>
      <c r="E36" s="437"/>
    </row>
    <row r="37" spans="1:5" ht="19.5" thickTop="1">
      <c r="A37" s="429"/>
      <c r="B37" s="429"/>
      <c r="C37" s="429"/>
      <c r="D37" s="439"/>
      <c r="E37" s="437"/>
    </row>
    <row r="38" spans="1:5" ht="18.75">
      <c r="A38" s="429"/>
      <c r="B38" s="429"/>
      <c r="D38" s="440" t="s">
        <v>204</v>
      </c>
      <c r="E38" s="441" t="s">
        <v>208</v>
      </c>
    </row>
    <row r="39" spans="1:5" ht="18.75">
      <c r="A39" s="429"/>
      <c r="B39" s="429" t="s">
        <v>826</v>
      </c>
      <c r="D39" s="671">
        <f>+E22</f>
        <v>0.60886033363354719</v>
      </c>
      <c r="E39" s="670">
        <f>+E24</f>
        <v>0.39113966636645281</v>
      </c>
    </row>
    <row r="40" spans="1:5" ht="13.5" customHeight="1">
      <c r="A40" s="429"/>
      <c r="B40" s="429"/>
      <c r="D40" s="434"/>
      <c r="E40" s="434"/>
    </row>
    <row r="41" spans="1:5" ht="18.75">
      <c r="A41" s="429"/>
      <c r="B41" s="429" t="s">
        <v>827</v>
      </c>
      <c r="D41" s="670">
        <v>0.6</v>
      </c>
      <c r="E41" s="670">
        <v>0.4</v>
      </c>
    </row>
    <row r="42" spans="1:5" ht="18.75">
      <c r="A42" s="429"/>
      <c r="B42" s="429"/>
      <c r="C42" s="429"/>
      <c r="D42" s="442"/>
      <c r="E42" s="442"/>
    </row>
  </sheetData>
  <mergeCells count="4">
    <mergeCell ref="A7:E15"/>
    <mergeCell ref="A1:E1"/>
    <mergeCell ref="A3:E3"/>
    <mergeCell ref="A5:E5"/>
  </mergeCells>
  <conditionalFormatting sqref="B29:B30">
    <cfRule type="duplicateValues" dxfId="0" priority="1" stopIfTrue="1"/>
  </conditionalFormatting>
  <printOptions horizontalCentered="1"/>
  <pageMargins left="0.7" right="0.7" top="0.75" bottom="0.75" header="0.3" footer="0.3"/>
  <pageSetup scale="88"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M330"/>
  <sheetViews>
    <sheetView zoomScaleNormal="100" workbookViewId="0">
      <selection sqref="A1:G1"/>
    </sheetView>
  </sheetViews>
  <sheetFormatPr defaultRowHeight="15"/>
  <cols>
    <col min="1" max="1" width="22" style="444" customWidth="1"/>
    <col min="2" max="2" width="10.77734375" style="444" bestFit="1" customWidth="1"/>
    <col min="3" max="3" width="1.77734375" style="444" customWidth="1"/>
    <col min="4" max="4" width="13" style="444" customWidth="1"/>
    <col min="5" max="6" width="8.88671875" style="444"/>
    <col min="7" max="7" width="15.88671875" style="444" customWidth="1"/>
    <col min="8" max="8" width="8.88671875" style="443"/>
    <col min="9" max="9" width="8.88671875" style="444"/>
    <col min="10" max="10" width="13.21875" style="444" bestFit="1" customWidth="1"/>
    <col min="11" max="16384" width="8.88671875" style="444"/>
  </cols>
  <sheetData>
    <row r="1" spans="1:13" ht="15.75">
      <c r="A1" s="1342" t="str">
        <f>+'WP-5, pg 2 - Capital'!A1</f>
        <v>Waste Control Inc.</v>
      </c>
      <c r="B1" s="1342"/>
      <c r="C1" s="1342"/>
      <c r="D1" s="1342"/>
      <c r="E1" s="1342"/>
      <c r="F1" s="1342"/>
      <c r="G1" s="1342"/>
    </row>
    <row r="2" spans="1:13" ht="15.75">
      <c r="A2" s="445"/>
      <c r="B2" s="446"/>
      <c r="C2" s="446"/>
      <c r="D2" s="446"/>
      <c r="E2" s="446"/>
      <c r="F2" s="446"/>
      <c r="G2" s="446"/>
      <c r="I2" s="444" t="s">
        <v>717</v>
      </c>
      <c r="J2" s="444" t="s">
        <v>718</v>
      </c>
    </row>
    <row r="3" spans="1:13" ht="15.75">
      <c r="A3" s="1343" t="s">
        <v>1007</v>
      </c>
      <c r="B3" s="1343"/>
      <c r="C3" s="1343"/>
      <c r="D3" s="1343"/>
      <c r="E3" s="1343"/>
      <c r="F3" s="1343"/>
      <c r="G3" s="1343"/>
      <c r="I3" s="444" t="s">
        <v>719</v>
      </c>
      <c r="J3" s="444" t="s">
        <v>720</v>
      </c>
    </row>
    <row r="4" spans="1:13" ht="15.75">
      <c r="A4" s="447"/>
      <c r="B4" s="447"/>
      <c r="C4" s="447"/>
      <c r="D4" s="447"/>
      <c r="E4" s="447"/>
      <c r="F4" s="447"/>
      <c r="G4" s="447"/>
    </row>
    <row r="5" spans="1:13" ht="15.75">
      <c r="A5" s="1346" t="str">
        <f>'WP-5, pg 2 - Capital'!$A$5</f>
        <v>In Support of Tariff 19 effective September 7, 2018</v>
      </c>
      <c r="B5" s="1346"/>
      <c r="C5" s="1346"/>
      <c r="D5" s="1346"/>
      <c r="E5" s="1346"/>
      <c r="F5" s="1346"/>
      <c r="G5" s="1346"/>
      <c r="J5" s="743"/>
    </row>
    <row r="6" spans="1:13">
      <c r="H6" s="743"/>
    </row>
    <row r="7" spans="1:13" ht="15.75">
      <c r="A7" s="448" t="s">
        <v>960</v>
      </c>
      <c r="B7" s="462"/>
      <c r="C7" s="462"/>
      <c r="D7" s="463"/>
      <c r="E7" s="463"/>
      <c r="F7" s="463"/>
      <c r="G7" s="463"/>
      <c r="H7" s="464"/>
      <c r="I7" s="465"/>
      <c r="J7" s="465"/>
      <c r="K7" s="465"/>
      <c r="L7" s="465"/>
    </row>
    <row r="8" spans="1:13" ht="12" customHeight="1">
      <c r="A8" s="452"/>
      <c r="B8" s="453"/>
      <c r="C8" s="454"/>
      <c r="D8" s="455"/>
      <c r="E8" s="455"/>
      <c r="F8" s="455"/>
      <c r="G8" s="455"/>
      <c r="H8" s="456"/>
      <c r="I8" s="466"/>
      <c r="K8" s="457"/>
      <c r="L8" s="457"/>
    </row>
    <row r="9" spans="1:13" ht="64.5" customHeight="1">
      <c r="A9" s="452" t="s">
        <v>902</v>
      </c>
      <c r="B9" s="747">
        <v>22190.45</v>
      </c>
      <c r="C9" s="459"/>
      <c r="D9" s="1340" t="s">
        <v>983</v>
      </c>
      <c r="E9" s="1340"/>
      <c r="F9" s="1340"/>
      <c r="G9" s="1340"/>
      <c r="H9" s="456" t="s">
        <v>716</v>
      </c>
      <c r="I9" s="467" t="s">
        <v>715</v>
      </c>
      <c r="J9" s="457">
        <f>63476.7</f>
        <v>63476.7</v>
      </c>
      <c r="K9" s="1341" t="s">
        <v>984</v>
      </c>
      <c r="L9" s="1341"/>
      <c r="M9" s="1341"/>
    </row>
    <row r="10" spans="1:13" ht="12" customHeight="1">
      <c r="A10" s="452"/>
      <c r="B10" s="453"/>
      <c r="C10" s="454"/>
      <c r="D10" s="455"/>
      <c r="E10" s="455"/>
      <c r="F10" s="455"/>
      <c r="G10" s="455"/>
      <c r="H10" s="456"/>
      <c r="I10" s="457"/>
      <c r="J10" s="466"/>
      <c r="K10" s="466"/>
      <c r="L10" s="457"/>
    </row>
    <row r="11" spans="1:13" ht="57.75" customHeight="1">
      <c r="A11" s="452" t="s">
        <v>906</v>
      </c>
      <c r="B11" s="453">
        <v>198012.36</v>
      </c>
      <c r="C11" s="454"/>
      <c r="D11" s="1340" t="s">
        <v>989</v>
      </c>
      <c r="E11" s="1340"/>
      <c r="F11" s="1340"/>
      <c r="G11" s="1340"/>
      <c r="H11" s="456" t="s">
        <v>667</v>
      </c>
      <c r="I11" s="467" t="s">
        <v>715</v>
      </c>
      <c r="J11" s="457">
        <f>141094+155817.66</f>
        <v>296911.66000000003</v>
      </c>
      <c r="K11" s="1341" t="s">
        <v>985</v>
      </c>
      <c r="L11" s="1341"/>
      <c r="M11" s="1341"/>
    </row>
    <row r="12" spans="1:13" ht="12" customHeight="1">
      <c r="A12" s="452"/>
      <c r="B12" s="453"/>
      <c r="C12" s="454"/>
      <c r="D12" s="455"/>
      <c r="E12" s="455"/>
      <c r="F12" s="455"/>
      <c r="G12" s="455"/>
      <c r="H12" s="456"/>
      <c r="I12" s="457"/>
      <c r="J12" s="466"/>
      <c r="K12" s="466"/>
      <c r="L12" s="457"/>
    </row>
    <row r="13" spans="1:13" ht="60" customHeight="1">
      <c r="A13" s="452" t="s">
        <v>979</v>
      </c>
      <c r="B13" s="453">
        <v>212882.9</v>
      </c>
      <c r="C13" s="454"/>
      <c r="D13" s="1340" t="s">
        <v>987</v>
      </c>
      <c r="E13" s="1340"/>
      <c r="F13" s="1340"/>
      <c r="G13" s="1340"/>
      <c r="H13" s="456" t="s">
        <v>667</v>
      </c>
      <c r="I13" s="467" t="s">
        <v>715</v>
      </c>
      <c r="J13" s="457">
        <f>150000+112000</f>
        <v>262000</v>
      </c>
      <c r="K13" s="1341" t="s">
        <v>986</v>
      </c>
      <c r="L13" s="1341"/>
      <c r="M13" s="1341"/>
    </row>
    <row r="14" spans="1:13" ht="12" customHeight="1">
      <c r="A14" s="452"/>
      <c r="B14" s="453"/>
      <c r="C14" s="454"/>
      <c r="D14" s="455"/>
      <c r="E14" s="455"/>
      <c r="F14" s="455"/>
      <c r="G14" s="455"/>
      <c r="H14" s="456"/>
      <c r="I14" s="457"/>
      <c r="J14" s="466"/>
      <c r="K14" s="466"/>
      <c r="L14" s="457"/>
    </row>
    <row r="15" spans="1:13" ht="61.5" customHeight="1">
      <c r="A15" s="452" t="s">
        <v>630</v>
      </c>
      <c r="B15" s="453">
        <v>38188.910000000003</v>
      </c>
      <c r="C15" s="454"/>
      <c r="D15" s="1340" t="s">
        <v>988</v>
      </c>
      <c r="E15" s="1340"/>
      <c r="F15" s="1340"/>
      <c r="G15" s="1340"/>
      <c r="H15" s="456" t="s">
        <v>667</v>
      </c>
      <c r="I15" s="467" t="s">
        <v>715</v>
      </c>
      <c r="J15" s="457">
        <f>47000</f>
        <v>47000</v>
      </c>
      <c r="K15" s="1341" t="s">
        <v>1033</v>
      </c>
      <c r="L15" s="1341"/>
      <c r="M15" s="1341"/>
    </row>
    <row r="16" spans="1:13" ht="12" customHeight="1">
      <c r="A16" s="452"/>
      <c r="B16" s="750"/>
      <c r="C16" s="454"/>
      <c r="D16" s="455"/>
      <c r="E16" s="455"/>
      <c r="F16" s="455"/>
      <c r="G16" s="455"/>
      <c r="H16" s="456"/>
      <c r="I16" s="457"/>
      <c r="J16" s="466"/>
      <c r="K16" s="466"/>
      <c r="L16" s="457"/>
    </row>
    <row r="17" spans="1:13" ht="57.75" customHeight="1">
      <c r="A17" s="452" t="s">
        <v>981</v>
      </c>
      <c r="B17" s="750">
        <v>7920.48</v>
      </c>
      <c r="C17" s="454"/>
      <c r="D17" s="1340" t="s">
        <v>1147</v>
      </c>
      <c r="E17" s="1340"/>
      <c r="F17" s="1340"/>
      <c r="G17" s="1340"/>
      <c r="I17" s="467" t="s">
        <v>1032</v>
      </c>
      <c r="J17" s="457">
        <f>7920.48</f>
        <v>7920.48</v>
      </c>
      <c r="K17" s="1341" t="s">
        <v>7</v>
      </c>
      <c r="L17" s="1341"/>
      <c r="M17" s="1341"/>
    </row>
    <row r="18" spans="1:13" ht="12" customHeight="1">
      <c r="A18" s="458"/>
      <c r="B18" s="469"/>
      <c r="C18" s="469"/>
      <c r="D18" s="470"/>
      <c r="E18" s="470"/>
      <c r="F18" s="470"/>
      <c r="G18" s="470"/>
      <c r="H18" s="456"/>
      <c r="J18" s="466"/>
      <c r="K18" s="466"/>
    </row>
    <row r="19" spans="1:13" ht="57.75" customHeight="1">
      <c r="A19" s="452" t="s">
        <v>921</v>
      </c>
      <c r="B19" s="453">
        <v>146067</v>
      </c>
      <c r="C19" s="454"/>
      <c r="D19" s="1340" t="s">
        <v>1148</v>
      </c>
      <c r="E19" s="1340"/>
      <c r="F19" s="1340"/>
      <c r="G19" s="1340"/>
      <c r="H19" s="443" t="s">
        <v>667</v>
      </c>
      <c r="I19" s="467" t="s">
        <v>715</v>
      </c>
      <c r="J19" s="457">
        <f>146067</f>
        <v>146067</v>
      </c>
      <c r="K19" s="1341" t="s">
        <v>921</v>
      </c>
      <c r="L19" s="1341"/>
      <c r="M19" s="1341"/>
    </row>
    <row r="20" spans="1:13" ht="12" customHeight="1">
      <c r="A20" s="458"/>
      <c r="B20" s="468"/>
      <c r="C20" s="469"/>
      <c r="D20" s="470"/>
      <c r="E20" s="470"/>
      <c r="F20" s="470"/>
      <c r="G20" s="470"/>
      <c r="H20" s="456"/>
      <c r="J20" s="466"/>
      <c r="K20" s="466"/>
    </row>
    <row r="21" spans="1:13" ht="43.5" customHeight="1" thickBot="1">
      <c r="A21" s="463"/>
      <c r="B21" s="473">
        <f>+B9+B11+B13+B15+B17+B19</f>
        <v>625262.1</v>
      </c>
      <c r="C21" s="474"/>
      <c r="D21" s="475" t="s">
        <v>5</v>
      </c>
      <c r="E21" s="475"/>
      <c r="F21" s="475"/>
      <c r="G21" s="475"/>
      <c r="H21" s="471"/>
      <c r="I21" s="467"/>
      <c r="J21" s="457"/>
      <c r="K21" s="457"/>
      <c r="L21" s="457"/>
    </row>
    <row r="22" spans="1:13" ht="16.5" thickTop="1">
      <c r="A22" s="1342" t="s">
        <v>9</v>
      </c>
      <c r="B22" s="1342"/>
      <c r="C22" s="1342"/>
      <c r="D22" s="1342"/>
      <c r="E22" s="1342"/>
      <c r="F22" s="1342"/>
      <c r="G22" s="1342"/>
      <c r="J22" s="466"/>
      <c r="K22" s="466"/>
      <c r="L22" s="457"/>
    </row>
    <row r="23" spans="1:13" ht="15.75">
      <c r="A23" s="445"/>
      <c r="B23" s="446"/>
      <c r="C23" s="446"/>
      <c r="D23" s="446"/>
      <c r="E23" s="446"/>
      <c r="F23" s="446"/>
      <c r="G23" s="446"/>
    </row>
    <row r="24" spans="1:13" ht="15.75">
      <c r="A24" s="1342" t="str">
        <f>A3</f>
        <v>WORKPAPER 6 - TRANSACTIONS WITH AFFILIATED COMPANIES</v>
      </c>
      <c r="B24" s="1343"/>
      <c r="C24" s="1343"/>
      <c r="D24" s="1343"/>
      <c r="E24" s="1343"/>
      <c r="F24" s="1343"/>
      <c r="G24" s="1343"/>
    </row>
    <row r="25" spans="1:13" ht="15.75">
      <c r="A25" s="957"/>
      <c r="B25" s="957"/>
      <c r="C25" s="957"/>
      <c r="D25" s="957"/>
      <c r="E25" s="957"/>
      <c r="F25" s="957"/>
      <c r="G25" s="957"/>
    </row>
    <row r="26" spans="1:13" ht="15.75">
      <c r="A26" s="1342" t="str">
        <f>A5</f>
        <v>In Support of Tariff 19 effective September 7, 2018</v>
      </c>
      <c r="B26" s="1342"/>
      <c r="C26" s="1342"/>
      <c r="D26" s="1342"/>
      <c r="E26" s="1342"/>
      <c r="F26" s="1342"/>
      <c r="G26" s="1342"/>
    </row>
    <row r="27" spans="1:13" ht="12.75" customHeight="1">
      <c r="A27" s="463"/>
      <c r="B27" s="474"/>
      <c r="C27" s="474"/>
      <c r="D27" s="475"/>
      <c r="E27" s="475"/>
      <c r="F27" s="475"/>
      <c r="G27" s="475"/>
      <c r="H27" s="471"/>
      <c r="I27" s="467"/>
      <c r="J27" s="457"/>
      <c r="K27" s="457"/>
      <c r="L27" s="457"/>
    </row>
    <row r="28" spans="1:13" ht="19.5" customHeight="1">
      <c r="A28" s="448" t="s">
        <v>1177</v>
      </c>
      <c r="B28" s="462"/>
      <c r="C28" s="462"/>
      <c r="D28" s="463"/>
      <c r="E28" s="463"/>
      <c r="F28" s="463"/>
      <c r="G28" s="463"/>
      <c r="H28" s="464"/>
      <c r="I28" s="465"/>
      <c r="J28" s="465"/>
      <c r="K28" s="465"/>
      <c r="L28" s="465"/>
    </row>
    <row r="29" spans="1:13" ht="12.75" customHeight="1">
      <c r="A29" s="448"/>
      <c r="B29" s="462"/>
      <c r="C29" s="462"/>
      <c r="D29" s="463"/>
      <c r="E29" s="463"/>
      <c r="F29" s="463"/>
      <c r="G29" s="463"/>
      <c r="H29" s="464"/>
      <c r="I29" s="465"/>
      <c r="J29" s="465"/>
      <c r="K29" s="465"/>
      <c r="L29" s="465"/>
    </row>
    <row r="30" spans="1:13" ht="55.5" customHeight="1">
      <c r="A30" s="452" t="s">
        <v>980</v>
      </c>
      <c r="B30" s="750">
        <v>6088.54</v>
      </c>
      <c r="C30" s="454"/>
      <c r="D30" s="1340" t="s">
        <v>990</v>
      </c>
      <c r="E30" s="1340"/>
      <c r="F30" s="1340"/>
      <c r="G30" s="1340"/>
      <c r="H30" s="456"/>
      <c r="I30" s="467" t="s">
        <v>1032</v>
      </c>
      <c r="J30" s="457">
        <f>14976</f>
        <v>14976</v>
      </c>
      <c r="K30" s="1341" t="s">
        <v>982</v>
      </c>
      <c r="L30" s="1341"/>
      <c r="M30" s="1341"/>
    </row>
    <row r="31" spans="1:13" ht="11.25" customHeight="1">
      <c r="A31" s="463"/>
      <c r="B31" s="475"/>
      <c r="C31" s="475"/>
      <c r="D31" s="475"/>
      <c r="E31" s="475"/>
      <c r="F31" s="475"/>
      <c r="G31" s="475"/>
      <c r="H31" s="456"/>
      <c r="I31" s="457"/>
      <c r="J31" s="466"/>
      <c r="K31" s="466"/>
      <c r="L31" s="457"/>
    </row>
    <row r="32" spans="1:13" ht="22.5" customHeight="1">
      <c r="A32" s="448" t="s">
        <v>962</v>
      </c>
      <c r="B32" s="475"/>
      <c r="C32" s="475"/>
      <c r="D32" s="475"/>
      <c r="E32" s="475"/>
      <c r="F32" s="475"/>
      <c r="G32" s="475"/>
      <c r="H32" s="472"/>
      <c r="I32" s="467"/>
      <c r="J32" s="457"/>
      <c r="K32" s="457"/>
      <c r="L32" s="457"/>
    </row>
    <row r="33" spans="1:12" ht="15.75">
      <c r="A33" s="448"/>
      <c r="B33" s="958" t="s">
        <v>1146</v>
      </c>
      <c r="C33" s="475"/>
      <c r="D33" s="475"/>
      <c r="E33" s="475"/>
      <c r="F33" s="475"/>
      <c r="G33" s="475"/>
      <c r="H33" s="456"/>
      <c r="I33" s="457"/>
      <c r="J33" s="466"/>
      <c r="K33" s="466"/>
      <c r="L33" s="457"/>
    </row>
    <row r="34" spans="1:12" ht="15.75">
      <c r="A34" s="448" t="s">
        <v>963</v>
      </c>
      <c r="B34" s="476"/>
      <c r="C34" s="449"/>
      <c r="D34" s="450"/>
      <c r="E34" s="450"/>
      <c r="F34" s="450"/>
      <c r="G34" s="449"/>
      <c r="H34" s="456"/>
      <c r="I34" s="457"/>
      <c r="J34" s="457"/>
      <c r="K34" s="457"/>
      <c r="L34" s="457"/>
    </row>
    <row r="35" spans="1:12" ht="15.75">
      <c r="A35" s="448"/>
      <c r="B35" s="476"/>
      <c r="C35" s="449"/>
      <c r="D35" s="450"/>
      <c r="E35" s="450"/>
      <c r="F35" s="450"/>
      <c r="G35" s="449"/>
      <c r="H35" s="456"/>
      <c r="I35" s="457"/>
      <c r="J35" s="457"/>
      <c r="K35" s="457"/>
      <c r="L35" s="457"/>
    </row>
    <row r="36" spans="1:12" ht="50.25" customHeight="1">
      <c r="A36" s="452" t="s">
        <v>25</v>
      </c>
      <c r="B36" s="453">
        <f>+Operations!C33</f>
        <v>36000</v>
      </c>
      <c r="C36" s="450"/>
      <c r="D36" s="1340" t="s">
        <v>828</v>
      </c>
      <c r="E36" s="1340"/>
      <c r="F36" s="1340"/>
      <c r="G36" s="1340"/>
      <c r="H36" s="456"/>
      <c r="I36" s="457"/>
      <c r="J36" s="457"/>
      <c r="K36" s="457"/>
      <c r="L36" s="457"/>
    </row>
    <row r="37" spans="1:12" ht="12" customHeight="1">
      <c r="A37" s="452"/>
      <c r="B37" s="453"/>
      <c r="C37" s="479"/>
      <c r="D37" s="480"/>
      <c r="E37" s="480"/>
      <c r="F37" s="480"/>
      <c r="G37" s="480"/>
      <c r="H37" s="456"/>
      <c r="I37" s="457"/>
      <c r="J37" s="457"/>
      <c r="K37" s="457"/>
      <c r="L37" s="457"/>
    </row>
    <row r="38" spans="1:12" ht="47.25" customHeight="1">
      <c r="A38" s="452" t="s">
        <v>977</v>
      </c>
      <c r="B38" s="453">
        <f>+Operations!C42</f>
        <v>24000</v>
      </c>
      <c r="C38" s="752"/>
      <c r="D38" s="1340" t="s">
        <v>1066</v>
      </c>
      <c r="E38" s="1340"/>
      <c r="F38" s="1340"/>
      <c r="G38" s="1340"/>
      <c r="H38" s="451"/>
      <c r="I38" s="449"/>
      <c r="J38" s="449"/>
      <c r="K38" s="457"/>
      <c r="L38" s="457"/>
    </row>
    <row r="39" spans="1:12" ht="12" customHeight="1">
      <c r="A39" s="452"/>
      <c r="B39" s="453"/>
      <c r="C39" s="481"/>
      <c r="D39" s="482"/>
      <c r="E39" s="482"/>
      <c r="F39" s="482"/>
      <c r="G39" s="482"/>
      <c r="H39" s="451"/>
      <c r="I39" s="449"/>
      <c r="J39" s="449"/>
      <c r="K39" s="457"/>
      <c r="L39" s="457"/>
    </row>
    <row r="40" spans="1:12" ht="48.75" customHeight="1">
      <c r="A40" s="452" t="s">
        <v>327</v>
      </c>
      <c r="B40" s="453">
        <f>+Operations!C46</f>
        <v>204000</v>
      </c>
      <c r="C40" s="462"/>
      <c r="D40" s="1340" t="s">
        <v>978</v>
      </c>
      <c r="E40" s="1340"/>
      <c r="F40" s="1340"/>
      <c r="G40" s="1340"/>
      <c r="H40" s="451"/>
      <c r="I40" s="449"/>
      <c r="J40" s="449"/>
      <c r="K40" s="457"/>
      <c r="L40" s="457"/>
    </row>
    <row r="41" spans="1:12" ht="12" customHeight="1">
      <c r="A41" s="452"/>
      <c r="B41" s="453"/>
      <c r="C41" s="479"/>
      <c r="D41" s="480"/>
      <c r="E41" s="480"/>
      <c r="F41" s="480"/>
      <c r="G41" s="480"/>
      <c r="H41" s="451"/>
      <c r="I41" s="449"/>
      <c r="J41" s="449"/>
      <c r="K41" s="457"/>
      <c r="L41" s="457"/>
    </row>
    <row r="42" spans="1:12" ht="62.25" customHeight="1">
      <c r="A42" s="452" t="s">
        <v>663</v>
      </c>
      <c r="B42" s="453">
        <v>55800</v>
      </c>
      <c r="C42" s="479"/>
      <c r="D42" s="1340" t="s">
        <v>1067</v>
      </c>
      <c r="E42" s="1340"/>
      <c r="F42" s="1340"/>
      <c r="G42" s="1340"/>
      <c r="H42" s="451"/>
      <c r="I42" s="449"/>
      <c r="J42" s="449"/>
      <c r="K42" s="457"/>
      <c r="L42" s="457"/>
    </row>
    <row r="43" spans="1:12" ht="15" customHeight="1">
      <c r="A43" s="1342" t="s">
        <v>9</v>
      </c>
      <c r="B43" s="1342"/>
      <c r="C43" s="1342"/>
      <c r="D43" s="1342"/>
      <c r="E43" s="1342"/>
      <c r="F43" s="1342"/>
      <c r="G43" s="1342"/>
      <c r="H43" s="451"/>
      <c r="I43" s="449"/>
      <c r="J43" s="449"/>
      <c r="K43" s="457"/>
      <c r="L43" s="457"/>
    </row>
    <row r="44" spans="1:12" ht="18.75" customHeight="1">
      <c r="A44" s="445"/>
      <c r="B44" s="446"/>
      <c r="C44" s="446"/>
      <c r="D44" s="446"/>
      <c r="E44" s="446"/>
      <c r="F44" s="446"/>
      <c r="G44" s="446"/>
      <c r="H44" s="451"/>
      <c r="I44" s="449"/>
      <c r="J44" s="449"/>
      <c r="K44" s="457"/>
      <c r="L44" s="457"/>
    </row>
    <row r="45" spans="1:12" ht="17.25" customHeight="1">
      <c r="A45" s="1343" t="s">
        <v>675</v>
      </c>
      <c r="B45" s="1343"/>
      <c r="C45" s="1343"/>
      <c r="D45" s="1343"/>
      <c r="E45" s="1343"/>
      <c r="F45" s="1343"/>
      <c r="G45" s="1343"/>
      <c r="H45" s="460"/>
    </row>
    <row r="46" spans="1:12" ht="25.5" customHeight="1">
      <c r="A46" s="447"/>
      <c r="B46" s="447"/>
      <c r="C46" s="447"/>
      <c r="D46" s="447"/>
      <c r="E46" s="447"/>
      <c r="F46" s="447"/>
      <c r="G46" s="447"/>
      <c r="H46" s="451"/>
      <c r="I46" s="449"/>
      <c r="J46" s="449"/>
      <c r="K46" s="457"/>
      <c r="L46" s="457"/>
    </row>
    <row r="47" spans="1:12" ht="18" customHeight="1">
      <c r="A47" s="1342" t="str">
        <f>A5</f>
        <v>In Support of Tariff 19 effective September 7, 2018</v>
      </c>
      <c r="B47" s="1342"/>
      <c r="C47" s="1342"/>
      <c r="D47" s="1342"/>
      <c r="E47" s="1342"/>
      <c r="F47" s="1342"/>
      <c r="G47" s="1342"/>
      <c r="H47" s="460"/>
      <c r="I47" s="461"/>
      <c r="J47" s="461"/>
      <c r="K47" s="457"/>
      <c r="L47" s="457"/>
    </row>
    <row r="48" spans="1:12" ht="51" customHeight="1">
      <c r="A48" s="452" t="s">
        <v>672</v>
      </c>
      <c r="B48" s="453">
        <v>18000</v>
      </c>
      <c r="C48" s="450"/>
      <c r="D48" s="1340" t="s">
        <v>1061</v>
      </c>
      <c r="E48" s="1340"/>
      <c r="F48" s="1340"/>
      <c r="G48" s="1340"/>
      <c r="H48" s="460"/>
      <c r="I48" s="461"/>
      <c r="J48" s="461"/>
      <c r="K48" s="457"/>
      <c r="L48" s="457"/>
    </row>
    <row r="49" spans="1:10" ht="15.75">
      <c r="A49" s="452"/>
      <c r="B49" s="453"/>
      <c r="C49" s="450"/>
      <c r="D49" s="461"/>
      <c r="E49" s="477"/>
      <c r="F49" s="478"/>
      <c r="G49" s="461"/>
    </row>
    <row r="50" spans="1:10" ht="47.25" customHeight="1">
      <c r="A50" s="452" t="s">
        <v>673</v>
      </c>
      <c r="B50" s="453">
        <v>18000</v>
      </c>
      <c r="C50" s="450"/>
      <c r="D50" s="1340" t="s">
        <v>1060</v>
      </c>
      <c r="E50" s="1340"/>
      <c r="F50" s="1340"/>
      <c r="G50" s="1340"/>
    </row>
    <row r="51" spans="1:10" ht="15.75">
      <c r="A51" s="452"/>
      <c r="B51" s="453"/>
      <c r="C51" s="450"/>
      <c r="D51" s="461"/>
      <c r="E51" s="477"/>
      <c r="F51" s="478"/>
      <c r="G51" s="461"/>
    </row>
    <row r="52" spans="1:10" ht="66.75" customHeight="1">
      <c r="A52" s="452" t="s">
        <v>674</v>
      </c>
      <c r="B52" s="453">
        <v>34200</v>
      </c>
      <c r="C52" s="450"/>
      <c r="D52" s="1340" t="s">
        <v>1062</v>
      </c>
      <c r="E52" s="1340"/>
      <c r="F52" s="1340"/>
      <c r="G52" s="1340"/>
    </row>
    <row r="53" spans="1:10" ht="15.75">
      <c r="A53" s="452"/>
      <c r="B53" s="453"/>
      <c r="C53" s="450"/>
      <c r="D53" s="461"/>
      <c r="E53" s="477"/>
      <c r="F53" s="478"/>
      <c r="G53" s="461"/>
    </row>
    <row r="54" spans="1:10" ht="69" customHeight="1">
      <c r="A54" s="452" t="s">
        <v>664</v>
      </c>
      <c r="B54" s="453">
        <v>20400</v>
      </c>
      <c r="C54" s="450"/>
      <c r="D54" s="1340" t="s">
        <v>1063</v>
      </c>
      <c r="E54" s="1340"/>
      <c r="F54" s="1340"/>
      <c r="G54" s="1340"/>
    </row>
    <row r="55" spans="1:10" ht="12" customHeight="1">
      <c r="A55" s="452"/>
      <c r="B55" s="453"/>
      <c r="C55" s="462"/>
      <c r="D55" s="461"/>
      <c r="E55" s="461"/>
      <c r="F55" s="461"/>
      <c r="G55" s="461"/>
      <c r="H55" s="460"/>
      <c r="I55" s="461"/>
      <c r="J55" s="461"/>
    </row>
    <row r="56" spans="1:10" ht="84" customHeight="1">
      <c r="A56" s="452" t="s">
        <v>671</v>
      </c>
      <c r="B56" s="750">
        <f>+'IS-PBC'!O143</f>
        <v>14400</v>
      </c>
      <c r="C56" s="484"/>
      <c r="D56" s="1345" t="s">
        <v>1064</v>
      </c>
      <c r="E56" s="1345"/>
      <c r="F56" s="1345"/>
      <c r="G56" s="1345"/>
      <c r="H56" s="460"/>
      <c r="I56" s="461"/>
      <c r="J56" s="461"/>
    </row>
    <row r="57" spans="1:10" ht="12" customHeight="1">
      <c r="A57" s="452"/>
      <c r="B57" s="751"/>
      <c r="C57" s="450"/>
      <c r="D57" s="749"/>
      <c r="E57" s="749"/>
      <c r="F57" s="749"/>
      <c r="G57" s="749"/>
      <c r="H57" s="460"/>
      <c r="I57" s="461"/>
      <c r="J57" s="461"/>
    </row>
    <row r="58" spans="1:10" ht="27.75" customHeight="1" thickBot="1">
      <c r="A58" s="449" t="s">
        <v>1145</v>
      </c>
      <c r="B58" s="473">
        <f>+B56+B54+B52+B50+B42+B35</f>
        <v>142800</v>
      </c>
      <c r="C58" s="450"/>
      <c r="D58" s="485"/>
      <c r="E58" s="485"/>
      <c r="F58" s="485"/>
      <c r="G58" s="485"/>
      <c r="H58" s="460"/>
      <c r="I58" s="461"/>
      <c r="J58" s="461"/>
    </row>
    <row r="59" spans="1:10" ht="12" customHeight="1" thickTop="1">
      <c r="A59" s="462"/>
      <c r="B59" s="462"/>
      <c r="C59" s="462"/>
      <c r="D59" s="462"/>
      <c r="E59" s="462"/>
      <c r="F59" s="462"/>
      <c r="G59" s="462"/>
      <c r="H59" s="460"/>
      <c r="I59" s="461"/>
      <c r="J59" s="461"/>
    </row>
    <row r="60" spans="1:10" ht="47.25" customHeight="1">
      <c r="A60" s="449" t="s">
        <v>961</v>
      </c>
      <c r="B60" s="450"/>
      <c r="C60" s="450"/>
      <c r="D60" s="486"/>
      <c r="E60" s="486"/>
      <c r="F60" s="486"/>
      <c r="G60" s="486"/>
      <c r="H60" s="460"/>
      <c r="I60" s="461"/>
      <c r="J60" s="461"/>
    </row>
    <row r="61" spans="1:10" ht="12" customHeight="1">
      <c r="A61" s="449"/>
      <c r="B61" s="450"/>
      <c r="C61" s="450"/>
      <c r="D61" s="486"/>
      <c r="E61" s="486"/>
      <c r="F61" s="486"/>
      <c r="G61" s="486"/>
      <c r="H61" s="460"/>
    </row>
    <row r="62" spans="1:10" ht="41.25" customHeight="1">
      <c r="A62" s="452" t="s">
        <v>670</v>
      </c>
      <c r="B62" s="747">
        <f>'IS-PBC'!O105</f>
        <v>13892.949999999999</v>
      </c>
      <c r="C62" s="748"/>
      <c r="D62" s="1340" t="s">
        <v>1065</v>
      </c>
      <c r="E62" s="1340"/>
      <c r="F62" s="1340"/>
      <c r="G62" s="1340"/>
      <c r="H62" s="460"/>
    </row>
    <row r="63" spans="1:10" ht="12" customHeight="1">
      <c r="A63" s="392"/>
      <c r="B63" s="392"/>
      <c r="C63" s="392"/>
      <c r="D63" s="392"/>
      <c r="E63" s="392"/>
      <c r="F63" s="392"/>
      <c r="G63" s="392"/>
      <c r="H63" s="483"/>
    </row>
    <row r="64" spans="1:10" ht="44.25" customHeight="1">
      <c r="A64" s="392" t="s">
        <v>677</v>
      </c>
      <c r="B64" s="392"/>
      <c r="C64" s="392"/>
      <c r="D64" s="392"/>
      <c r="E64" s="392"/>
      <c r="F64" s="392"/>
      <c r="G64" s="392"/>
      <c r="H64" s="483"/>
    </row>
    <row r="65" spans="1:8" ht="15" customHeight="1">
      <c r="A65" s="1344" t="s">
        <v>676</v>
      </c>
      <c r="B65" s="1344"/>
      <c r="C65" s="1344"/>
      <c r="D65" s="1344"/>
      <c r="E65" s="1344"/>
      <c r="F65" s="1344"/>
      <c r="G65" s="1344"/>
      <c r="H65" s="483"/>
    </row>
    <row r="66" spans="1:8" ht="50.25" customHeight="1">
      <c r="A66" s="1344"/>
      <c r="B66" s="1344"/>
      <c r="C66" s="1344"/>
      <c r="D66" s="1344"/>
      <c r="E66" s="1344"/>
      <c r="F66" s="1344"/>
      <c r="G66" s="1344"/>
    </row>
    <row r="67" spans="1:8" ht="12.95" customHeight="1">
      <c r="A67" s="392"/>
      <c r="B67" s="392"/>
      <c r="C67" s="392"/>
      <c r="D67" s="392"/>
      <c r="E67" s="392"/>
      <c r="F67" s="392"/>
      <c r="G67" s="392"/>
    </row>
    <row r="68" spans="1:8" ht="15" customHeight="1">
      <c r="A68" s="392"/>
      <c r="B68" s="392"/>
      <c r="C68" s="392"/>
      <c r="D68" s="392"/>
      <c r="E68" s="392"/>
      <c r="F68" s="392"/>
      <c r="G68" s="392"/>
      <c r="H68" s="487"/>
    </row>
    <row r="69" spans="1:8" ht="12" customHeight="1">
      <c r="A69" s="392"/>
      <c r="B69" s="392"/>
      <c r="C69" s="392"/>
      <c r="D69" s="392"/>
      <c r="E69" s="392"/>
      <c r="F69" s="392"/>
      <c r="G69" s="392"/>
      <c r="H69" s="483"/>
    </row>
    <row r="70" spans="1:8" ht="31.5" customHeight="1">
      <c r="A70" s="392"/>
      <c r="B70" s="392"/>
      <c r="C70" s="392"/>
      <c r="D70" s="392"/>
      <c r="E70" s="392"/>
      <c r="F70" s="392"/>
      <c r="G70" s="392"/>
    </row>
    <row r="71" spans="1:8" ht="12.95" customHeight="1">
      <c r="A71" s="392"/>
      <c r="B71" s="392"/>
      <c r="C71" s="392"/>
      <c r="D71" s="392"/>
      <c r="E71" s="392"/>
      <c r="F71" s="392"/>
      <c r="G71" s="392"/>
    </row>
    <row r="72" spans="1:8" ht="15" customHeight="1">
      <c r="A72" s="392"/>
      <c r="B72" s="392"/>
      <c r="C72" s="392"/>
      <c r="D72" s="392"/>
      <c r="E72" s="392"/>
      <c r="F72" s="392"/>
      <c r="G72" s="392"/>
    </row>
    <row r="73" spans="1:8" ht="12" customHeight="1">
      <c r="A73" s="392"/>
      <c r="B73" s="392"/>
      <c r="C73" s="392"/>
      <c r="D73" s="392"/>
      <c r="E73" s="392"/>
      <c r="F73" s="392"/>
      <c r="G73" s="392"/>
    </row>
    <row r="74" spans="1:8" ht="53.25" customHeight="1">
      <c r="A74" s="392"/>
      <c r="B74" s="392"/>
      <c r="C74" s="392"/>
      <c r="D74" s="392"/>
      <c r="E74" s="392"/>
      <c r="F74" s="392"/>
      <c r="G74" s="392"/>
    </row>
    <row r="75" spans="1:8" ht="15.75">
      <c r="A75" s="392"/>
      <c r="B75" s="392"/>
      <c r="C75" s="392"/>
      <c r="D75" s="392"/>
      <c r="E75" s="392"/>
      <c r="F75" s="392"/>
      <c r="G75" s="392"/>
    </row>
    <row r="76" spans="1:8" ht="15.75">
      <c r="A76" s="392"/>
      <c r="B76" s="392"/>
      <c r="C76" s="392"/>
      <c r="D76" s="392"/>
      <c r="E76" s="392"/>
      <c r="F76" s="392"/>
      <c r="G76" s="392"/>
    </row>
    <row r="77" spans="1:8" ht="15.75">
      <c r="A77" s="392"/>
      <c r="B77" s="392"/>
      <c r="C77" s="392"/>
      <c r="D77" s="392"/>
      <c r="E77" s="392"/>
      <c r="F77" s="392"/>
      <c r="G77" s="392"/>
    </row>
    <row r="78" spans="1:8" ht="15.75">
      <c r="A78" s="392"/>
      <c r="B78" s="392"/>
      <c r="C78" s="392"/>
      <c r="D78" s="392"/>
      <c r="E78" s="392"/>
      <c r="F78" s="392"/>
      <c r="G78" s="392"/>
    </row>
    <row r="79" spans="1:8" ht="15.75">
      <c r="A79" s="392"/>
      <c r="B79" s="392"/>
      <c r="C79" s="392"/>
      <c r="D79" s="392"/>
      <c r="E79" s="392"/>
      <c r="F79" s="392"/>
      <c r="G79" s="392"/>
    </row>
    <row r="80" spans="1:8" ht="15.75">
      <c r="A80" s="392"/>
      <c r="B80" s="392"/>
      <c r="C80" s="392"/>
      <c r="D80" s="392"/>
      <c r="E80" s="392"/>
      <c r="F80" s="392"/>
      <c r="G80" s="392"/>
    </row>
    <row r="81" spans="1:7" ht="15.75">
      <c r="A81" s="392"/>
      <c r="B81" s="392"/>
      <c r="C81" s="392"/>
      <c r="D81" s="392"/>
      <c r="E81" s="392"/>
      <c r="F81" s="392"/>
      <c r="G81" s="392"/>
    </row>
    <row r="82" spans="1:7" ht="15.75">
      <c r="A82" s="392"/>
      <c r="B82" s="392"/>
      <c r="C82" s="392"/>
      <c r="D82" s="392"/>
      <c r="E82" s="392"/>
      <c r="F82" s="392"/>
      <c r="G82" s="392"/>
    </row>
    <row r="83" spans="1:7" ht="15.75">
      <c r="A83" s="392"/>
      <c r="B83" s="392"/>
      <c r="C83" s="392"/>
      <c r="D83" s="392"/>
      <c r="E83" s="392"/>
      <c r="F83" s="392"/>
      <c r="G83" s="392"/>
    </row>
    <row r="84" spans="1:7">
      <c r="A84" s="462"/>
      <c r="B84" s="462"/>
      <c r="C84" s="462"/>
      <c r="D84" s="462"/>
      <c r="E84" s="462"/>
      <c r="F84" s="462"/>
      <c r="G84" s="462"/>
    </row>
    <row r="85" spans="1:7">
      <c r="A85" s="462"/>
      <c r="B85" s="462"/>
      <c r="C85" s="462"/>
      <c r="D85" s="462"/>
      <c r="E85" s="462"/>
      <c r="F85" s="462"/>
      <c r="G85" s="462"/>
    </row>
    <row r="86" spans="1:7">
      <c r="A86" s="462"/>
      <c r="B86" s="462"/>
      <c r="C86" s="462"/>
      <c r="D86" s="462"/>
      <c r="E86" s="462"/>
      <c r="F86" s="462"/>
      <c r="G86" s="462"/>
    </row>
    <row r="87" spans="1:7">
      <c r="A87" s="462"/>
      <c r="B87" s="462"/>
      <c r="C87" s="462"/>
      <c r="D87" s="462"/>
      <c r="E87" s="462"/>
      <c r="F87" s="462"/>
      <c r="G87" s="462"/>
    </row>
    <row r="88" spans="1:7">
      <c r="A88" s="462"/>
      <c r="B88" s="462"/>
      <c r="C88" s="462"/>
      <c r="D88" s="462"/>
      <c r="E88" s="462"/>
      <c r="F88" s="462"/>
      <c r="G88" s="462"/>
    </row>
    <row r="89" spans="1:7">
      <c r="A89" s="462"/>
      <c r="B89" s="462"/>
      <c r="C89" s="462"/>
      <c r="D89" s="462"/>
      <c r="E89" s="462"/>
      <c r="F89" s="462"/>
      <c r="G89" s="462"/>
    </row>
    <row r="90" spans="1:7">
      <c r="A90" s="462"/>
      <c r="B90" s="462"/>
      <c r="C90" s="462"/>
      <c r="D90" s="462"/>
      <c r="E90" s="462"/>
      <c r="F90" s="462"/>
      <c r="G90" s="462"/>
    </row>
    <row r="91" spans="1:7">
      <c r="A91" s="462"/>
      <c r="B91" s="462"/>
      <c r="C91" s="462"/>
      <c r="D91" s="462"/>
      <c r="E91" s="462"/>
      <c r="F91" s="462"/>
      <c r="G91" s="462"/>
    </row>
    <row r="92" spans="1:7">
      <c r="A92" s="462"/>
      <c r="B92" s="462"/>
      <c r="C92" s="462"/>
      <c r="D92" s="462"/>
      <c r="E92" s="462"/>
      <c r="F92" s="462"/>
      <c r="G92" s="462"/>
    </row>
    <row r="93" spans="1:7">
      <c r="A93" s="462"/>
      <c r="B93" s="462"/>
      <c r="C93" s="462"/>
      <c r="D93" s="462"/>
      <c r="E93" s="462"/>
      <c r="F93" s="462"/>
      <c r="G93" s="462"/>
    </row>
    <row r="94" spans="1:7">
      <c r="A94" s="462"/>
      <c r="B94" s="462"/>
      <c r="C94" s="462"/>
      <c r="D94" s="462"/>
      <c r="E94" s="462"/>
      <c r="F94" s="462"/>
      <c r="G94" s="462"/>
    </row>
    <row r="95" spans="1:7">
      <c r="A95" s="462"/>
      <c r="B95" s="462"/>
      <c r="C95" s="462"/>
      <c r="D95" s="462"/>
      <c r="E95" s="462"/>
      <c r="F95" s="462"/>
      <c r="G95" s="462"/>
    </row>
    <row r="96" spans="1:7">
      <c r="A96" s="462"/>
      <c r="B96" s="462"/>
      <c r="C96" s="462"/>
      <c r="D96" s="462"/>
      <c r="E96" s="462"/>
      <c r="F96" s="462"/>
      <c r="G96" s="462"/>
    </row>
    <row r="97" spans="1:7">
      <c r="A97" s="462"/>
      <c r="B97" s="462"/>
      <c r="C97" s="462"/>
      <c r="D97" s="462"/>
      <c r="E97" s="462"/>
      <c r="F97" s="462"/>
      <c r="G97" s="462"/>
    </row>
    <row r="98" spans="1:7">
      <c r="A98" s="462"/>
      <c r="B98" s="462"/>
      <c r="C98" s="462"/>
      <c r="D98" s="462"/>
      <c r="E98" s="462"/>
      <c r="F98" s="462"/>
      <c r="G98" s="462"/>
    </row>
    <row r="99" spans="1:7">
      <c r="A99" s="462"/>
      <c r="B99" s="462"/>
      <c r="C99" s="462"/>
      <c r="D99" s="462"/>
      <c r="E99" s="462"/>
      <c r="F99" s="462"/>
      <c r="G99" s="462"/>
    </row>
    <row r="100" spans="1:7">
      <c r="A100" s="462"/>
      <c r="B100" s="462"/>
      <c r="C100" s="462"/>
      <c r="D100" s="462"/>
      <c r="E100" s="462"/>
      <c r="F100" s="462"/>
      <c r="G100" s="462"/>
    </row>
    <row r="101" spans="1:7">
      <c r="A101" s="462"/>
      <c r="B101" s="462"/>
      <c r="C101" s="462"/>
      <c r="D101" s="462"/>
      <c r="E101" s="462"/>
      <c r="F101" s="462"/>
      <c r="G101" s="462"/>
    </row>
    <row r="102" spans="1:7">
      <c r="A102" s="462"/>
      <c r="B102" s="462"/>
      <c r="C102" s="462"/>
      <c r="D102" s="462"/>
      <c r="E102" s="462"/>
      <c r="F102" s="462"/>
      <c r="G102" s="462"/>
    </row>
    <row r="103" spans="1:7">
      <c r="A103" s="462"/>
      <c r="B103" s="462"/>
      <c r="C103" s="462"/>
      <c r="D103" s="462"/>
      <c r="E103" s="462"/>
      <c r="F103" s="462"/>
      <c r="G103" s="462"/>
    </row>
    <row r="104" spans="1:7">
      <c r="A104" s="462"/>
      <c r="B104" s="462"/>
      <c r="C104" s="462"/>
      <c r="D104" s="462"/>
      <c r="E104" s="462"/>
      <c r="F104" s="462"/>
      <c r="G104" s="462"/>
    </row>
    <row r="105" spans="1:7">
      <c r="A105" s="462"/>
      <c r="B105" s="462"/>
      <c r="C105" s="462"/>
      <c r="D105" s="462"/>
      <c r="E105" s="462"/>
      <c r="F105" s="462"/>
      <c r="G105" s="462"/>
    </row>
    <row r="106" spans="1:7">
      <c r="A106" s="462"/>
      <c r="B106" s="462"/>
      <c r="C106" s="462"/>
      <c r="D106" s="462"/>
      <c r="E106" s="462"/>
      <c r="F106" s="462"/>
      <c r="G106" s="462"/>
    </row>
    <row r="107" spans="1:7">
      <c r="A107" s="462"/>
      <c r="B107" s="462"/>
      <c r="C107" s="462"/>
      <c r="D107" s="462"/>
      <c r="E107" s="462"/>
      <c r="F107" s="462"/>
      <c r="G107" s="462"/>
    </row>
    <row r="108" spans="1:7">
      <c r="A108" s="462"/>
      <c r="B108" s="462"/>
      <c r="C108" s="462"/>
      <c r="D108" s="462"/>
      <c r="E108" s="462"/>
      <c r="F108" s="462"/>
      <c r="G108" s="462"/>
    </row>
    <row r="109" spans="1:7">
      <c r="A109" s="462"/>
      <c r="B109" s="462"/>
      <c r="C109" s="462"/>
      <c r="D109" s="462"/>
      <c r="E109" s="462"/>
      <c r="F109" s="462"/>
      <c r="G109" s="462"/>
    </row>
    <row r="110" spans="1:7">
      <c r="A110" s="462"/>
      <c r="B110" s="462"/>
      <c r="C110" s="462"/>
      <c r="D110" s="462"/>
      <c r="E110" s="462"/>
      <c r="F110" s="462"/>
      <c r="G110" s="462"/>
    </row>
    <row r="111" spans="1:7">
      <c r="A111" s="462"/>
      <c r="B111" s="462"/>
      <c r="C111" s="462"/>
      <c r="D111" s="462"/>
      <c r="E111" s="462"/>
      <c r="F111" s="462"/>
      <c r="G111" s="462"/>
    </row>
    <row r="112" spans="1:7">
      <c r="A112" s="462"/>
      <c r="B112" s="462"/>
      <c r="C112" s="462"/>
      <c r="D112" s="462"/>
      <c r="E112" s="462"/>
      <c r="F112" s="462"/>
      <c r="G112" s="462"/>
    </row>
    <row r="113" spans="1:7">
      <c r="A113" s="462"/>
      <c r="B113" s="462"/>
      <c r="C113" s="462"/>
      <c r="D113" s="462"/>
      <c r="E113" s="462"/>
      <c r="F113" s="462"/>
      <c r="G113" s="462"/>
    </row>
    <row r="114" spans="1:7">
      <c r="A114" s="462"/>
      <c r="B114" s="462"/>
      <c r="C114" s="462"/>
      <c r="D114" s="462"/>
      <c r="E114" s="462"/>
      <c r="F114" s="462"/>
      <c r="G114" s="462"/>
    </row>
    <row r="115" spans="1:7">
      <c r="A115" s="462"/>
      <c r="B115" s="462"/>
      <c r="C115" s="462"/>
      <c r="D115" s="462"/>
      <c r="E115" s="462"/>
      <c r="F115" s="462"/>
      <c r="G115" s="462"/>
    </row>
    <row r="116" spans="1:7">
      <c r="A116" s="462"/>
      <c r="B116" s="462"/>
      <c r="C116" s="462"/>
      <c r="D116" s="462"/>
      <c r="E116" s="462"/>
      <c r="F116" s="462"/>
      <c r="G116" s="462"/>
    </row>
    <row r="117" spans="1:7">
      <c r="A117" s="462"/>
      <c r="B117" s="462"/>
      <c r="C117" s="462"/>
      <c r="D117" s="462"/>
      <c r="E117" s="462"/>
      <c r="F117" s="462"/>
      <c r="G117" s="462"/>
    </row>
    <row r="118" spans="1:7">
      <c r="A118" s="462"/>
      <c r="B118" s="462"/>
      <c r="C118" s="462"/>
      <c r="D118" s="462"/>
      <c r="E118" s="462"/>
      <c r="F118" s="462"/>
      <c r="G118" s="462"/>
    </row>
    <row r="119" spans="1:7">
      <c r="A119" s="462"/>
      <c r="B119" s="462"/>
      <c r="C119" s="462"/>
      <c r="D119" s="462"/>
      <c r="E119" s="462"/>
      <c r="F119" s="462"/>
      <c r="G119" s="462"/>
    </row>
    <row r="120" spans="1:7">
      <c r="A120" s="462"/>
      <c r="B120" s="462"/>
      <c r="C120" s="462"/>
      <c r="D120" s="462"/>
      <c r="E120" s="462"/>
      <c r="F120" s="462"/>
      <c r="G120" s="462"/>
    </row>
    <row r="121" spans="1:7">
      <c r="A121" s="462"/>
      <c r="B121" s="462"/>
      <c r="C121" s="462"/>
      <c r="D121" s="462"/>
      <c r="E121" s="462"/>
      <c r="F121" s="462"/>
      <c r="G121" s="462"/>
    </row>
    <row r="122" spans="1:7">
      <c r="A122" s="462"/>
      <c r="B122" s="462"/>
      <c r="C122" s="462"/>
      <c r="D122" s="462"/>
      <c r="E122" s="462"/>
      <c r="F122" s="462"/>
      <c r="G122" s="462"/>
    </row>
    <row r="123" spans="1:7">
      <c r="A123" s="462"/>
      <c r="B123" s="462"/>
      <c r="C123" s="462"/>
      <c r="D123" s="462"/>
      <c r="E123" s="462"/>
      <c r="F123" s="462"/>
      <c r="G123" s="462"/>
    </row>
    <row r="124" spans="1:7">
      <c r="A124" s="462"/>
      <c r="B124" s="462"/>
      <c r="C124" s="462"/>
      <c r="D124" s="462"/>
      <c r="E124" s="462"/>
      <c r="F124" s="462"/>
      <c r="G124" s="462"/>
    </row>
    <row r="125" spans="1:7">
      <c r="A125" s="462"/>
      <c r="B125" s="462"/>
      <c r="C125" s="462"/>
      <c r="D125" s="462"/>
      <c r="E125" s="462"/>
      <c r="F125" s="462"/>
      <c r="G125" s="462"/>
    </row>
    <row r="126" spans="1:7">
      <c r="A126" s="462"/>
      <c r="B126" s="462"/>
      <c r="C126" s="462"/>
      <c r="D126" s="462"/>
      <c r="E126" s="462"/>
      <c r="F126" s="462"/>
      <c r="G126" s="462"/>
    </row>
    <row r="127" spans="1:7">
      <c r="A127" s="462"/>
      <c r="B127" s="462"/>
      <c r="C127" s="462"/>
      <c r="D127" s="462"/>
      <c r="E127" s="462"/>
      <c r="F127" s="462"/>
      <c r="G127" s="462"/>
    </row>
    <row r="128" spans="1:7">
      <c r="A128" s="462"/>
      <c r="B128" s="462"/>
      <c r="C128" s="462"/>
      <c r="D128" s="462"/>
      <c r="E128" s="462"/>
      <c r="F128" s="462"/>
      <c r="G128" s="462"/>
    </row>
    <row r="129" spans="1:7">
      <c r="A129" s="462"/>
      <c r="B129" s="462"/>
      <c r="C129" s="462"/>
      <c r="D129" s="462"/>
      <c r="E129" s="462"/>
      <c r="F129" s="462"/>
      <c r="G129" s="462"/>
    </row>
    <row r="130" spans="1:7">
      <c r="A130" s="462"/>
      <c r="B130" s="462"/>
      <c r="C130" s="462"/>
      <c r="D130" s="462"/>
      <c r="E130" s="462"/>
      <c r="F130" s="462"/>
      <c r="G130" s="462"/>
    </row>
    <row r="131" spans="1:7">
      <c r="A131" s="462"/>
      <c r="B131" s="462"/>
      <c r="C131" s="462"/>
      <c r="D131" s="462"/>
      <c r="E131" s="462"/>
      <c r="F131" s="462"/>
      <c r="G131" s="462"/>
    </row>
    <row r="132" spans="1:7">
      <c r="A132" s="462"/>
      <c r="B132" s="462"/>
      <c r="C132" s="462"/>
      <c r="D132" s="462"/>
      <c r="E132" s="462"/>
      <c r="F132" s="462"/>
      <c r="G132" s="462"/>
    </row>
    <row r="133" spans="1:7">
      <c r="A133" s="462"/>
      <c r="B133" s="462"/>
      <c r="C133" s="462"/>
      <c r="D133" s="462"/>
      <c r="E133" s="462"/>
      <c r="F133" s="462"/>
      <c r="G133" s="462"/>
    </row>
    <row r="134" spans="1:7">
      <c r="A134" s="462"/>
      <c r="B134" s="462"/>
      <c r="C134" s="462"/>
      <c r="D134" s="462"/>
      <c r="E134" s="462"/>
      <c r="F134" s="462"/>
      <c r="G134" s="462"/>
    </row>
    <row r="135" spans="1:7">
      <c r="A135" s="462"/>
      <c r="B135" s="462"/>
      <c r="C135" s="462"/>
      <c r="D135" s="462"/>
      <c r="E135" s="462"/>
      <c r="F135" s="462"/>
      <c r="G135" s="462"/>
    </row>
    <row r="136" spans="1:7">
      <c r="A136" s="462"/>
      <c r="B136" s="462"/>
      <c r="C136" s="462"/>
      <c r="D136" s="462"/>
      <c r="E136" s="462"/>
      <c r="F136" s="462"/>
      <c r="G136" s="462"/>
    </row>
    <row r="137" spans="1:7">
      <c r="A137" s="462"/>
      <c r="B137" s="462"/>
      <c r="C137" s="462"/>
      <c r="D137" s="462"/>
      <c r="E137" s="462"/>
      <c r="F137" s="462"/>
      <c r="G137" s="462"/>
    </row>
    <row r="138" spans="1:7">
      <c r="A138" s="462"/>
      <c r="B138" s="462"/>
      <c r="C138" s="462"/>
      <c r="D138" s="462"/>
      <c r="E138" s="462"/>
      <c r="F138" s="462"/>
      <c r="G138" s="462"/>
    </row>
    <row r="139" spans="1:7">
      <c r="A139" s="462"/>
      <c r="B139" s="462"/>
      <c r="C139" s="462"/>
      <c r="D139" s="462"/>
      <c r="E139" s="462"/>
      <c r="F139" s="462"/>
      <c r="G139" s="462"/>
    </row>
    <row r="140" spans="1:7">
      <c r="A140" s="462"/>
      <c r="B140" s="462"/>
      <c r="C140" s="462"/>
      <c r="D140" s="462"/>
      <c r="E140" s="462"/>
      <c r="F140" s="462"/>
      <c r="G140" s="462"/>
    </row>
    <row r="141" spans="1:7">
      <c r="A141" s="462"/>
      <c r="B141" s="462"/>
      <c r="C141" s="462"/>
      <c r="D141" s="462"/>
      <c r="E141" s="462"/>
      <c r="F141" s="462"/>
      <c r="G141" s="462"/>
    </row>
    <row r="142" spans="1:7">
      <c r="A142" s="462"/>
      <c r="B142" s="462"/>
      <c r="C142" s="462"/>
      <c r="D142" s="462"/>
      <c r="E142" s="462"/>
      <c r="F142" s="462"/>
      <c r="G142" s="462"/>
    </row>
    <row r="143" spans="1:7">
      <c r="A143" s="462"/>
      <c r="B143" s="462"/>
      <c r="C143" s="462"/>
      <c r="D143" s="462"/>
      <c r="E143" s="462"/>
      <c r="F143" s="462"/>
      <c r="G143" s="462"/>
    </row>
    <row r="144" spans="1:7">
      <c r="A144" s="462"/>
      <c r="B144" s="462"/>
      <c r="C144" s="462"/>
      <c r="D144" s="462"/>
      <c r="E144" s="462"/>
      <c r="F144" s="462"/>
      <c r="G144" s="462"/>
    </row>
    <row r="145" spans="1:7">
      <c r="A145" s="462"/>
      <c r="B145" s="462"/>
      <c r="C145" s="462"/>
      <c r="D145" s="462"/>
      <c r="E145" s="462"/>
      <c r="F145" s="462"/>
      <c r="G145" s="462"/>
    </row>
    <row r="146" spans="1:7">
      <c r="A146" s="462"/>
      <c r="B146" s="462"/>
      <c r="C146" s="462"/>
      <c r="D146" s="462"/>
      <c r="E146" s="462"/>
      <c r="F146" s="462"/>
      <c r="G146" s="462"/>
    </row>
    <row r="147" spans="1:7">
      <c r="A147" s="462"/>
      <c r="B147" s="462"/>
      <c r="C147" s="462"/>
      <c r="D147" s="462"/>
      <c r="E147" s="462"/>
      <c r="F147" s="462"/>
      <c r="G147" s="462"/>
    </row>
    <row r="148" spans="1:7">
      <c r="A148" s="462"/>
      <c r="B148" s="462"/>
      <c r="C148" s="462"/>
      <c r="D148" s="462"/>
      <c r="E148" s="462"/>
      <c r="F148" s="462"/>
      <c r="G148" s="462"/>
    </row>
    <row r="149" spans="1:7">
      <c r="A149" s="462"/>
      <c r="B149" s="462"/>
      <c r="C149" s="462"/>
      <c r="D149" s="462"/>
      <c r="E149" s="462"/>
      <c r="F149" s="462"/>
      <c r="G149" s="462"/>
    </row>
    <row r="150" spans="1:7">
      <c r="A150" s="462"/>
      <c r="B150" s="462"/>
      <c r="C150" s="462"/>
      <c r="D150" s="462"/>
      <c r="E150" s="462"/>
      <c r="F150" s="462"/>
      <c r="G150" s="462"/>
    </row>
    <row r="151" spans="1:7">
      <c r="A151" s="462"/>
      <c r="B151" s="462"/>
      <c r="C151" s="462"/>
      <c r="D151" s="462"/>
      <c r="E151" s="462"/>
      <c r="F151" s="462"/>
      <c r="G151" s="462"/>
    </row>
    <row r="152" spans="1:7">
      <c r="A152" s="462"/>
      <c r="B152" s="462"/>
      <c r="C152" s="462"/>
      <c r="D152" s="462"/>
      <c r="E152" s="462"/>
      <c r="F152" s="462"/>
      <c r="G152" s="462"/>
    </row>
    <row r="153" spans="1:7">
      <c r="A153" s="462"/>
      <c r="B153" s="462"/>
      <c r="C153" s="462"/>
      <c r="D153" s="462"/>
      <c r="E153" s="462"/>
      <c r="F153" s="462"/>
      <c r="G153" s="462"/>
    </row>
    <row r="154" spans="1:7">
      <c r="A154" s="462"/>
      <c r="B154" s="462"/>
      <c r="C154" s="462"/>
      <c r="D154" s="462"/>
      <c r="E154" s="462"/>
      <c r="F154" s="462"/>
      <c r="G154" s="462"/>
    </row>
    <row r="155" spans="1:7">
      <c r="A155" s="462"/>
      <c r="B155" s="462"/>
      <c r="C155" s="462"/>
      <c r="D155" s="462"/>
      <c r="E155" s="462"/>
      <c r="F155" s="462"/>
      <c r="G155" s="462"/>
    </row>
    <row r="156" spans="1:7">
      <c r="A156" s="462"/>
      <c r="B156" s="462"/>
      <c r="C156" s="462"/>
      <c r="D156" s="462"/>
      <c r="E156" s="462"/>
      <c r="F156" s="462"/>
      <c r="G156" s="462"/>
    </row>
    <row r="157" spans="1:7">
      <c r="A157" s="462"/>
      <c r="B157" s="462"/>
      <c r="C157" s="462"/>
      <c r="D157" s="462"/>
      <c r="E157" s="462"/>
      <c r="F157" s="462"/>
      <c r="G157" s="462"/>
    </row>
    <row r="158" spans="1:7">
      <c r="A158" s="462"/>
      <c r="B158" s="462"/>
      <c r="C158" s="462"/>
      <c r="D158" s="462"/>
      <c r="E158" s="462"/>
      <c r="F158" s="462"/>
      <c r="G158" s="462"/>
    </row>
    <row r="159" spans="1:7">
      <c r="A159" s="462"/>
      <c r="B159" s="462"/>
      <c r="C159" s="462"/>
      <c r="D159" s="462"/>
      <c r="E159" s="462"/>
      <c r="F159" s="462"/>
      <c r="G159" s="462"/>
    </row>
    <row r="160" spans="1:7">
      <c r="A160" s="462"/>
      <c r="B160" s="462"/>
      <c r="C160" s="462"/>
      <c r="D160" s="462"/>
      <c r="E160" s="462"/>
      <c r="F160" s="462"/>
      <c r="G160" s="462"/>
    </row>
    <row r="161" spans="1:7">
      <c r="A161" s="462"/>
      <c r="B161" s="462"/>
      <c r="C161" s="462"/>
      <c r="D161" s="462"/>
      <c r="E161" s="462"/>
      <c r="F161" s="462"/>
      <c r="G161" s="462"/>
    </row>
    <row r="162" spans="1:7">
      <c r="A162" s="462"/>
      <c r="B162" s="462"/>
      <c r="C162" s="462"/>
      <c r="D162" s="462"/>
      <c r="E162" s="462"/>
      <c r="F162" s="462"/>
      <c r="G162" s="462"/>
    </row>
    <row r="163" spans="1:7">
      <c r="A163" s="462"/>
      <c r="B163" s="462"/>
      <c r="C163" s="462"/>
      <c r="D163" s="462"/>
      <c r="E163" s="462"/>
      <c r="F163" s="462"/>
      <c r="G163" s="462"/>
    </row>
    <row r="164" spans="1:7">
      <c r="A164" s="462"/>
      <c r="B164" s="462"/>
      <c r="C164" s="462"/>
      <c r="D164" s="462"/>
      <c r="E164" s="462"/>
      <c r="F164" s="462"/>
      <c r="G164" s="462"/>
    </row>
    <row r="165" spans="1:7">
      <c r="A165" s="462"/>
      <c r="B165" s="462"/>
      <c r="C165" s="462"/>
      <c r="D165" s="462"/>
      <c r="E165" s="462"/>
      <c r="F165" s="462"/>
      <c r="G165" s="462"/>
    </row>
    <row r="166" spans="1:7">
      <c r="A166" s="462"/>
      <c r="B166" s="462"/>
      <c r="C166" s="462"/>
      <c r="D166" s="462"/>
      <c r="E166" s="462"/>
      <c r="F166" s="462"/>
      <c r="G166" s="462"/>
    </row>
    <row r="167" spans="1:7">
      <c r="A167" s="462"/>
      <c r="B167" s="462"/>
      <c r="C167" s="462"/>
      <c r="D167" s="462"/>
      <c r="E167" s="462"/>
      <c r="F167" s="462"/>
      <c r="G167" s="462"/>
    </row>
    <row r="168" spans="1:7">
      <c r="A168" s="462"/>
      <c r="B168" s="462"/>
      <c r="C168" s="462"/>
      <c r="D168" s="462"/>
      <c r="E168" s="462"/>
      <c r="F168" s="462"/>
      <c r="G168" s="462"/>
    </row>
    <row r="169" spans="1:7">
      <c r="A169" s="462"/>
      <c r="B169" s="462"/>
      <c r="C169" s="462"/>
      <c r="D169" s="462"/>
      <c r="E169" s="462"/>
      <c r="F169" s="462"/>
      <c r="G169" s="462"/>
    </row>
    <row r="170" spans="1:7">
      <c r="A170" s="462"/>
      <c r="B170" s="462"/>
      <c r="C170" s="462"/>
      <c r="D170" s="462"/>
      <c r="E170" s="462"/>
      <c r="F170" s="462"/>
      <c r="G170" s="462"/>
    </row>
    <row r="171" spans="1:7">
      <c r="A171" s="462"/>
      <c r="B171" s="462"/>
      <c r="C171" s="462"/>
      <c r="D171" s="462"/>
      <c r="E171" s="462"/>
      <c r="F171" s="462"/>
      <c r="G171" s="462"/>
    </row>
    <row r="172" spans="1:7">
      <c r="A172" s="462"/>
      <c r="B172" s="462"/>
      <c r="C172" s="462"/>
      <c r="D172" s="462"/>
      <c r="E172" s="462"/>
      <c r="F172" s="462"/>
      <c r="G172" s="462"/>
    </row>
    <row r="173" spans="1:7">
      <c r="A173" s="462"/>
      <c r="B173" s="462"/>
      <c r="C173" s="462"/>
      <c r="D173" s="462"/>
      <c r="E173" s="462"/>
      <c r="F173" s="462"/>
      <c r="G173" s="462"/>
    </row>
    <row r="174" spans="1:7">
      <c r="A174" s="462"/>
      <c r="B174" s="462"/>
      <c r="C174" s="462"/>
      <c r="D174" s="462"/>
      <c r="E174" s="462"/>
      <c r="F174" s="462"/>
      <c r="G174" s="462"/>
    </row>
    <row r="175" spans="1:7">
      <c r="A175" s="462"/>
      <c r="B175" s="462"/>
      <c r="C175" s="462"/>
      <c r="D175" s="462"/>
      <c r="E175" s="462"/>
      <c r="F175" s="462"/>
      <c r="G175" s="462"/>
    </row>
    <row r="176" spans="1:7">
      <c r="A176" s="462"/>
      <c r="B176" s="462"/>
      <c r="C176" s="462"/>
      <c r="D176" s="462"/>
      <c r="E176" s="462"/>
      <c r="F176" s="462"/>
      <c r="G176" s="462"/>
    </row>
    <row r="177" spans="1:7">
      <c r="A177" s="462"/>
      <c r="B177" s="462"/>
      <c r="C177" s="462"/>
      <c r="D177" s="462"/>
      <c r="E177" s="462"/>
      <c r="F177" s="462"/>
      <c r="G177" s="462"/>
    </row>
    <row r="178" spans="1:7">
      <c r="A178" s="462"/>
      <c r="B178" s="462"/>
      <c r="C178" s="462"/>
      <c r="D178" s="462"/>
      <c r="E178" s="462"/>
      <c r="F178" s="462"/>
      <c r="G178" s="462"/>
    </row>
    <row r="179" spans="1:7">
      <c r="A179" s="462"/>
      <c r="B179" s="462"/>
      <c r="C179" s="462"/>
      <c r="D179" s="462"/>
      <c r="E179" s="462"/>
      <c r="F179" s="462"/>
      <c r="G179" s="462"/>
    </row>
    <row r="180" spans="1:7">
      <c r="A180" s="462"/>
      <c r="B180" s="462"/>
      <c r="C180" s="462"/>
      <c r="D180" s="462"/>
      <c r="E180" s="462"/>
      <c r="F180" s="462"/>
      <c r="G180" s="462"/>
    </row>
    <row r="181" spans="1:7">
      <c r="A181" s="462"/>
      <c r="B181" s="462"/>
      <c r="C181" s="462"/>
      <c r="D181" s="462"/>
      <c r="E181" s="462"/>
      <c r="F181" s="462"/>
      <c r="G181" s="462"/>
    </row>
    <row r="182" spans="1:7">
      <c r="A182" s="462"/>
      <c r="B182" s="462"/>
      <c r="C182" s="462"/>
      <c r="D182" s="462"/>
      <c r="E182" s="462"/>
      <c r="F182" s="462"/>
      <c r="G182" s="462"/>
    </row>
    <row r="183" spans="1:7">
      <c r="A183" s="462"/>
      <c r="B183" s="462"/>
      <c r="C183" s="462"/>
      <c r="D183" s="462"/>
      <c r="E183" s="462"/>
      <c r="F183" s="462"/>
      <c r="G183" s="462"/>
    </row>
    <row r="184" spans="1:7">
      <c r="A184" s="462"/>
      <c r="B184" s="462"/>
      <c r="C184" s="462"/>
      <c r="D184" s="462"/>
      <c r="E184" s="462"/>
      <c r="F184" s="462"/>
      <c r="G184" s="462"/>
    </row>
    <row r="185" spans="1:7">
      <c r="A185" s="462"/>
      <c r="B185" s="462"/>
      <c r="C185" s="462"/>
      <c r="D185" s="462"/>
      <c r="E185" s="462"/>
      <c r="F185" s="462"/>
      <c r="G185" s="462"/>
    </row>
    <row r="186" spans="1:7">
      <c r="A186" s="462"/>
      <c r="B186" s="462"/>
      <c r="C186" s="462"/>
      <c r="D186" s="462"/>
      <c r="E186" s="462"/>
      <c r="F186" s="462"/>
      <c r="G186" s="462"/>
    </row>
    <row r="187" spans="1:7">
      <c r="A187" s="462"/>
      <c r="B187" s="462"/>
      <c r="C187" s="462"/>
      <c r="D187" s="462"/>
      <c r="E187" s="462"/>
      <c r="F187" s="462"/>
      <c r="G187" s="462"/>
    </row>
    <row r="188" spans="1:7">
      <c r="A188" s="462"/>
      <c r="B188" s="462"/>
      <c r="C188" s="462"/>
      <c r="D188" s="462"/>
      <c r="E188" s="462"/>
      <c r="F188" s="462"/>
      <c r="G188" s="462"/>
    </row>
    <row r="189" spans="1:7">
      <c r="A189" s="462"/>
      <c r="B189" s="462"/>
      <c r="C189" s="462"/>
      <c r="D189" s="462"/>
      <c r="E189" s="462"/>
      <c r="F189" s="462"/>
      <c r="G189" s="462"/>
    </row>
    <row r="190" spans="1:7">
      <c r="A190" s="462"/>
      <c r="B190" s="462"/>
      <c r="C190" s="462"/>
      <c r="D190" s="462"/>
      <c r="E190" s="462"/>
      <c r="F190" s="462"/>
      <c r="G190" s="462"/>
    </row>
    <row r="191" spans="1:7">
      <c r="A191" s="462"/>
      <c r="B191" s="462"/>
      <c r="C191" s="462"/>
      <c r="D191" s="462"/>
      <c r="E191" s="462"/>
      <c r="F191" s="462"/>
      <c r="G191" s="462"/>
    </row>
    <row r="192" spans="1:7">
      <c r="A192" s="462"/>
      <c r="B192" s="462"/>
      <c r="C192" s="462"/>
      <c r="D192" s="462"/>
      <c r="E192" s="462"/>
      <c r="F192" s="462"/>
      <c r="G192" s="462"/>
    </row>
    <row r="193" spans="1:7">
      <c r="A193" s="462"/>
      <c r="B193" s="462"/>
      <c r="C193" s="462"/>
      <c r="D193" s="462"/>
      <c r="E193" s="462"/>
      <c r="F193" s="462"/>
      <c r="G193" s="462"/>
    </row>
    <row r="194" spans="1:7">
      <c r="A194" s="462"/>
      <c r="B194" s="462"/>
      <c r="C194" s="462"/>
      <c r="D194" s="462"/>
      <c r="E194" s="462"/>
      <c r="F194" s="462"/>
      <c r="G194" s="462"/>
    </row>
    <row r="195" spans="1:7">
      <c r="A195" s="462"/>
      <c r="B195" s="462"/>
      <c r="C195" s="462"/>
      <c r="D195" s="462"/>
      <c r="E195" s="462"/>
      <c r="F195" s="462"/>
      <c r="G195" s="462"/>
    </row>
    <row r="196" spans="1:7">
      <c r="A196" s="462"/>
      <c r="B196" s="462"/>
      <c r="C196" s="462"/>
      <c r="D196" s="462"/>
      <c r="E196" s="462"/>
      <c r="F196" s="462"/>
      <c r="G196" s="462"/>
    </row>
    <row r="197" spans="1:7">
      <c r="A197" s="462"/>
      <c r="B197" s="462"/>
      <c r="C197" s="462"/>
      <c r="D197" s="462"/>
      <c r="E197" s="462"/>
      <c r="F197" s="462"/>
      <c r="G197" s="462"/>
    </row>
    <row r="198" spans="1:7">
      <c r="A198" s="462"/>
      <c r="B198" s="462"/>
      <c r="C198" s="462"/>
      <c r="D198" s="462"/>
      <c r="E198" s="462"/>
      <c r="F198" s="462"/>
      <c r="G198" s="462"/>
    </row>
    <row r="199" spans="1:7">
      <c r="A199" s="462"/>
      <c r="B199" s="462"/>
      <c r="C199" s="462"/>
      <c r="D199" s="462"/>
      <c r="E199" s="462"/>
      <c r="F199" s="462"/>
      <c r="G199" s="462"/>
    </row>
    <row r="200" spans="1:7">
      <c r="A200" s="462"/>
      <c r="B200" s="462"/>
      <c r="C200" s="462"/>
      <c r="D200" s="462"/>
      <c r="E200" s="462"/>
      <c r="F200" s="462"/>
      <c r="G200" s="462"/>
    </row>
    <row r="201" spans="1:7">
      <c r="A201" s="462"/>
      <c r="B201" s="462"/>
      <c r="C201" s="462"/>
      <c r="D201" s="462"/>
      <c r="E201" s="462"/>
      <c r="F201" s="462"/>
      <c r="G201" s="462"/>
    </row>
    <row r="202" spans="1:7">
      <c r="A202" s="462"/>
      <c r="B202" s="462"/>
      <c r="C202" s="462"/>
      <c r="D202" s="462"/>
      <c r="E202" s="462"/>
      <c r="F202" s="462"/>
      <c r="G202" s="462"/>
    </row>
    <row r="203" spans="1:7">
      <c r="A203" s="462"/>
      <c r="B203" s="462"/>
      <c r="C203" s="462"/>
      <c r="D203" s="462"/>
      <c r="E203" s="462"/>
      <c r="F203" s="462"/>
      <c r="G203" s="462"/>
    </row>
    <row r="204" spans="1:7">
      <c r="A204" s="462"/>
      <c r="B204" s="462"/>
      <c r="C204" s="462"/>
      <c r="D204" s="462"/>
      <c r="E204" s="462"/>
      <c r="F204" s="462"/>
      <c r="G204" s="462"/>
    </row>
    <row r="205" spans="1:7">
      <c r="A205" s="462"/>
      <c r="B205" s="462"/>
      <c r="C205" s="462"/>
      <c r="D205" s="462"/>
      <c r="E205" s="462"/>
      <c r="F205" s="462"/>
      <c r="G205" s="462"/>
    </row>
    <row r="206" spans="1:7">
      <c r="A206" s="462"/>
      <c r="B206" s="462"/>
      <c r="C206" s="462"/>
      <c r="D206" s="462"/>
      <c r="E206" s="462"/>
      <c r="F206" s="462"/>
      <c r="G206" s="462"/>
    </row>
    <row r="207" spans="1:7">
      <c r="A207" s="462"/>
      <c r="B207" s="462"/>
      <c r="C207" s="462"/>
      <c r="D207" s="462"/>
      <c r="E207" s="462"/>
      <c r="F207" s="462"/>
      <c r="G207" s="462"/>
    </row>
    <row r="208" spans="1:7">
      <c r="A208" s="462"/>
      <c r="B208" s="462"/>
      <c r="C208" s="462"/>
      <c r="D208" s="462"/>
      <c r="E208" s="462"/>
      <c r="F208" s="462"/>
      <c r="G208" s="462"/>
    </row>
    <row r="209" spans="1:7">
      <c r="A209" s="462"/>
      <c r="B209" s="462"/>
      <c r="C209" s="462"/>
      <c r="D209" s="462"/>
      <c r="E209" s="462"/>
      <c r="F209" s="462"/>
      <c r="G209" s="462"/>
    </row>
    <row r="210" spans="1:7">
      <c r="A210" s="462"/>
      <c r="B210" s="462"/>
      <c r="C210" s="462"/>
      <c r="D210" s="462"/>
      <c r="E210" s="462"/>
      <c r="F210" s="462"/>
      <c r="G210" s="462"/>
    </row>
    <row r="211" spans="1:7">
      <c r="A211" s="462"/>
      <c r="B211" s="462"/>
      <c r="C211" s="462"/>
      <c r="D211" s="462"/>
      <c r="E211" s="462"/>
      <c r="F211" s="462"/>
      <c r="G211" s="462"/>
    </row>
    <row r="212" spans="1:7">
      <c r="A212" s="462"/>
      <c r="B212" s="462"/>
      <c r="C212" s="462"/>
      <c r="D212" s="462"/>
      <c r="E212" s="462"/>
      <c r="F212" s="462"/>
      <c r="G212" s="462"/>
    </row>
    <row r="213" spans="1:7">
      <c r="A213" s="462"/>
      <c r="B213" s="462"/>
      <c r="C213" s="462"/>
      <c r="D213" s="462"/>
      <c r="E213" s="462"/>
      <c r="F213" s="462"/>
      <c r="G213" s="462"/>
    </row>
    <row r="214" spans="1:7">
      <c r="A214" s="462"/>
      <c r="B214" s="462"/>
      <c r="C214" s="462"/>
      <c r="D214" s="462"/>
      <c r="E214" s="462"/>
      <c r="F214" s="462"/>
      <c r="G214" s="462"/>
    </row>
    <row r="215" spans="1:7">
      <c r="A215" s="462"/>
      <c r="B215" s="462"/>
      <c r="C215" s="462"/>
      <c r="D215" s="462"/>
      <c r="E215" s="462"/>
      <c r="F215" s="462"/>
      <c r="G215" s="462"/>
    </row>
    <row r="216" spans="1:7">
      <c r="A216" s="462"/>
      <c r="B216" s="462"/>
      <c r="C216" s="462"/>
      <c r="D216" s="462"/>
      <c r="E216" s="462"/>
      <c r="F216" s="462"/>
      <c r="G216" s="462"/>
    </row>
    <row r="217" spans="1:7">
      <c r="A217" s="462"/>
      <c r="B217" s="462"/>
      <c r="C217" s="462"/>
      <c r="D217" s="462"/>
      <c r="E217" s="462"/>
      <c r="F217" s="462"/>
      <c r="G217" s="462"/>
    </row>
    <row r="218" spans="1:7">
      <c r="A218" s="462"/>
      <c r="B218" s="462"/>
      <c r="C218" s="462"/>
      <c r="D218" s="462"/>
      <c r="E218" s="462"/>
      <c r="F218" s="462"/>
      <c r="G218" s="462"/>
    </row>
    <row r="219" spans="1:7">
      <c r="A219" s="462"/>
      <c r="B219" s="462"/>
      <c r="C219" s="462"/>
      <c r="D219" s="462"/>
      <c r="E219" s="462"/>
      <c r="F219" s="462"/>
      <c r="G219" s="462"/>
    </row>
    <row r="220" spans="1:7">
      <c r="A220" s="462"/>
      <c r="B220" s="462"/>
      <c r="C220" s="462"/>
      <c r="D220" s="462"/>
      <c r="E220" s="462"/>
      <c r="F220" s="462"/>
      <c r="G220" s="462"/>
    </row>
    <row r="221" spans="1:7">
      <c r="A221" s="462"/>
      <c r="B221" s="462"/>
      <c r="C221" s="462"/>
      <c r="D221" s="462"/>
      <c r="E221" s="462"/>
      <c r="F221" s="462"/>
      <c r="G221" s="462"/>
    </row>
    <row r="222" spans="1:7">
      <c r="A222" s="462"/>
      <c r="B222" s="462"/>
      <c r="C222" s="462"/>
      <c r="D222" s="462"/>
      <c r="E222" s="462"/>
      <c r="F222" s="462"/>
      <c r="G222" s="462"/>
    </row>
    <row r="223" spans="1:7">
      <c r="A223" s="462"/>
      <c r="B223" s="462"/>
      <c r="C223" s="462"/>
      <c r="D223" s="462"/>
      <c r="E223" s="462"/>
      <c r="F223" s="462"/>
      <c r="G223" s="462"/>
    </row>
    <row r="224" spans="1:7">
      <c r="A224" s="462"/>
      <c r="B224" s="462"/>
      <c r="C224" s="462"/>
      <c r="D224" s="462"/>
      <c r="E224" s="462"/>
      <c r="F224" s="462"/>
      <c r="G224" s="462"/>
    </row>
    <row r="225" spans="1:7">
      <c r="A225" s="462"/>
      <c r="B225" s="462"/>
      <c r="C225" s="462"/>
      <c r="D225" s="462"/>
      <c r="E225" s="462"/>
      <c r="F225" s="462"/>
      <c r="G225" s="462"/>
    </row>
    <row r="226" spans="1:7">
      <c r="A226" s="462"/>
      <c r="B226" s="462"/>
      <c r="C226" s="462"/>
      <c r="D226" s="462"/>
      <c r="E226" s="462"/>
      <c r="F226" s="462"/>
      <c r="G226" s="462"/>
    </row>
    <row r="227" spans="1:7">
      <c r="A227" s="462"/>
      <c r="B227" s="462"/>
      <c r="C227" s="462"/>
      <c r="D227" s="462"/>
      <c r="E227" s="462"/>
      <c r="F227" s="462"/>
      <c r="G227" s="462"/>
    </row>
    <row r="228" spans="1:7">
      <c r="A228" s="462"/>
      <c r="B228" s="462"/>
      <c r="C228" s="462"/>
      <c r="D228" s="462"/>
      <c r="E228" s="462"/>
      <c r="F228" s="462"/>
      <c r="G228" s="462"/>
    </row>
    <row r="229" spans="1:7">
      <c r="A229" s="462"/>
      <c r="B229" s="462"/>
      <c r="C229" s="462"/>
      <c r="D229" s="462"/>
      <c r="E229" s="462"/>
      <c r="F229" s="462"/>
      <c r="G229" s="462"/>
    </row>
    <row r="230" spans="1:7">
      <c r="A230" s="462"/>
      <c r="B230" s="462"/>
      <c r="C230" s="462"/>
      <c r="D230" s="462"/>
      <c r="E230" s="462"/>
      <c r="F230" s="462"/>
      <c r="G230" s="462"/>
    </row>
    <row r="231" spans="1:7">
      <c r="A231" s="462"/>
      <c r="B231" s="462"/>
      <c r="C231" s="462"/>
      <c r="D231" s="462"/>
      <c r="E231" s="462"/>
      <c r="F231" s="462"/>
      <c r="G231" s="462"/>
    </row>
    <row r="232" spans="1:7">
      <c r="A232" s="462"/>
      <c r="B232" s="462"/>
      <c r="C232" s="462"/>
      <c r="D232" s="462"/>
      <c r="E232" s="462"/>
      <c r="F232" s="462"/>
      <c r="G232" s="462"/>
    </row>
    <row r="233" spans="1:7">
      <c r="A233" s="462"/>
      <c r="B233" s="462"/>
      <c r="C233" s="462"/>
      <c r="D233" s="462"/>
      <c r="E233" s="462"/>
      <c r="F233" s="462"/>
      <c r="G233" s="462"/>
    </row>
    <row r="234" spans="1:7">
      <c r="A234" s="462"/>
      <c r="B234" s="462"/>
      <c r="C234" s="462"/>
      <c r="D234" s="462"/>
      <c r="E234" s="462"/>
      <c r="F234" s="462"/>
      <c r="G234" s="462"/>
    </row>
    <row r="235" spans="1:7">
      <c r="A235" s="462"/>
      <c r="B235" s="462"/>
      <c r="C235" s="462"/>
      <c r="D235" s="462"/>
      <c r="E235" s="462"/>
      <c r="F235" s="462"/>
      <c r="G235" s="462"/>
    </row>
    <row r="236" spans="1:7">
      <c r="A236" s="462"/>
      <c r="B236" s="462"/>
      <c r="C236" s="462"/>
      <c r="D236" s="462"/>
      <c r="E236" s="462"/>
      <c r="F236" s="462"/>
      <c r="G236" s="462"/>
    </row>
    <row r="237" spans="1:7">
      <c r="A237" s="462"/>
      <c r="B237" s="462"/>
      <c r="C237" s="462"/>
      <c r="D237" s="462"/>
      <c r="E237" s="462"/>
      <c r="F237" s="462"/>
      <c r="G237" s="462"/>
    </row>
    <row r="238" spans="1:7">
      <c r="A238" s="462"/>
      <c r="B238" s="462"/>
      <c r="C238" s="462"/>
      <c r="D238" s="462"/>
      <c r="E238" s="462"/>
      <c r="F238" s="462"/>
      <c r="G238" s="462"/>
    </row>
    <row r="239" spans="1:7">
      <c r="A239" s="462"/>
      <c r="B239" s="462"/>
      <c r="C239" s="462"/>
      <c r="D239" s="462"/>
      <c r="E239" s="462"/>
      <c r="F239" s="462"/>
      <c r="G239" s="462"/>
    </row>
    <row r="240" spans="1:7">
      <c r="A240" s="462"/>
      <c r="B240" s="462"/>
      <c r="C240" s="462"/>
      <c r="D240" s="462"/>
      <c r="E240" s="462"/>
      <c r="F240" s="462"/>
      <c r="G240" s="462"/>
    </row>
    <row r="241" spans="1:7">
      <c r="A241" s="462"/>
      <c r="B241" s="462"/>
      <c r="C241" s="462"/>
      <c r="D241" s="462"/>
      <c r="E241" s="462"/>
      <c r="F241" s="462"/>
      <c r="G241" s="462"/>
    </row>
    <row r="242" spans="1:7">
      <c r="A242" s="462"/>
      <c r="B242" s="462"/>
      <c r="C242" s="462"/>
      <c r="D242" s="462"/>
      <c r="E242" s="462"/>
      <c r="F242" s="462"/>
      <c r="G242" s="462"/>
    </row>
    <row r="243" spans="1:7">
      <c r="A243" s="462"/>
      <c r="B243" s="462"/>
      <c r="C243" s="462"/>
      <c r="D243" s="462"/>
      <c r="E243" s="462"/>
      <c r="F243" s="462"/>
      <c r="G243" s="462"/>
    </row>
    <row r="244" spans="1:7">
      <c r="A244" s="462"/>
      <c r="B244" s="462"/>
      <c r="C244" s="462"/>
      <c r="D244" s="462"/>
      <c r="E244" s="462"/>
      <c r="F244" s="462"/>
      <c r="G244" s="462"/>
    </row>
    <row r="245" spans="1:7">
      <c r="A245" s="462"/>
      <c r="B245" s="462"/>
      <c r="C245" s="462"/>
      <c r="D245" s="462"/>
      <c r="E245" s="462"/>
      <c r="F245" s="462"/>
      <c r="G245" s="462"/>
    </row>
    <row r="246" spans="1:7">
      <c r="A246" s="462"/>
      <c r="B246" s="462"/>
      <c r="C246" s="462"/>
      <c r="D246" s="462"/>
      <c r="E246" s="462"/>
      <c r="F246" s="462"/>
      <c r="G246" s="462"/>
    </row>
    <row r="247" spans="1:7">
      <c r="A247" s="462"/>
      <c r="B247" s="462"/>
      <c r="C247" s="462"/>
      <c r="D247" s="462"/>
      <c r="E247" s="462"/>
      <c r="F247" s="462"/>
      <c r="G247" s="462"/>
    </row>
    <row r="248" spans="1:7">
      <c r="A248" s="462"/>
      <c r="B248" s="462"/>
      <c r="C248" s="462"/>
      <c r="D248" s="462"/>
      <c r="E248" s="462"/>
      <c r="F248" s="462"/>
      <c r="G248" s="462"/>
    </row>
    <row r="249" spans="1:7">
      <c r="A249" s="462"/>
      <c r="B249" s="462"/>
      <c r="C249" s="462"/>
      <c r="D249" s="462"/>
      <c r="E249" s="462"/>
      <c r="F249" s="462"/>
      <c r="G249" s="462"/>
    </row>
    <row r="250" spans="1:7">
      <c r="A250" s="462"/>
      <c r="B250" s="462"/>
      <c r="C250" s="462"/>
      <c r="D250" s="462"/>
      <c r="E250" s="462"/>
      <c r="F250" s="462"/>
      <c r="G250" s="462"/>
    </row>
    <row r="251" spans="1:7">
      <c r="A251" s="462"/>
      <c r="B251" s="462"/>
      <c r="C251" s="462"/>
      <c r="D251" s="462"/>
      <c r="E251" s="462"/>
      <c r="F251" s="462"/>
      <c r="G251" s="462"/>
    </row>
    <row r="252" spans="1:7">
      <c r="A252" s="462"/>
      <c r="B252" s="462"/>
      <c r="C252" s="462"/>
      <c r="D252" s="462"/>
      <c r="E252" s="462"/>
      <c r="F252" s="462"/>
      <c r="G252" s="462"/>
    </row>
    <row r="253" spans="1:7">
      <c r="A253" s="462"/>
      <c r="B253" s="462"/>
      <c r="C253" s="462"/>
      <c r="D253" s="462"/>
      <c r="E253" s="462"/>
      <c r="F253" s="462"/>
      <c r="G253" s="462"/>
    </row>
    <row r="254" spans="1:7">
      <c r="A254" s="462"/>
      <c r="B254" s="462"/>
      <c r="C254" s="462"/>
      <c r="D254" s="462"/>
      <c r="E254" s="462"/>
      <c r="F254" s="462"/>
      <c r="G254" s="462"/>
    </row>
    <row r="255" spans="1:7">
      <c r="A255" s="462"/>
      <c r="B255" s="462"/>
      <c r="C255" s="462"/>
      <c r="D255" s="462"/>
      <c r="E255" s="462"/>
      <c r="F255" s="462"/>
      <c r="G255" s="462"/>
    </row>
    <row r="256" spans="1:7">
      <c r="A256" s="462"/>
      <c r="B256" s="462"/>
      <c r="C256" s="462"/>
      <c r="D256" s="462"/>
      <c r="E256" s="462"/>
      <c r="F256" s="462"/>
      <c r="G256" s="462"/>
    </row>
    <row r="257" spans="1:7">
      <c r="A257" s="462"/>
      <c r="B257" s="462"/>
      <c r="C257" s="462"/>
      <c r="D257" s="462"/>
      <c r="E257" s="462"/>
      <c r="F257" s="462"/>
      <c r="G257" s="462"/>
    </row>
    <row r="258" spans="1:7">
      <c r="A258" s="462"/>
      <c r="B258" s="462"/>
      <c r="C258" s="462"/>
      <c r="D258" s="462"/>
      <c r="E258" s="462"/>
      <c r="F258" s="462"/>
      <c r="G258" s="462"/>
    </row>
    <row r="259" spans="1:7">
      <c r="A259" s="462"/>
      <c r="B259" s="462"/>
      <c r="C259" s="462"/>
      <c r="D259" s="462"/>
      <c r="E259" s="462"/>
      <c r="F259" s="462"/>
      <c r="G259" s="462"/>
    </row>
    <row r="260" spans="1:7">
      <c r="A260" s="462"/>
      <c r="B260" s="462"/>
      <c r="C260" s="462"/>
      <c r="D260" s="462"/>
      <c r="E260" s="462"/>
      <c r="F260" s="462"/>
      <c r="G260" s="462"/>
    </row>
    <row r="261" spans="1:7">
      <c r="A261" s="462"/>
      <c r="B261" s="462"/>
      <c r="C261" s="462"/>
      <c r="D261" s="462"/>
      <c r="E261" s="462"/>
      <c r="F261" s="462"/>
      <c r="G261" s="462"/>
    </row>
    <row r="262" spans="1:7">
      <c r="A262" s="462"/>
      <c r="B262" s="462"/>
      <c r="C262" s="462"/>
      <c r="D262" s="462"/>
      <c r="E262" s="462"/>
      <c r="F262" s="462"/>
      <c r="G262" s="462"/>
    </row>
    <row r="263" spans="1:7">
      <c r="A263" s="462"/>
      <c r="B263" s="462"/>
      <c r="C263" s="462"/>
      <c r="D263" s="462"/>
      <c r="E263" s="462"/>
      <c r="F263" s="462"/>
      <c r="G263" s="462"/>
    </row>
    <row r="264" spans="1:7">
      <c r="A264" s="462"/>
      <c r="B264" s="462"/>
      <c r="C264" s="462"/>
      <c r="D264" s="462"/>
      <c r="E264" s="462"/>
      <c r="F264" s="462"/>
      <c r="G264" s="462"/>
    </row>
    <row r="265" spans="1:7">
      <c r="A265" s="462"/>
      <c r="B265" s="462"/>
      <c r="C265" s="462"/>
      <c r="D265" s="462"/>
      <c r="E265" s="462"/>
      <c r="F265" s="462"/>
      <c r="G265" s="462"/>
    </row>
    <row r="266" spans="1:7">
      <c r="A266" s="462"/>
      <c r="B266" s="462"/>
      <c r="C266" s="462"/>
      <c r="D266" s="462"/>
      <c r="E266" s="462"/>
      <c r="F266" s="462"/>
      <c r="G266" s="462"/>
    </row>
    <row r="267" spans="1:7">
      <c r="A267" s="462"/>
      <c r="B267" s="462"/>
      <c r="C267" s="462"/>
      <c r="D267" s="462"/>
      <c r="E267" s="462"/>
      <c r="F267" s="462"/>
      <c r="G267" s="462"/>
    </row>
    <row r="268" spans="1:7">
      <c r="A268" s="462"/>
      <c r="B268" s="462"/>
      <c r="C268" s="462"/>
      <c r="D268" s="462"/>
      <c r="E268" s="462"/>
      <c r="F268" s="462"/>
      <c r="G268" s="462"/>
    </row>
    <row r="269" spans="1:7">
      <c r="A269" s="462"/>
      <c r="B269" s="462"/>
      <c r="C269" s="462"/>
      <c r="D269" s="462"/>
      <c r="E269" s="462"/>
      <c r="F269" s="462"/>
      <c r="G269" s="462"/>
    </row>
    <row r="270" spans="1:7">
      <c r="A270" s="462"/>
      <c r="B270" s="462"/>
      <c r="C270" s="462"/>
      <c r="D270" s="462"/>
      <c r="E270" s="462"/>
      <c r="F270" s="462"/>
      <c r="G270" s="462"/>
    </row>
    <row r="271" spans="1:7">
      <c r="A271" s="462"/>
      <c r="B271" s="462"/>
      <c r="C271" s="462"/>
      <c r="D271" s="462"/>
      <c r="E271" s="462"/>
      <c r="F271" s="462"/>
      <c r="G271" s="462"/>
    </row>
    <row r="272" spans="1:7">
      <c r="A272" s="462"/>
      <c r="B272" s="462"/>
      <c r="C272" s="462"/>
      <c r="D272" s="462"/>
      <c r="E272" s="462"/>
      <c r="F272" s="462"/>
      <c r="G272" s="462"/>
    </row>
    <row r="273" spans="1:7">
      <c r="A273" s="462"/>
      <c r="B273" s="462"/>
      <c r="C273" s="462"/>
      <c r="D273" s="462"/>
      <c r="E273" s="462"/>
      <c r="F273" s="462"/>
      <c r="G273" s="462"/>
    </row>
    <row r="274" spans="1:7">
      <c r="A274" s="462"/>
      <c r="B274" s="462"/>
      <c r="C274" s="462"/>
      <c r="D274" s="462"/>
      <c r="E274" s="462"/>
      <c r="F274" s="462"/>
      <c r="G274" s="462"/>
    </row>
    <row r="275" spans="1:7">
      <c r="A275" s="462"/>
      <c r="B275" s="462"/>
      <c r="C275" s="462"/>
      <c r="D275" s="462"/>
      <c r="E275" s="462"/>
      <c r="F275" s="462"/>
      <c r="G275" s="462"/>
    </row>
    <row r="276" spans="1:7">
      <c r="A276" s="462"/>
      <c r="B276" s="462"/>
      <c r="C276" s="462"/>
      <c r="D276" s="462"/>
      <c r="E276" s="462"/>
      <c r="F276" s="462"/>
      <c r="G276" s="462"/>
    </row>
    <row r="277" spans="1:7">
      <c r="A277" s="462"/>
      <c r="B277" s="462"/>
      <c r="C277" s="462"/>
      <c r="D277" s="462"/>
      <c r="E277" s="462"/>
      <c r="F277" s="462"/>
      <c r="G277" s="462"/>
    </row>
    <row r="278" spans="1:7">
      <c r="A278" s="462"/>
      <c r="B278" s="462"/>
      <c r="C278" s="462"/>
      <c r="D278" s="462"/>
      <c r="E278" s="462"/>
      <c r="F278" s="462"/>
      <c r="G278" s="462"/>
    </row>
    <row r="279" spans="1:7">
      <c r="A279" s="462"/>
      <c r="B279" s="462"/>
      <c r="C279" s="462"/>
      <c r="D279" s="462"/>
      <c r="E279" s="462"/>
      <c r="F279" s="462"/>
      <c r="G279" s="462"/>
    </row>
    <row r="280" spans="1:7">
      <c r="A280" s="462"/>
      <c r="B280" s="462"/>
      <c r="C280" s="462"/>
      <c r="D280" s="462"/>
      <c r="E280" s="462"/>
      <c r="F280" s="462"/>
      <c r="G280" s="462"/>
    </row>
    <row r="281" spans="1:7">
      <c r="A281" s="462"/>
      <c r="B281" s="462"/>
      <c r="C281" s="462"/>
      <c r="D281" s="462"/>
      <c r="E281" s="462"/>
      <c r="F281" s="462"/>
      <c r="G281" s="462"/>
    </row>
    <row r="282" spans="1:7">
      <c r="A282" s="462"/>
      <c r="B282" s="462"/>
      <c r="C282" s="462"/>
      <c r="D282" s="462"/>
      <c r="E282" s="462"/>
      <c r="F282" s="462"/>
      <c r="G282" s="462"/>
    </row>
    <row r="283" spans="1:7">
      <c r="A283" s="462"/>
      <c r="B283" s="462"/>
      <c r="C283" s="462"/>
      <c r="D283" s="462"/>
      <c r="E283" s="462"/>
      <c r="F283" s="462"/>
      <c r="G283" s="462"/>
    </row>
    <row r="284" spans="1:7">
      <c r="A284" s="462"/>
      <c r="B284" s="462"/>
      <c r="C284" s="462"/>
      <c r="D284" s="462"/>
      <c r="E284" s="462"/>
      <c r="F284" s="462"/>
      <c r="G284" s="462"/>
    </row>
    <row r="285" spans="1:7">
      <c r="A285" s="462"/>
      <c r="B285" s="462"/>
      <c r="C285" s="462"/>
      <c r="D285" s="462"/>
      <c r="E285" s="462"/>
      <c r="F285" s="462"/>
      <c r="G285" s="462"/>
    </row>
    <row r="286" spans="1:7">
      <c r="A286" s="462"/>
      <c r="B286" s="462"/>
      <c r="C286" s="462"/>
      <c r="D286" s="462"/>
      <c r="E286" s="462"/>
      <c r="F286" s="462"/>
      <c r="G286" s="462"/>
    </row>
    <row r="287" spans="1:7">
      <c r="A287" s="462"/>
      <c r="B287" s="462"/>
      <c r="C287" s="462"/>
      <c r="D287" s="462"/>
      <c r="E287" s="462"/>
      <c r="F287" s="462"/>
      <c r="G287" s="462"/>
    </row>
    <row r="288" spans="1:7">
      <c r="A288" s="462"/>
      <c r="B288" s="462"/>
      <c r="C288" s="462"/>
      <c r="D288" s="462"/>
      <c r="E288" s="462"/>
      <c r="F288" s="462"/>
      <c r="G288" s="462"/>
    </row>
    <row r="289" spans="1:7">
      <c r="A289" s="462"/>
      <c r="B289" s="462"/>
      <c r="C289" s="462"/>
      <c r="D289" s="462"/>
      <c r="E289" s="462"/>
      <c r="F289" s="462"/>
      <c r="G289" s="462"/>
    </row>
    <row r="290" spans="1:7">
      <c r="A290" s="462"/>
      <c r="B290" s="462"/>
      <c r="C290" s="462"/>
      <c r="D290" s="462"/>
      <c r="E290" s="462"/>
      <c r="F290" s="462"/>
      <c r="G290" s="462"/>
    </row>
    <row r="291" spans="1:7">
      <c r="A291" s="462"/>
      <c r="B291" s="462"/>
      <c r="C291" s="462"/>
      <c r="D291" s="462"/>
      <c r="E291" s="462"/>
      <c r="F291" s="462"/>
      <c r="G291" s="462"/>
    </row>
    <row r="292" spans="1:7">
      <c r="A292" s="462"/>
      <c r="B292" s="462"/>
      <c r="C292" s="462"/>
      <c r="D292" s="462"/>
      <c r="E292" s="462"/>
      <c r="F292" s="462"/>
      <c r="G292" s="462"/>
    </row>
    <row r="293" spans="1:7">
      <c r="A293" s="462"/>
      <c r="B293" s="462"/>
      <c r="C293" s="462"/>
      <c r="D293" s="462"/>
      <c r="E293" s="462"/>
      <c r="F293" s="462"/>
      <c r="G293" s="462"/>
    </row>
    <row r="294" spans="1:7">
      <c r="A294" s="462"/>
      <c r="B294" s="462"/>
      <c r="C294" s="462"/>
      <c r="D294" s="462"/>
      <c r="E294" s="462"/>
      <c r="F294" s="462"/>
      <c r="G294" s="462"/>
    </row>
    <row r="295" spans="1:7">
      <c r="A295" s="462"/>
      <c r="B295" s="462"/>
      <c r="C295" s="462"/>
      <c r="D295" s="462"/>
      <c r="E295" s="462"/>
      <c r="F295" s="462"/>
      <c r="G295" s="462"/>
    </row>
    <row r="296" spans="1:7">
      <c r="A296" s="462"/>
      <c r="B296" s="462"/>
      <c r="C296" s="462"/>
      <c r="D296" s="462"/>
      <c r="E296" s="462"/>
      <c r="F296" s="462"/>
      <c r="G296" s="462"/>
    </row>
    <row r="297" spans="1:7">
      <c r="A297" s="462"/>
      <c r="B297" s="462"/>
      <c r="C297" s="462"/>
      <c r="D297" s="462"/>
      <c r="E297" s="462"/>
      <c r="F297" s="462"/>
      <c r="G297" s="462"/>
    </row>
    <row r="298" spans="1:7">
      <c r="A298" s="462"/>
      <c r="B298" s="462"/>
      <c r="C298" s="462"/>
      <c r="D298" s="462"/>
      <c r="E298" s="462"/>
      <c r="F298" s="462"/>
      <c r="G298" s="462"/>
    </row>
    <row r="299" spans="1:7">
      <c r="A299" s="462"/>
      <c r="B299" s="462"/>
      <c r="C299" s="462"/>
      <c r="D299" s="462"/>
      <c r="E299" s="462"/>
      <c r="F299" s="462"/>
      <c r="G299" s="462"/>
    </row>
    <row r="300" spans="1:7">
      <c r="A300" s="462"/>
      <c r="B300" s="462"/>
      <c r="C300" s="462"/>
      <c r="D300" s="462"/>
      <c r="E300" s="462"/>
      <c r="F300" s="462"/>
      <c r="G300" s="462"/>
    </row>
    <row r="301" spans="1:7">
      <c r="A301" s="462"/>
      <c r="B301" s="462"/>
      <c r="C301" s="462"/>
      <c r="D301" s="462"/>
      <c r="E301" s="462"/>
      <c r="F301" s="462"/>
      <c r="G301" s="462"/>
    </row>
    <row r="302" spans="1:7">
      <c r="A302" s="462"/>
      <c r="B302" s="462"/>
      <c r="C302" s="462"/>
      <c r="D302" s="462"/>
      <c r="E302" s="462"/>
      <c r="F302" s="462"/>
      <c r="G302" s="462"/>
    </row>
    <row r="303" spans="1:7">
      <c r="A303" s="462"/>
      <c r="B303" s="462"/>
      <c r="C303" s="462"/>
      <c r="D303" s="462"/>
      <c r="E303" s="462"/>
      <c r="F303" s="462"/>
      <c r="G303" s="462"/>
    </row>
    <row r="304" spans="1:7">
      <c r="A304" s="462"/>
      <c r="B304" s="462"/>
      <c r="C304" s="462"/>
      <c r="D304" s="462"/>
      <c r="E304" s="462"/>
      <c r="F304" s="462"/>
      <c r="G304" s="462"/>
    </row>
    <row r="305" spans="1:7">
      <c r="A305" s="462"/>
      <c r="B305" s="462"/>
      <c r="C305" s="462"/>
      <c r="D305" s="462"/>
      <c r="E305" s="462"/>
      <c r="F305" s="462"/>
      <c r="G305" s="462"/>
    </row>
    <row r="306" spans="1:7">
      <c r="A306" s="462"/>
      <c r="B306" s="462"/>
      <c r="C306" s="462"/>
      <c r="D306" s="462"/>
      <c r="E306" s="462"/>
      <c r="F306" s="462"/>
      <c r="G306" s="462"/>
    </row>
    <row r="307" spans="1:7">
      <c r="A307" s="462"/>
      <c r="B307" s="462"/>
      <c r="C307" s="462"/>
      <c r="D307" s="462"/>
      <c r="E307" s="462"/>
      <c r="F307" s="462"/>
      <c r="G307" s="462"/>
    </row>
    <row r="308" spans="1:7">
      <c r="A308" s="462"/>
      <c r="B308" s="462"/>
      <c r="C308" s="462"/>
      <c r="D308" s="462"/>
      <c r="E308" s="462"/>
      <c r="F308" s="462"/>
      <c r="G308" s="462"/>
    </row>
    <row r="309" spans="1:7">
      <c r="A309" s="462"/>
      <c r="B309" s="462"/>
      <c r="C309" s="462"/>
      <c r="D309" s="462"/>
      <c r="E309" s="462"/>
      <c r="F309" s="462"/>
      <c r="G309" s="462"/>
    </row>
    <row r="310" spans="1:7">
      <c r="A310" s="462"/>
      <c r="B310" s="462"/>
      <c r="C310" s="462"/>
      <c r="D310" s="462"/>
      <c r="E310" s="462"/>
      <c r="F310" s="462"/>
      <c r="G310" s="462"/>
    </row>
    <row r="311" spans="1:7">
      <c r="A311" s="462"/>
      <c r="B311" s="462"/>
      <c r="C311" s="462"/>
      <c r="D311" s="462"/>
      <c r="E311" s="462"/>
      <c r="F311" s="462"/>
      <c r="G311" s="462"/>
    </row>
    <row r="312" spans="1:7">
      <c r="A312" s="462"/>
      <c r="B312" s="462"/>
      <c r="C312" s="462"/>
      <c r="D312" s="462"/>
      <c r="E312" s="462"/>
      <c r="F312" s="462"/>
      <c r="G312" s="462"/>
    </row>
    <row r="313" spans="1:7">
      <c r="A313" s="462"/>
      <c r="B313" s="462"/>
      <c r="C313" s="462"/>
      <c r="D313" s="462"/>
      <c r="E313" s="462"/>
      <c r="F313" s="462"/>
      <c r="G313" s="462"/>
    </row>
    <row r="314" spans="1:7">
      <c r="A314" s="462"/>
      <c r="B314" s="462"/>
      <c r="C314" s="462"/>
      <c r="D314" s="462"/>
      <c r="E314" s="462"/>
      <c r="F314" s="462"/>
      <c r="G314" s="462"/>
    </row>
    <row r="315" spans="1:7">
      <c r="A315" s="462"/>
      <c r="B315" s="462"/>
      <c r="C315" s="462"/>
      <c r="D315" s="462"/>
      <c r="E315" s="462"/>
      <c r="F315" s="462"/>
      <c r="G315" s="462"/>
    </row>
    <row r="316" spans="1:7">
      <c r="A316" s="462"/>
      <c r="B316" s="462"/>
      <c r="C316" s="462"/>
      <c r="D316" s="462"/>
      <c r="E316" s="462"/>
      <c r="F316" s="462"/>
      <c r="G316" s="462"/>
    </row>
    <row r="317" spans="1:7">
      <c r="A317" s="462"/>
      <c r="B317" s="462"/>
      <c r="C317" s="462"/>
      <c r="D317" s="462"/>
      <c r="E317" s="462"/>
      <c r="F317" s="462"/>
      <c r="G317" s="462"/>
    </row>
    <row r="318" spans="1:7">
      <c r="A318" s="462"/>
      <c r="B318" s="462"/>
      <c r="C318" s="462"/>
      <c r="D318" s="462"/>
      <c r="E318" s="462"/>
      <c r="F318" s="462"/>
      <c r="G318" s="462"/>
    </row>
    <row r="319" spans="1:7">
      <c r="A319" s="462"/>
      <c r="B319" s="462"/>
      <c r="C319" s="462"/>
      <c r="D319" s="462"/>
      <c r="E319" s="462"/>
      <c r="F319" s="462"/>
      <c r="G319" s="462"/>
    </row>
    <row r="320" spans="1:7">
      <c r="A320" s="462"/>
      <c r="B320" s="462"/>
      <c r="C320" s="462"/>
      <c r="D320" s="462"/>
      <c r="E320" s="462"/>
      <c r="F320" s="462"/>
      <c r="G320" s="462"/>
    </row>
    <row r="321" spans="1:7">
      <c r="A321" s="462"/>
      <c r="B321" s="462"/>
      <c r="C321" s="462"/>
      <c r="D321" s="462"/>
      <c r="E321" s="462"/>
      <c r="F321" s="462"/>
      <c r="G321" s="462"/>
    </row>
    <row r="322" spans="1:7">
      <c r="A322" s="462"/>
      <c r="B322" s="462"/>
      <c r="C322" s="462"/>
      <c r="D322" s="462"/>
      <c r="E322" s="462"/>
      <c r="F322" s="462"/>
      <c r="G322" s="462"/>
    </row>
    <row r="323" spans="1:7">
      <c r="A323" s="462"/>
      <c r="B323" s="462"/>
      <c r="C323" s="462"/>
      <c r="D323" s="462"/>
      <c r="E323" s="462"/>
      <c r="F323" s="462"/>
      <c r="G323" s="462"/>
    </row>
    <row r="324" spans="1:7">
      <c r="A324" s="462"/>
      <c r="B324" s="462"/>
      <c r="C324" s="462"/>
      <c r="D324" s="462"/>
      <c r="E324" s="462"/>
      <c r="F324" s="462"/>
      <c r="G324" s="462"/>
    </row>
    <row r="325" spans="1:7">
      <c r="A325" s="462"/>
      <c r="B325" s="462"/>
      <c r="C325" s="462"/>
      <c r="D325" s="462"/>
      <c r="E325" s="462"/>
      <c r="F325" s="462"/>
      <c r="G325" s="462"/>
    </row>
    <row r="326" spans="1:7">
      <c r="A326" s="462"/>
      <c r="B326" s="462"/>
      <c r="C326" s="462"/>
      <c r="D326" s="462"/>
      <c r="E326" s="462"/>
      <c r="F326" s="462"/>
      <c r="G326" s="462"/>
    </row>
    <row r="327" spans="1:7">
      <c r="A327" s="462"/>
      <c r="B327" s="462"/>
      <c r="C327" s="462"/>
      <c r="D327" s="462"/>
      <c r="E327" s="462"/>
      <c r="F327" s="462"/>
      <c r="G327" s="462"/>
    </row>
    <row r="328" spans="1:7">
      <c r="A328" s="462"/>
      <c r="B328" s="462"/>
      <c r="C328" s="462"/>
      <c r="D328" s="462"/>
      <c r="E328" s="462"/>
      <c r="F328" s="462"/>
      <c r="G328" s="462"/>
    </row>
    <row r="329" spans="1:7">
      <c r="A329" s="462"/>
      <c r="B329" s="462"/>
      <c r="C329" s="462"/>
      <c r="D329" s="462"/>
      <c r="E329" s="462"/>
      <c r="F329" s="462"/>
      <c r="G329" s="462"/>
    </row>
    <row r="330" spans="1:7">
      <c r="A330" s="462"/>
      <c r="B330" s="462"/>
      <c r="C330" s="462"/>
      <c r="D330" s="462"/>
      <c r="E330" s="462"/>
      <c r="F330" s="462"/>
      <c r="G330" s="462"/>
    </row>
  </sheetData>
  <mergeCells count="34">
    <mergeCell ref="D19:G19"/>
    <mergeCell ref="D17:G17"/>
    <mergeCell ref="D15:G15"/>
    <mergeCell ref="A1:G1"/>
    <mergeCell ref="A3:G3"/>
    <mergeCell ref="A5:G5"/>
    <mergeCell ref="D9:G9"/>
    <mergeCell ref="D13:G13"/>
    <mergeCell ref="D11:G11"/>
    <mergeCell ref="A65:G66"/>
    <mergeCell ref="D54:G54"/>
    <mergeCell ref="D62:G62"/>
    <mergeCell ref="D52:G52"/>
    <mergeCell ref="A45:G45"/>
    <mergeCell ref="D50:G50"/>
    <mergeCell ref="D56:G56"/>
    <mergeCell ref="K19:M19"/>
    <mergeCell ref="K9:M9"/>
    <mergeCell ref="K11:M11"/>
    <mergeCell ref="K13:M13"/>
    <mergeCell ref="K15:M15"/>
    <mergeCell ref="K17:M17"/>
    <mergeCell ref="A43:G43"/>
    <mergeCell ref="D40:G40"/>
    <mergeCell ref="D38:G38"/>
    <mergeCell ref="D48:G48"/>
    <mergeCell ref="A47:G47"/>
    <mergeCell ref="D42:G42"/>
    <mergeCell ref="D36:G36"/>
    <mergeCell ref="D30:G30"/>
    <mergeCell ref="K30:M30"/>
    <mergeCell ref="A22:G22"/>
    <mergeCell ref="A24:G24"/>
    <mergeCell ref="A26:G26"/>
  </mergeCells>
  <printOptions horizontalCentered="1"/>
  <pageMargins left="0.9" right="0.7" top="0.75" bottom="0.75" header="0" footer="0.25"/>
  <pageSetup scale="79" orientation="portrait" horizontalDpi="300" verticalDpi="300" r:id="rId1"/>
  <rowBreaks count="2" manualBreakCount="2">
    <brk id="21" max="6" man="1"/>
    <brk id="42"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J1435"/>
  <sheetViews>
    <sheetView zoomScaleNormal="100" workbookViewId="0">
      <selection sqref="A1:H1"/>
    </sheetView>
  </sheetViews>
  <sheetFormatPr defaultRowHeight="15.75"/>
  <cols>
    <col min="1" max="1" width="12.77734375" style="488" customWidth="1"/>
    <col min="2" max="2" width="9.44140625" style="496" customWidth="1"/>
    <col min="3" max="3" width="11.44140625" style="488" customWidth="1"/>
    <col min="4" max="4" width="9.33203125" style="488" bestFit="1" customWidth="1"/>
    <col min="5" max="5" width="6.77734375" style="488" customWidth="1"/>
    <col min="6" max="6" width="8.77734375" style="488" customWidth="1"/>
    <col min="7" max="7" width="9.109375" style="488" bestFit="1" customWidth="1"/>
    <col min="8" max="8" width="16.109375" style="488" bestFit="1" customWidth="1"/>
    <col min="9" max="9" width="13.33203125" style="488" customWidth="1"/>
    <col min="10" max="14" width="8.88671875" style="488"/>
    <col min="15" max="15" width="10.21875" style="488" customWidth="1"/>
    <col min="16" max="16" width="11" style="488" customWidth="1"/>
    <col min="17" max="16384" width="8.88671875" style="488"/>
  </cols>
  <sheetData>
    <row r="1" spans="1:15">
      <c r="A1" s="1352" t="str">
        <f>+'WP-6 - Affiliated '!A1:G1</f>
        <v>Waste Control Inc.</v>
      </c>
      <c r="B1" s="1348"/>
      <c r="C1" s="1348"/>
      <c r="D1" s="1348"/>
      <c r="E1" s="1348"/>
      <c r="F1" s="1348"/>
      <c r="G1" s="1348"/>
      <c r="H1" s="1348"/>
    </row>
    <row r="2" spans="1:15" ht="13.5" customHeight="1">
      <c r="A2" s="489"/>
      <c r="B2" s="490"/>
      <c r="C2" s="490"/>
      <c r="E2" s="490"/>
      <c r="H2" s="490"/>
    </row>
    <row r="3" spans="1:15">
      <c r="A3" s="1354" t="s">
        <v>1252</v>
      </c>
      <c r="B3" s="1354"/>
      <c r="C3" s="1354"/>
      <c r="D3" s="1354"/>
      <c r="E3" s="1354"/>
      <c r="F3" s="1354"/>
      <c r="G3" s="1354"/>
      <c r="H3" s="1354"/>
    </row>
    <row r="4" spans="1:15">
      <c r="A4" s="1034"/>
      <c r="B4" s="1034"/>
      <c r="C4" s="1034"/>
      <c r="D4" s="1034"/>
      <c r="E4" s="1034"/>
      <c r="F4" s="1034"/>
      <c r="G4" s="1034"/>
      <c r="H4" s="1034"/>
    </row>
    <row r="5" spans="1:15">
      <c r="A5" s="1355" t="str">
        <f>+'WP-6 - Affiliated '!A5:G5</f>
        <v>In Support of Tariff 19 effective September 7, 2018</v>
      </c>
      <c r="B5" s="1355"/>
      <c r="C5" s="1355"/>
      <c r="D5" s="1355"/>
      <c r="E5" s="1355"/>
      <c r="F5" s="1355"/>
      <c r="G5" s="1355"/>
      <c r="H5" s="1355"/>
    </row>
    <row r="6" spans="1:15">
      <c r="A6" s="1037"/>
      <c r="B6" s="1037"/>
      <c r="C6" s="1037"/>
      <c r="D6" s="1037"/>
      <c r="E6" s="1037"/>
      <c r="F6" s="1037"/>
      <c r="G6" s="1037"/>
      <c r="H6" s="1037"/>
      <c r="K6" s="1347"/>
      <c r="L6" s="1347"/>
      <c r="M6" s="1347"/>
      <c r="N6" s="1347"/>
    </row>
    <row r="7" spans="1:15" ht="16.5" thickBot="1">
      <c r="B7" s="1357" t="s">
        <v>681</v>
      </c>
      <c r="C7" s="1357"/>
      <c r="D7" s="1357"/>
      <c r="E7" s="490"/>
      <c r="F7" s="488">
        <v>52</v>
      </c>
      <c r="G7" s="488" t="s">
        <v>733</v>
      </c>
      <c r="H7" s="1035" t="s">
        <v>681</v>
      </c>
    </row>
    <row r="8" spans="1:15">
      <c r="A8" s="491"/>
      <c r="B8" s="1036" t="s">
        <v>682</v>
      </c>
      <c r="C8" s="492" t="s">
        <v>684</v>
      </c>
      <c r="D8" s="492" t="s">
        <v>684</v>
      </c>
      <c r="E8" s="493"/>
      <c r="F8" s="1036" t="s">
        <v>186</v>
      </c>
      <c r="G8" s="1036"/>
      <c r="H8" s="492" t="s">
        <v>684</v>
      </c>
      <c r="I8" s="493"/>
      <c r="J8" s="1349" t="s">
        <v>702</v>
      </c>
      <c r="K8" s="1350"/>
      <c r="L8" s="1350"/>
      <c r="M8" s="1350"/>
      <c r="N8" s="1350"/>
      <c r="O8" s="1351"/>
    </row>
    <row r="9" spans="1:15">
      <c r="A9" s="494" t="s">
        <v>74</v>
      </c>
      <c r="B9" s="495" t="s">
        <v>683</v>
      </c>
      <c r="C9" s="1036" t="s">
        <v>685</v>
      </c>
      <c r="D9" s="1036" t="s">
        <v>96</v>
      </c>
      <c r="E9" s="1036" t="s">
        <v>0</v>
      </c>
      <c r="F9" s="1036" t="s">
        <v>96</v>
      </c>
      <c r="G9" s="1036"/>
      <c r="H9" s="1036" t="s">
        <v>666</v>
      </c>
      <c r="I9" s="493" t="s">
        <v>1184</v>
      </c>
      <c r="J9" s="496" t="s">
        <v>688</v>
      </c>
      <c r="K9" s="1011">
        <f>B21+C21+H21</f>
        <v>9453</v>
      </c>
      <c r="L9" s="1024">
        <f>K9/K11</f>
        <v>0.90355572548269925</v>
      </c>
      <c r="M9" s="1011"/>
      <c r="N9" s="1011"/>
      <c r="O9" s="1025"/>
    </row>
    <row r="10" spans="1:15">
      <c r="A10" s="497" t="s">
        <v>264</v>
      </c>
      <c r="B10" s="498"/>
      <c r="C10" s="497"/>
      <c r="D10" s="498"/>
      <c r="E10" s="497">
        <f t="shared" ref="E10:E16" si="0">SUM(B10:D10)</f>
        <v>0</v>
      </c>
      <c r="F10" s="1003"/>
      <c r="G10" s="1003"/>
      <c r="H10" s="497"/>
      <c r="I10" s="493"/>
      <c r="J10" s="496" t="s">
        <v>701</v>
      </c>
      <c r="K10" s="1011">
        <f>D21</f>
        <v>1009</v>
      </c>
      <c r="L10" s="1024">
        <f>K10/K11</f>
        <v>9.6444274517300713E-2</v>
      </c>
      <c r="M10" s="1011"/>
      <c r="N10" s="1011"/>
      <c r="O10" s="1009"/>
    </row>
    <row r="11" spans="1:15">
      <c r="A11" s="497" t="s">
        <v>263</v>
      </c>
      <c r="B11" s="498"/>
      <c r="C11" s="497"/>
      <c r="D11" s="498"/>
      <c r="E11" s="497">
        <f t="shared" si="0"/>
        <v>0</v>
      </c>
      <c r="F11" s="1003"/>
      <c r="G11" s="1003"/>
      <c r="H11" s="497"/>
      <c r="I11" s="493"/>
      <c r="J11" s="496" t="s">
        <v>703</v>
      </c>
      <c r="K11" s="1011">
        <f>SUM(K9:K10)</f>
        <v>10462</v>
      </c>
      <c r="L11" s="1024">
        <f>SUM(L9:L10)</f>
        <v>1</v>
      </c>
      <c r="M11" s="1011"/>
      <c r="N11" s="1011"/>
      <c r="O11" s="1009"/>
    </row>
    <row r="12" spans="1:15">
      <c r="A12" s="497" t="s">
        <v>262</v>
      </c>
      <c r="B12" s="498"/>
      <c r="C12" s="497"/>
      <c r="D12" s="498"/>
      <c r="E12" s="497">
        <f t="shared" si="0"/>
        <v>0</v>
      </c>
      <c r="F12" s="1003"/>
      <c r="G12" s="1003"/>
      <c r="H12" s="497"/>
      <c r="I12" s="493"/>
      <c r="J12" s="496"/>
      <c r="K12" s="1011"/>
      <c r="L12" s="1011"/>
      <c r="M12" s="1011"/>
      <c r="N12" s="1011"/>
      <c r="O12" s="1009"/>
    </row>
    <row r="13" spans="1:15" ht="16.5" thickBot="1">
      <c r="A13" s="497" t="s">
        <v>261</v>
      </c>
      <c r="B13" s="498"/>
      <c r="C13" s="497"/>
      <c r="D13" s="498"/>
      <c r="E13" s="497">
        <f t="shared" si="0"/>
        <v>0</v>
      </c>
      <c r="F13" s="1003"/>
      <c r="G13" s="1003"/>
      <c r="H13" s="497"/>
      <c r="I13" s="493"/>
      <c r="J13" s="499"/>
      <c r="K13" s="1023"/>
      <c r="L13" s="500"/>
      <c r="M13" s="1023"/>
      <c r="N13" s="1023"/>
      <c r="O13" s="501"/>
    </row>
    <row r="14" spans="1:15">
      <c r="A14" s="497" t="s">
        <v>260</v>
      </c>
      <c r="B14" s="498"/>
      <c r="C14" s="497"/>
      <c r="D14" s="498"/>
      <c r="E14" s="497">
        <f t="shared" si="0"/>
        <v>0</v>
      </c>
      <c r="F14" s="1003"/>
      <c r="G14" s="1003"/>
      <c r="H14" s="497"/>
      <c r="I14" s="493"/>
    </row>
    <row r="15" spans="1:15">
      <c r="A15" s="497" t="s">
        <v>259</v>
      </c>
      <c r="B15" s="498"/>
      <c r="C15" s="497"/>
      <c r="D15" s="498"/>
      <c r="E15" s="497">
        <f t="shared" si="0"/>
        <v>0</v>
      </c>
      <c r="F15" s="1003"/>
      <c r="G15" s="1003"/>
      <c r="H15" s="497"/>
      <c r="I15" s="493"/>
    </row>
    <row r="16" spans="1:15">
      <c r="A16" s="497" t="s">
        <v>258</v>
      </c>
      <c r="B16" s="498"/>
      <c r="C16" s="497"/>
      <c r="D16" s="498"/>
      <c r="E16" s="497">
        <f t="shared" si="0"/>
        <v>0</v>
      </c>
      <c r="F16" s="1003"/>
      <c r="G16" s="1003"/>
      <c r="H16" s="497"/>
      <c r="I16" s="493"/>
    </row>
    <row r="17" spans="1:12">
      <c r="A17" s="494" t="s">
        <v>95</v>
      </c>
      <c r="B17" s="502"/>
      <c r="C17" s="502"/>
      <c r="D17" s="502"/>
      <c r="E17" s="502">
        <f>SUM(B18:D18)</f>
        <v>770</v>
      </c>
      <c r="F17" s="494">
        <f>SUM(F18:F20)</f>
        <v>52468</v>
      </c>
      <c r="G17" s="502"/>
      <c r="H17" s="502"/>
      <c r="I17" s="493"/>
    </row>
    <row r="18" spans="1:12">
      <c r="A18" s="497" t="s">
        <v>224</v>
      </c>
      <c r="B18" s="498">
        <v>208</v>
      </c>
      <c r="C18" s="497">
        <v>193</v>
      </c>
      <c r="D18" s="498">
        <v>369</v>
      </c>
      <c r="E18" s="497">
        <f>SUM(B18:D18)</f>
        <v>770</v>
      </c>
      <c r="F18" s="1003">
        <f>D18*$F$7</f>
        <v>19188</v>
      </c>
      <c r="G18" s="1003"/>
      <c r="H18" s="497"/>
      <c r="I18" s="493">
        <f>+D18*15.62*12</f>
        <v>69165.36</v>
      </c>
      <c r="L18" s="1022"/>
    </row>
    <row r="19" spans="1:12">
      <c r="A19" s="497" t="s">
        <v>222</v>
      </c>
      <c r="B19" s="498">
        <v>4671</v>
      </c>
      <c r="C19" s="497">
        <v>236</v>
      </c>
      <c r="D19" s="498">
        <v>443</v>
      </c>
      <c r="E19" s="497">
        <f>SUM(B19:D19)</f>
        <v>5350</v>
      </c>
      <c r="F19" s="1003">
        <f>D19*$F$7</f>
        <v>23036</v>
      </c>
      <c r="G19" s="1003"/>
      <c r="H19" s="497"/>
      <c r="I19" s="493">
        <f>+D19*12*19.31</f>
        <v>102651.95999999999</v>
      </c>
      <c r="L19" s="1022"/>
    </row>
    <row r="20" spans="1:12" ht="16.5" customHeight="1">
      <c r="A20" s="1053" t="s">
        <v>221</v>
      </c>
      <c r="B20" s="1054">
        <v>4039</v>
      </c>
      <c r="C20" s="1053">
        <v>106</v>
      </c>
      <c r="D20" s="1054">
        <v>197</v>
      </c>
      <c r="E20" s="1053">
        <f>SUM(B20:D20)</f>
        <v>4342</v>
      </c>
      <c r="F20" s="1003">
        <f>D20*$F$7</f>
        <v>10244</v>
      </c>
      <c r="G20" s="1055"/>
      <c r="H20" s="1053"/>
      <c r="I20" s="493">
        <f>+D20*23.01*12</f>
        <v>54395.64</v>
      </c>
      <c r="J20" s="1034"/>
      <c r="L20" s="1022"/>
    </row>
    <row r="21" spans="1:12" s="489" customFormat="1">
      <c r="A21" s="1056"/>
      <c r="B21" s="1056">
        <f>SUM(B18:B20)</f>
        <v>8918</v>
      </c>
      <c r="C21" s="1056">
        <f>SUM(C18:C20)</f>
        <v>535</v>
      </c>
      <c r="D21" s="1056">
        <f>SUM(D18:D20)</f>
        <v>1009</v>
      </c>
      <c r="E21" s="1056"/>
      <c r="F21" s="1056"/>
      <c r="G21" s="1056"/>
      <c r="H21" s="1056">
        <f>SUM(H18:H20)</f>
        <v>0</v>
      </c>
      <c r="I21" s="503">
        <f>SUM(I18:I20)</f>
        <v>226212.96000000002</v>
      </c>
    </row>
    <row r="22" spans="1:12" s="509" customFormat="1">
      <c r="A22" s="504" t="s">
        <v>257</v>
      </c>
      <c r="B22" s="505"/>
      <c r="C22" s="506"/>
      <c r="D22" s="505"/>
      <c r="E22" s="506">
        <f t="shared" ref="E22:E28" si="1">SUM(B22:D22)</f>
        <v>0</v>
      </c>
      <c r="F22" s="507"/>
      <c r="G22" s="507"/>
      <c r="H22" s="506"/>
      <c r="I22" s="508"/>
    </row>
    <row r="23" spans="1:12" s="509" customFormat="1">
      <c r="A23" s="510" t="s">
        <v>256</v>
      </c>
      <c r="B23" s="511">
        <v>4</v>
      </c>
      <c r="C23" s="510"/>
      <c r="D23" s="511"/>
      <c r="E23" s="510">
        <f t="shared" si="1"/>
        <v>4</v>
      </c>
      <c r="F23" s="1012"/>
      <c r="G23" s="1012"/>
      <c r="H23" s="510"/>
      <c r="I23" s="508"/>
    </row>
    <row r="24" spans="1:12" s="509" customFormat="1">
      <c r="A24" s="510" t="s">
        <v>255</v>
      </c>
      <c r="B24" s="511">
        <v>1</v>
      </c>
      <c r="C24" s="510"/>
      <c r="D24" s="511"/>
      <c r="E24" s="510">
        <f t="shared" si="1"/>
        <v>1</v>
      </c>
      <c r="F24" s="1012"/>
      <c r="G24" s="1012"/>
      <c r="H24" s="510"/>
      <c r="I24" s="508"/>
    </row>
    <row r="25" spans="1:12" s="509" customFormat="1">
      <c r="A25" s="510" t="s">
        <v>254</v>
      </c>
      <c r="B25" s="512"/>
      <c r="C25" s="1021"/>
      <c r="D25" s="511"/>
      <c r="E25" s="510">
        <f t="shared" si="1"/>
        <v>0</v>
      </c>
      <c r="F25" s="1012"/>
      <c r="G25" s="1012"/>
      <c r="H25" s="1021"/>
      <c r="I25" s="508"/>
    </row>
    <row r="26" spans="1:12" s="509" customFormat="1">
      <c r="A26" s="510" t="s">
        <v>253</v>
      </c>
      <c r="B26" s="511">
        <v>9</v>
      </c>
      <c r="C26" s="510"/>
      <c r="D26" s="511"/>
      <c r="E26" s="510">
        <f t="shared" si="1"/>
        <v>9</v>
      </c>
      <c r="F26" s="1012"/>
      <c r="G26" s="1012"/>
      <c r="H26" s="510"/>
      <c r="I26" s="508"/>
    </row>
    <row r="27" spans="1:12" s="509" customFormat="1">
      <c r="A27" s="510" t="s">
        <v>252</v>
      </c>
      <c r="B27" s="511"/>
      <c r="C27" s="510"/>
      <c r="D27" s="511"/>
      <c r="E27" s="510">
        <f t="shared" si="1"/>
        <v>0</v>
      </c>
      <c r="F27" s="1012"/>
      <c r="G27" s="1012"/>
      <c r="H27" s="510"/>
      <c r="I27" s="508"/>
    </row>
    <row r="28" spans="1:12" s="509" customFormat="1">
      <c r="A28" s="510" t="s">
        <v>217</v>
      </c>
      <c r="B28" s="511"/>
      <c r="C28" s="510"/>
      <c r="D28" s="511"/>
      <c r="E28" s="510">
        <f t="shared" si="1"/>
        <v>0</v>
      </c>
      <c r="F28" s="1012"/>
      <c r="G28" s="1012"/>
      <c r="H28" s="510"/>
      <c r="I28" s="508"/>
    </row>
    <row r="29" spans="1:12" s="509" customFormat="1">
      <c r="A29" s="508"/>
      <c r="B29" s="511"/>
      <c r="C29" s="510"/>
      <c r="D29" s="513"/>
      <c r="E29" s="510"/>
      <c r="F29" s="508"/>
      <c r="G29" s="508"/>
      <c r="H29" s="510"/>
      <c r="I29" s="508"/>
    </row>
    <row r="30" spans="1:12" s="509" customFormat="1">
      <c r="A30" s="510" t="s">
        <v>251</v>
      </c>
      <c r="B30" s="511"/>
      <c r="C30" s="510"/>
      <c r="D30" s="511"/>
      <c r="E30" s="510">
        <f>SUM(B30:D30)</f>
        <v>0</v>
      </c>
      <c r="F30" s="1012"/>
      <c r="G30" s="1012"/>
      <c r="H30" s="510"/>
      <c r="I30" s="508"/>
    </row>
    <row r="31" spans="1:12" s="509" customFormat="1">
      <c r="A31" s="514"/>
      <c r="B31" s="514"/>
      <c r="C31" s="514"/>
      <c r="D31" s="514"/>
      <c r="E31" s="514"/>
      <c r="F31" s="514"/>
      <c r="G31" s="514"/>
      <c r="H31" s="514"/>
      <c r="I31" s="508"/>
    </row>
    <row r="32" spans="1:12">
      <c r="A32" s="1356" t="str">
        <f>+A1</f>
        <v>Waste Control Inc.</v>
      </c>
      <c r="B32" s="1356"/>
      <c r="C32" s="1356"/>
      <c r="D32" s="1356"/>
      <c r="E32" s="1356"/>
      <c r="F32" s="1356"/>
      <c r="G32" s="1356"/>
      <c r="H32" s="1356"/>
      <c r="I32" s="493"/>
    </row>
    <row r="33" spans="1:14" ht="13.5" customHeight="1">
      <c r="A33" s="494"/>
      <c r="B33" s="515"/>
      <c r="C33" s="515"/>
      <c r="D33" s="515"/>
      <c r="E33" s="502"/>
      <c r="F33" s="502"/>
      <c r="G33" s="502"/>
      <c r="H33" s="502"/>
      <c r="I33" s="493"/>
    </row>
    <row r="34" spans="1:14">
      <c r="A34" s="1353" t="s">
        <v>660</v>
      </c>
      <c r="B34" s="1353"/>
      <c r="C34" s="1353"/>
      <c r="D34" s="1353"/>
      <c r="E34" s="1353"/>
      <c r="F34" s="1353"/>
      <c r="G34" s="1353"/>
      <c r="H34" s="1353"/>
      <c r="I34" s="493"/>
    </row>
    <row r="35" spans="1:14">
      <c r="A35" s="1036"/>
      <c r="B35" s="1036"/>
      <c r="C35" s="1036"/>
      <c r="D35" s="1036"/>
      <c r="E35" s="1036"/>
      <c r="F35" s="1036"/>
      <c r="G35" s="1036"/>
      <c r="H35" s="1036"/>
      <c r="I35" s="493"/>
    </row>
    <row r="36" spans="1:14">
      <c r="A36" s="1353" t="str">
        <f>+A5</f>
        <v>In Support of Tariff 19 effective September 7, 2018</v>
      </c>
      <c r="B36" s="1353"/>
      <c r="C36" s="1353"/>
      <c r="D36" s="1353"/>
      <c r="E36" s="1353"/>
      <c r="F36" s="1353"/>
      <c r="G36" s="1353"/>
      <c r="H36" s="1353"/>
      <c r="I36" s="493"/>
    </row>
    <row r="37" spans="1:14">
      <c r="A37" s="1036"/>
      <c r="B37" s="1036"/>
      <c r="C37" s="1036"/>
      <c r="D37" s="1036"/>
      <c r="E37" s="1036"/>
      <c r="F37" s="1036"/>
      <c r="G37" s="1036"/>
      <c r="H37" s="1036"/>
      <c r="I37" s="493"/>
    </row>
    <row r="38" spans="1:14">
      <c r="A38" s="1036"/>
      <c r="B38" s="1357" t="s">
        <v>681</v>
      </c>
      <c r="C38" s="1357"/>
      <c r="D38" s="1357"/>
      <c r="E38" s="1036"/>
      <c r="F38" s="1036"/>
      <c r="G38" s="1036"/>
      <c r="H38" s="1035"/>
      <c r="I38" s="502"/>
      <c r="J38" s="490"/>
      <c r="K38" s="490"/>
      <c r="L38" s="490"/>
      <c r="M38" s="490"/>
      <c r="N38" s="490"/>
    </row>
    <row r="39" spans="1:14">
      <c r="A39" s="502"/>
      <c r="B39" s="1036" t="s">
        <v>682</v>
      </c>
      <c r="C39" s="492" t="s">
        <v>684</v>
      </c>
      <c r="D39" s="492" t="s">
        <v>684</v>
      </c>
      <c r="E39" s="516" t="s">
        <v>651</v>
      </c>
      <c r="F39" s="1036" t="s">
        <v>669</v>
      </c>
      <c r="G39" s="517" t="s">
        <v>0</v>
      </c>
      <c r="H39" s="492"/>
      <c r="I39" s="1348"/>
      <c r="J39" s="1348"/>
      <c r="K39" s="1348"/>
      <c r="L39" s="1348"/>
      <c r="M39" s="490"/>
      <c r="N39" s="490"/>
    </row>
    <row r="40" spans="1:14">
      <c r="A40" s="494" t="s">
        <v>75</v>
      </c>
      <c r="B40" s="495" t="s">
        <v>683</v>
      </c>
      <c r="C40" s="1036" t="s">
        <v>685</v>
      </c>
      <c r="D40" s="1036" t="s">
        <v>96</v>
      </c>
      <c r="E40" s="1036" t="s">
        <v>0</v>
      </c>
      <c r="F40" s="1036" t="s">
        <v>678</v>
      </c>
      <c r="G40" s="517" t="s">
        <v>653</v>
      </c>
      <c r="H40" s="1036"/>
      <c r="I40" s="490"/>
      <c r="J40" s="490"/>
      <c r="K40" s="490"/>
      <c r="L40" s="490"/>
      <c r="M40" s="490"/>
      <c r="N40" s="490"/>
    </row>
    <row r="41" spans="1:14">
      <c r="A41" s="497" t="s">
        <v>250</v>
      </c>
      <c r="B41" s="498"/>
      <c r="C41" s="497"/>
      <c r="D41" s="498"/>
      <c r="E41" s="497">
        <f>SUM(B41:D41)</f>
        <v>0</v>
      </c>
      <c r="F41" s="1003"/>
      <c r="G41" s="1003"/>
      <c r="H41" s="497"/>
      <c r="I41" s="490" t="s">
        <v>96</v>
      </c>
      <c r="J41" s="490"/>
      <c r="K41" s="490"/>
      <c r="L41" s="490"/>
      <c r="M41" s="490"/>
      <c r="N41" s="490"/>
    </row>
    <row r="42" spans="1:14">
      <c r="A42" s="497" t="s">
        <v>249</v>
      </c>
      <c r="B42" s="498">
        <v>12</v>
      </c>
      <c r="C42" s="497">
        <v>4</v>
      </c>
      <c r="D42" s="498">
        <v>3</v>
      </c>
      <c r="E42" s="497">
        <f>SUM(B42:D42)</f>
        <v>19</v>
      </c>
      <c r="F42" s="1003">
        <v>1</v>
      </c>
      <c r="G42" s="1003">
        <f>+E42</f>
        <v>19</v>
      </c>
      <c r="H42" s="497"/>
      <c r="I42" s="1057">
        <f>+D42*16.76*4.33*12</f>
        <v>2612.5488</v>
      </c>
      <c r="J42" s="518"/>
      <c r="K42" s="1008"/>
      <c r="L42" s="1008"/>
      <c r="M42" s="1026"/>
      <c r="N42" s="490"/>
    </row>
    <row r="43" spans="1:14">
      <c r="A43" s="497" t="s">
        <v>249</v>
      </c>
      <c r="B43" s="498"/>
      <c r="C43" s="497">
        <v>2</v>
      </c>
      <c r="D43" s="498"/>
      <c r="E43" s="497">
        <f>SUM(B43:D43)</f>
        <v>2</v>
      </c>
      <c r="F43" s="1003">
        <v>2</v>
      </c>
      <c r="G43" s="1003">
        <f>+E43*F43</f>
        <v>4</v>
      </c>
      <c r="H43" s="497"/>
      <c r="I43" s="1057"/>
      <c r="J43" s="518"/>
      <c r="K43" s="1008"/>
      <c r="L43" s="1008"/>
      <c r="M43" s="1026"/>
      <c r="N43" s="490"/>
    </row>
    <row r="44" spans="1:14">
      <c r="A44" s="497" t="s">
        <v>215</v>
      </c>
      <c r="B44" s="498"/>
      <c r="C44" s="497"/>
      <c r="D44" s="498"/>
      <c r="E44" s="1019">
        <f>SUM(E42:E43)</f>
        <v>21</v>
      </c>
      <c r="F44" s="1003"/>
      <c r="G44" s="1020">
        <f>SUM(G42:G43)</f>
        <v>23</v>
      </c>
      <c r="H44" s="497"/>
      <c r="I44" s="1057"/>
      <c r="J44" s="518"/>
      <c r="K44" s="1008"/>
      <c r="L44" s="1008"/>
      <c r="M44" s="1026"/>
      <c r="N44" s="490"/>
    </row>
    <row r="45" spans="1:14">
      <c r="A45" s="497" t="s">
        <v>268</v>
      </c>
      <c r="B45" s="511">
        <v>145</v>
      </c>
      <c r="C45" s="510">
        <v>11</v>
      </c>
      <c r="D45" s="511">
        <v>2</v>
      </c>
      <c r="E45" s="510">
        <f>SUM(B45:D45)</f>
        <v>158</v>
      </c>
      <c r="F45" s="1003">
        <v>1</v>
      </c>
      <c r="G45" s="1012">
        <f>+E45</f>
        <v>158</v>
      </c>
      <c r="H45" s="510"/>
      <c r="I45" s="1057">
        <f>+D45*21.26*12*4.33</f>
        <v>2209.3391999999999</v>
      </c>
      <c r="J45" s="518"/>
      <c r="K45" s="1008"/>
      <c r="L45" s="1008"/>
      <c r="M45" s="1026"/>
      <c r="N45" s="490"/>
    </row>
    <row r="46" spans="1:14">
      <c r="A46" s="497" t="s">
        <v>267</v>
      </c>
      <c r="B46" s="511">
        <v>5</v>
      </c>
      <c r="C46" s="510">
        <v>1</v>
      </c>
      <c r="D46" s="511"/>
      <c r="E46" s="510">
        <f>SUM(B46:D46)</f>
        <v>6</v>
      </c>
      <c r="F46" s="1003">
        <v>2</v>
      </c>
      <c r="G46" s="1012">
        <f>+E46*F46</f>
        <v>12</v>
      </c>
      <c r="H46" s="510"/>
      <c r="I46" s="1057"/>
      <c r="J46" s="518"/>
      <c r="K46" s="1008"/>
      <c r="L46" s="1008"/>
      <c r="M46" s="1026"/>
      <c r="N46" s="490"/>
    </row>
    <row r="47" spans="1:14">
      <c r="A47" s="497" t="s">
        <v>215</v>
      </c>
      <c r="B47" s="498"/>
      <c r="C47" s="497"/>
      <c r="D47" s="498"/>
      <c r="E47" s="1019">
        <f>SUM(E45:E46)</f>
        <v>164</v>
      </c>
      <c r="F47" s="1003"/>
      <c r="G47" s="1016">
        <f>SUM(G45:G46)</f>
        <v>170</v>
      </c>
      <c r="H47" s="497"/>
      <c r="I47" s="1057"/>
      <c r="J47" s="518"/>
      <c r="K47" s="1008"/>
      <c r="L47" s="1008"/>
      <c r="M47" s="1026"/>
      <c r="N47" s="490"/>
    </row>
    <row r="48" spans="1:14">
      <c r="A48" s="497" t="s">
        <v>248</v>
      </c>
      <c r="B48" s="498">
        <v>27</v>
      </c>
      <c r="C48" s="497">
        <v>13</v>
      </c>
      <c r="D48" s="498">
        <v>5</v>
      </c>
      <c r="E48" s="497">
        <f>SUM(B48:D48)</f>
        <v>45</v>
      </c>
      <c r="F48" s="1003">
        <v>1</v>
      </c>
      <c r="G48" s="1003">
        <f>+E48</f>
        <v>45</v>
      </c>
      <c r="H48" s="497"/>
      <c r="I48" s="1057">
        <f>+D48*28.18*4.33*12</f>
        <v>7321.1639999999998</v>
      </c>
      <c r="J48" s="518"/>
      <c r="K48" s="1008"/>
      <c r="L48" s="1008"/>
      <c r="M48" s="1026"/>
      <c r="N48" s="490"/>
    </row>
    <row r="49" spans="1:14">
      <c r="A49" s="497" t="s">
        <v>248</v>
      </c>
      <c r="B49" s="498">
        <v>4</v>
      </c>
      <c r="C49" s="497"/>
      <c r="D49" s="498">
        <v>2</v>
      </c>
      <c r="E49" s="497">
        <f>SUM(B49:D49)</f>
        <v>6</v>
      </c>
      <c r="F49" s="1003">
        <v>2</v>
      </c>
      <c r="G49" s="1003">
        <f>+E49*F49</f>
        <v>12</v>
      </c>
      <c r="H49" s="497"/>
      <c r="I49" s="1057">
        <f>+D49*28.18*8.66*12</f>
        <v>5856.9312</v>
      </c>
      <c r="J49" s="518"/>
      <c r="K49" s="1008"/>
      <c r="L49" s="1008"/>
      <c r="M49" s="1026"/>
      <c r="N49" s="490"/>
    </row>
    <row r="50" spans="1:14">
      <c r="A50" s="497" t="s">
        <v>248</v>
      </c>
      <c r="B50" s="498">
        <v>1</v>
      </c>
      <c r="C50" s="497"/>
      <c r="D50" s="498"/>
      <c r="E50" s="497">
        <f>SUM(B50:D50)</f>
        <v>1</v>
      </c>
      <c r="F50" s="1003">
        <v>3</v>
      </c>
      <c r="G50" s="1003">
        <f>+E50*F50</f>
        <v>3</v>
      </c>
      <c r="H50" s="497"/>
      <c r="I50" s="1057"/>
      <c r="J50" s="518"/>
      <c r="K50" s="1008"/>
      <c r="L50" s="1008"/>
      <c r="M50" s="1026"/>
      <c r="N50" s="490"/>
    </row>
    <row r="51" spans="1:14">
      <c r="A51" s="497" t="s">
        <v>215</v>
      </c>
      <c r="B51" s="498"/>
      <c r="C51" s="497"/>
      <c r="D51" s="498"/>
      <c r="E51" s="1019">
        <f>SUM(E48:E50)</f>
        <v>52</v>
      </c>
      <c r="F51" s="1003"/>
      <c r="G51" s="1016">
        <f>SUM(G48:G50)</f>
        <v>60</v>
      </c>
      <c r="H51" s="497"/>
      <c r="I51" s="1057"/>
      <c r="J51" s="518"/>
      <c r="K51" s="1008"/>
      <c r="L51" s="1008"/>
      <c r="M51" s="1026"/>
      <c r="N51" s="490"/>
    </row>
    <row r="52" spans="1:14">
      <c r="A52" s="497" t="s">
        <v>247</v>
      </c>
      <c r="B52" s="498">
        <v>18</v>
      </c>
      <c r="C52" s="497">
        <v>7</v>
      </c>
      <c r="D52" s="498">
        <v>7</v>
      </c>
      <c r="E52" s="497">
        <f>SUM(B52:D52)</f>
        <v>32</v>
      </c>
      <c r="F52" s="1003">
        <v>1</v>
      </c>
      <c r="G52" s="1003">
        <f>+E52</f>
        <v>32</v>
      </c>
      <c r="H52" s="497"/>
      <c r="I52" s="1057">
        <f>+D52*39.13*4.33*12</f>
        <v>14232.363600000001</v>
      </c>
      <c r="J52" s="518"/>
      <c r="K52" s="1008"/>
      <c r="L52" s="1008"/>
      <c r="M52" s="1026"/>
      <c r="N52" s="490"/>
    </row>
    <row r="53" spans="1:14">
      <c r="A53" s="497" t="s">
        <v>247</v>
      </c>
      <c r="B53" s="498">
        <v>7</v>
      </c>
      <c r="C53" s="497">
        <v>2</v>
      </c>
      <c r="D53" s="498">
        <v>2</v>
      </c>
      <c r="E53" s="497">
        <f>SUM(B53:D53)</f>
        <v>11</v>
      </c>
      <c r="F53" s="1003">
        <v>2</v>
      </c>
      <c r="G53" s="1003">
        <f>+E53*F53</f>
        <v>22</v>
      </c>
      <c r="H53" s="497"/>
      <c r="I53" s="1057">
        <f t="shared" ref="I53" si="2">+D53*28.18*4.33*12</f>
        <v>2928.4656</v>
      </c>
      <c r="J53" s="518"/>
      <c r="K53" s="1008"/>
      <c r="L53" s="1008"/>
      <c r="M53" s="1026"/>
      <c r="N53" s="490"/>
    </row>
    <row r="54" spans="1:14">
      <c r="A54" s="497" t="s">
        <v>247</v>
      </c>
      <c r="B54" s="498">
        <v>1</v>
      </c>
      <c r="C54" s="497"/>
      <c r="D54" s="498"/>
      <c r="E54" s="497">
        <f>SUM(B54:D54)</f>
        <v>1</v>
      </c>
      <c r="F54" s="1003">
        <v>3</v>
      </c>
      <c r="G54" s="1003">
        <f>+E54*F54</f>
        <v>3</v>
      </c>
      <c r="H54" s="497"/>
      <c r="I54" s="1057"/>
      <c r="J54" s="518"/>
      <c r="K54" s="1008"/>
      <c r="L54" s="1008"/>
      <c r="M54" s="1026"/>
      <c r="N54" s="490"/>
    </row>
    <row r="55" spans="1:14">
      <c r="A55" s="497" t="s">
        <v>215</v>
      </c>
      <c r="B55" s="498"/>
      <c r="C55" s="497"/>
      <c r="D55" s="498"/>
      <c r="E55" s="1019">
        <f>SUM(E52:E54)</f>
        <v>44</v>
      </c>
      <c r="F55" s="1003"/>
      <c r="G55" s="1016">
        <f>SUM(G52:G53)</f>
        <v>54</v>
      </c>
      <c r="H55" s="497"/>
      <c r="I55" s="1057"/>
      <c r="J55" s="518"/>
      <c r="K55" s="1008"/>
      <c r="L55" s="1008"/>
      <c r="M55" s="1026"/>
      <c r="N55" s="490"/>
    </row>
    <row r="56" spans="1:14">
      <c r="A56" s="497" t="s">
        <v>246</v>
      </c>
      <c r="B56" s="498">
        <v>28</v>
      </c>
      <c r="C56" s="497">
        <v>7</v>
      </c>
      <c r="D56" s="498">
        <v>3</v>
      </c>
      <c r="E56" s="497">
        <f>SUM(B56:D56)</f>
        <v>38</v>
      </c>
      <c r="F56" s="1003">
        <v>1</v>
      </c>
      <c r="G56" s="1003">
        <f>+E56</f>
        <v>38</v>
      </c>
      <c r="H56" s="497"/>
      <c r="I56" s="1057">
        <f>+D56*48.95*4.33*12</f>
        <v>7630.3260000000009</v>
      </c>
      <c r="J56" s="518"/>
      <c r="K56" s="1008"/>
      <c r="L56" s="1008"/>
      <c r="M56" s="1026"/>
      <c r="N56" s="490"/>
    </row>
    <row r="57" spans="1:14">
      <c r="A57" s="497" t="s">
        <v>246</v>
      </c>
      <c r="B57" s="498">
        <v>6</v>
      </c>
      <c r="C57" s="497">
        <v>3</v>
      </c>
      <c r="D57" s="498">
        <v>9</v>
      </c>
      <c r="E57" s="497">
        <f>SUM(B57:D57)</f>
        <v>18</v>
      </c>
      <c r="F57" s="1003">
        <v>2</v>
      </c>
      <c r="G57" s="1003">
        <f>+E57*F57</f>
        <v>36</v>
      </c>
      <c r="H57" s="497"/>
      <c r="I57" s="1057">
        <f>+D57*48.95*8.66*12</f>
        <v>45781.955999999998</v>
      </c>
      <c r="J57" s="518"/>
      <c r="K57" s="1008"/>
      <c r="L57" s="1008"/>
      <c r="M57" s="1026"/>
      <c r="N57" s="490"/>
    </row>
    <row r="58" spans="1:14">
      <c r="A58" s="497" t="s">
        <v>246</v>
      </c>
      <c r="B58" s="498">
        <v>2</v>
      </c>
      <c r="C58" s="497">
        <v>2</v>
      </c>
      <c r="D58" s="498"/>
      <c r="E58" s="497">
        <f>SUM(B58:D58)</f>
        <v>4</v>
      </c>
      <c r="F58" s="1003">
        <v>3</v>
      </c>
      <c r="G58" s="1003">
        <f>E58*F58</f>
        <v>12</v>
      </c>
      <c r="H58" s="497"/>
      <c r="I58" s="1057"/>
      <c r="J58" s="518"/>
      <c r="K58" s="1008"/>
      <c r="L58" s="1008"/>
      <c r="M58" s="1026"/>
      <c r="N58" s="490"/>
    </row>
    <row r="59" spans="1:14">
      <c r="A59" s="497" t="s">
        <v>215</v>
      </c>
      <c r="B59" s="498"/>
      <c r="C59" s="497"/>
      <c r="D59" s="498"/>
      <c r="E59" s="1019">
        <f>SUM(E56:E58)</f>
        <v>60</v>
      </c>
      <c r="F59" s="1003"/>
      <c r="G59" s="1016">
        <f>SUM(G56:G58)</f>
        <v>86</v>
      </c>
      <c r="H59" s="497"/>
      <c r="I59" s="1057"/>
      <c r="J59" s="518"/>
      <c r="K59" s="1008"/>
      <c r="L59" s="1008"/>
      <c r="M59" s="1026"/>
      <c r="N59" s="490"/>
    </row>
    <row r="60" spans="1:14">
      <c r="A60" s="497" t="s">
        <v>245</v>
      </c>
      <c r="B60" s="498">
        <v>10</v>
      </c>
      <c r="C60" s="497">
        <v>1</v>
      </c>
      <c r="D60" s="498"/>
      <c r="E60" s="497">
        <f>SUM(B60:D60)</f>
        <v>11</v>
      </c>
      <c r="F60" s="1003">
        <v>1</v>
      </c>
      <c r="G60" s="1003">
        <f>+E60</f>
        <v>11</v>
      </c>
      <c r="H60" s="497"/>
      <c r="I60" s="1057"/>
      <c r="J60" s="518"/>
      <c r="K60" s="1008"/>
      <c r="L60" s="1008"/>
      <c r="M60" s="1026"/>
      <c r="N60" s="490"/>
    </row>
    <row r="61" spans="1:14">
      <c r="A61" s="497" t="s">
        <v>245</v>
      </c>
      <c r="B61" s="498">
        <v>2</v>
      </c>
      <c r="C61" s="497">
        <v>3</v>
      </c>
      <c r="D61" s="498">
        <v>3</v>
      </c>
      <c r="E61" s="497">
        <f>SUM(B61:D61)</f>
        <v>8</v>
      </c>
      <c r="F61" s="1003">
        <v>2</v>
      </c>
      <c r="G61" s="1003">
        <f>+E61*F61</f>
        <v>16</v>
      </c>
      <c r="H61" s="497"/>
      <c r="I61" s="1058">
        <f>+D61*57.77*8.66*12</f>
        <v>18010.375200000002</v>
      </c>
      <c r="J61" s="518"/>
      <c r="K61" s="1008"/>
      <c r="L61" s="1008"/>
      <c r="M61" s="1026"/>
      <c r="N61" s="490"/>
    </row>
    <row r="62" spans="1:14">
      <c r="A62" s="497" t="s">
        <v>245</v>
      </c>
      <c r="B62" s="498">
        <v>1</v>
      </c>
      <c r="C62" s="497"/>
      <c r="D62" s="498"/>
      <c r="E62" s="497">
        <f>SUM(B62:D62)</f>
        <v>1</v>
      </c>
      <c r="F62" s="1003">
        <v>3</v>
      </c>
      <c r="G62" s="1003">
        <f>E62*F62</f>
        <v>3</v>
      </c>
      <c r="H62" s="497"/>
      <c r="I62" s="1057"/>
      <c r="J62" s="518"/>
      <c r="K62" s="1008"/>
      <c r="L62" s="1008"/>
      <c r="M62" s="1026"/>
      <c r="N62" s="490"/>
    </row>
    <row r="63" spans="1:14">
      <c r="A63" s="497" t="s">
        <v>215</v>
      </c>
      <c r="B63" s="498"/>
      <c r="C63" s="497"/>
      <c r="D63" s="498"/>
      <c r="E63" s="1019">
        <f>SUM(E60:E62)</f>
        <v>20</v>
      </c>
      <c r="F63" s="1003"/>
      <c r="G63" s="1016">
        <f>SUM(G60:G62)</f>
        <v>30</v>
      </c>
      <c r="H63" s="497"/>
      <c r="I63" s="1057">
        <f>SUM(I42:I62)</f>
        <v>106583.46960000001</v>
      </c>
      <c r="J63" s="518" t="s">
        <v>1253</v>
      </c>
      <c r="K63" s="1008"/>
      <c r="L63" s="1008"/>
      <c r="M63" s="1026"/>
      <c r="N63" s="490"/>
    </row>
    <row r="64" spans="1:14">
      <c r="A64" s="497" t="s">
        <v>244</v>
      </c>
      <c r="B64" s="498">
        <v>15</v>
      </c>
      <c r="C64" s="497">
        <v>3</v>
      </c>
      <c r="D64" s="498"/>
      <c r="E64" s="497">
        <f>SUM(B64:D64)</f>
        <v>18</v>
      </c>
      <c r="F64" s="1003">
        <v>1</v>
      </c>
      <c r="G64" s="1003">
        <f>+E64</f>
        <v>18</v>
      </c>
      <c r="H64" s="497"/>
      <c r="I64" s="1057"/>
      <c r="J64" s="518"/>
      <c r="K64" s="1008"/>
      <c r="L64" s="1008"/>
      <c r="M64" s="1026"/>
      <c r="N64" s="490"/>
    </row>
    <row r="65" spans="1:14" ht="16.5" thickBot="1">
      <c r="A65" s="497" t="s">
        <v>244</v>
      </c>
      <c r="B65" s="498">
        <v>1</v>
      </c>
      <c r="C65" s="497"/>
      <c r="D65" s="498"/>
      <c r="E65" s="497">
        <f>SUM(B65:D65)</f>
        <v>1</v>
      </c>
      <c r="F65" s="1003">
        <v>2</v>
      </c>
      <c r="G65" s="1003">
        <f>+E65*F65</f>
        <v>2</v>
      </c>
      <c r="H65" s="497"/>
      <c r="I65" s="1057"/>
      <c r="J65" s="518"/>
      <c r="K65" s="1008"/>
      <c r="L65" s="1008"/>
      <c r="M65" s="519"/>
    </row>
    <row r="66" spans="1:14">
      <c r="A66" s="497" t="s">
        <v>244</v>
      </c>
      <c r="B66" s="498"/>
      <c r="C66" s="497">
        <v>1</v>
      </c>
      <c r="D66" s="498"/>
      <c r="E66" s="497">
        <f>SUM(B66:D66)</f>
        <v>1</v>
      </c>
      <c r="F66" s="1003">
        <v>3</v>
      </c>
      <c r="G66" s="1003">
        <f>E66*F66</f>
        <v>3</v>
      </c>
      <c r="H66" s="497"/>
      <c r="I66" s="1349" t="s">
        <v>702</v>
      </c>
      <c r="J66" s="1350"/>
      <c r="K66" s="1350"/>
      <c r="L66" s="1350"/>
      <c r="M66" s="1350"/>
      <c r="N66" s="520"/>
    </row>
    <row r="67" spans="1:14">
      <c r="A67" s="497" t="s">
        <v>215</v>
      </c>
      <c r="B67" s="498"/>
      <c r="C67" s="497"/>
      <c r="D67" s="498"/>
      <c r="E67" s="1019">
        <f>SUM(E64:E66)</f>
        <v>20</v>
      </c>
      <c r="F67" s="1003"/>
      <c r="G67" s="1016">
        <f>SUM(G64:G66)</f>
        <v>23</v>
      </c>
      <c r="H67" s="497"/>
      <c r="I67" s="1008"/>
      <c r="J67" s="518"/>
      <c r="K67" s="1008"/>
      <c r="L67" s="1008"/>
      <c r="M67" s="519"/>
    </row>
    <row r="68" spans="1:14">
      <c r="A68" s="521" t="s">
        <v>243</v>
      </c>
      <c r="B68" s="498"/>
      <c r="C68" s="1018"/>
      <c r="D68" s="498"/>
      <c r="E68" s="497">
        <f t="shared" ref="E68:E77" si="3">SUM(B68:D68)</f>
        <v>0</v>
      </c>
      <c r="F68" s="1003"/>
      <c r="G68" s="1003"/>
      <c r="H68" s="497"/>
      <c r="I68" s="1008" t="s">
        <v>688</v>
      </c>
      <c r="J68" s="1011">
        <f>B78+C78+H78</f>
        <v>192</v>
      </c>
      <c r="K68" s="1008">
        <f>J68/J70</f>
        <v>0.78688524590163933</v>
      </c>
      <c r="L68" s="1010"/>
      <c r="M68" s="1009"/>
    </row>
    <row r="69" spans="1:14">
      <c r="A69" s="497" t="s">
        <v>242</v>
      </c>
      <c r="B69" s="498"/>
      <c r="C69" s="497"/>
      <c r="D69" s="498"/>
      <c r="E69" s="497">
        <f t="shared" si="3"/>
        <v>0</v>
      </c>
      <c r="F69" s="1003"/>
      <c r="G69" s="1003"/>
      <c r="H69" s="497"/>
      <c r="I69" s="1008" t="s">
        <v>701</v>
      </c>
      <c r="J69" s="1011">
        <f>+D78</f>
        <v>52</v>
      </c>
      <c r="K69" s="1008">
        <f>J69/J70</f>
        <v>0.21311475409836064</v>
      </c>
      <c r="L69" s="1010"/>
      <c r="M69" s="1009"/>
    </row>
    <row r="70" spans="1:14">
      <c r="A70" s="497" t="s">
        <v>241</v>
      </c>
      <c r="B70" s="498"/>
      <c r="C70" s="497"/>
      <c r="D70" s="498"/>
      <c r="E70" s="497">
        <f t="shared" si="3"/>
        <v>0</v>
      </c>
      <c r="F70" s="1003"/>
      <c r="G70" s="1003"/>
      <c r="H70" s="497"/>
      <c r="I70" s="1008" t="s">
        <v>706</v>
      </c>
      <c r="J70" s="1011">
        <f>SUM(J68:J69)</f>
        <v>244</v>
      </c>
      <c r="K70" s="1017">
        <f>SUM(K68:K69)</f>
        <v>1</v>
      </c>
      <c r="L70" s="1010"/>
      <c r="M70" s="1009"/>
    </row>
    <row r="71" spans="1:14">
      <c r="A71" s="521" t="s">
        <v>240</v>
      </c>
      <c r="B71" s="498"/>
      <c r="C71" s="497"/>
      <c r="D71" s="498"/>
      <c r="E71" s="497">
        <f t="shared" si="3"/>
        <v>0</v>
      </c>
      <c r="F71" s="1003"/>
      <c r="G71" s="1003"/>
      <c r="H71" s="497"/>
      <c r="I71" s="1008"/>
      <c r="J71" s="1011"/>
      <c r="K71" s="1010"/>
      <c r="L71" s="1010"/>
      <c r="M71" s="1009"/>
    </row>
    <row r="72" spans="1:14">
      <c r="A72" s="497" t="s">
        <v>239</v>
      </c>
      <c r="B72" s="498"/>
      <c r="C72" s="497"/>
      <c r="D72" s="498"/>
      <c r="E72" s="497">
        <f t="shared" si="3"/>
        <v>0</v>
      </c>
      <c r="F72" s="1003"/>
      <c r="G72" s="1003"/>
      <c r="H72" s="497"/>
      <c r="I72" s="1008"/>
      <c r="J72" s="1011"/>
      <c r="K72" s="1010"/>
      <c r="L72" s="1010"/>
      <c r="M72" s="1009"/>
    </row>
    <row r="73" spans="1:14">
      <c r="A73" s="497" t="s">
        <v>238</v>
      </c>
      <c r="B73" s="498"/>
      <c r="C73" s="497"/>
      <c r="D73" s="498"/>
      <c r="E73" s="497">
        <f t="shared" si="3"/>
        <v>0</v>
      </c>
      <c r="F73" s="1003"/>
      <c r="G73" s="1003"/>
      <c r="H73" s="497"/>
      <c r="I73" s="1008"/>
      <c r="J73" s="1011"/>
      <c r="K73" s="1010"/>
      <c r="L73" s="1010"/>
      <c r="M73" s="1009"/>
    </row>
    <row r="74" spans="1:14">
      <c r="A74" s="521" t="s">
        <v>237</v>
      </c>
      <c r="B74" s="498"/>
      <c r="C74" s="497"/>
      <c r="D74" s="498"/>
      <c r="E74" s="497">
        <f t="shared" si="3"/>
        <v>0</v>
      </c>
      <c r="F74" s="1003"/>
      <c r="G74" s="1003"/>
      <c r="H74" s="497"/>
      <c r="I74" s="1008"/>
      <c r="J74" s="1011"/>
      <c r="K74" s="1010"/>
      <c r="L74" s="1010"/>
      <c r="M74" s="1009"/>
    </row>
    <row r="75" spans="1:14">
      <c r="A75" s="497" t="s">
        <v>236</v>
      </c>
      <c r="B75" s="498">
        <v>2</v>
      </c>
      <c r="C75" s="497">
        <v>1</v>
      </c>
      <c r="D75" s="498"/>
      <c r="E75" s="497">
        <f t="shared" si="3"/>
        <v>3</v>
      </c>
      <c r="F75" s="1003"/>
      <c r="G75" s="1003"/>
      <c r="H75" s="497"/>
      <c r="I75" s="1008"/>
      <c r="J75" s="1011"/>
      <c r="K75" s="1010"/>
      <c r="L75" s="1010"/>
      <c r="M75" s="1009"/>
    </row>
    <row r="76" spans="1:14">
      <c r="A76" s="497" t="s">
        <v>235</v>
      </c>
      <c r="B76" s="498"/>
      <c r="C76" s="497"/>
      <c r="D76" s="498"/>
      <c r="E76" s="497">
        <f t="shared" si="3"/>
        <v>0</v>
      </c>
      <c r="F76" s="1003"/>
      <c r="G76" s="1016">
        <f>E76*F76</f>
        <v>0</v>
      </c>
      <c r="H76" s="497"/>
      <c r="I76" s="1008"/>
      <c r="J76" s="1011"/>
      <c r="K76" s="1010"/>
      <c r="L76" s="1010"/>
      <c r="M76" s="1009"/>
    </row>
    <row r="77" spans="1:14" ht="16.5" thickBot="1">
      <c r="A77" s="497" t="s">
        <v>234</v>
      </c>
      <c r="B77" s="498"/>
      <c r="C77" s="497"/>
      <c r="D77" s="498"/>
      <c r="E77" s="497">
        <f t="shared" si="3"/>
        <v>0</v>
      </c>
      <c r="F77" s="1003" t="s">
        <v>266</v>
      </c>
      <c r="G77" s="1059"/>
      <c r="H77" s="1059"/>
      <c r="I77" s="1008"/>
      <c r="J77" s="1015"/>
      <c r="K77" s="1015"/>
      <c r="L77" s="1015"/>
      <c r="M77" s="1014"/>
      <c r="N77" s="489" t="s">
        <v>692</v>
      </c>
    </row>
    <row r="78" spans="1:14" s="489" customFormat="1">
      <c r="A78" s="494" t="s">
        <v>692</v>
      </c>
      <c r="B78" s="494">
        <f>B42+(B46*F46)+B48+B52+(B53*F53)+B56+(B57*F57)+(B58*F58)+(B61*F61)+B64</f>
        <v>146</v>
      </c>
      <c r="C78" s="494">
        <f>C42+C48+(C49*F49)+C52+C56+(C57*F57)+(C61*F61)+C64</f>
        <v>46</v>
      </c>
      <c r="D78" s="494">
        <f>D42+D45+D48+(D49*F49)+D52+(D53*F53)+D56+(D57*F57)+(D61*F61)</f>
        <v>52</v>
      </c>
      <c r="E78" s="494">
        <f>+E67+E63+E59+E55+E51+E47+E44+E75</f>
        <v>384</v>
      </c>
      <c r="F78" s="494"/>
      <c r="G78" s="494"/>
      <c r="H78" s="494">
        <f>H42+H45+H52+H48+H56+H64</f>
        <v>0</v>
      </c>
      <c r="J78" s="489">
        <f>SUM(B78:H78)</f>
        <v>628</v>
      </c>
      <c r="K78" s="489">
        <f>IF(J78=J70,"OK",J78-J70)</f>
        <v>384</v>
      </c>
    </row>
    <row r="79" spans="1:14">
      <c r="A79" s="1353" t="str">
        <f>+A32</f>
        <v>Waste Control Inc.</v>
      </c>
      <c r="B79" s="1353"/>
      <c r="C79" s="1353"/>
      <c r="D79" s="1353"/>
      <c r="E79" s="1353"/>
      <c r="F79" s="1353"/>
      <c r="G79" s="1353"/>
      <c r="H79" s="1353"/>
    </row>
    <row r="80" spans="1:14" ht="13.5" customHeight="1">
      <c r="A80" s="494"/>
      <c r="B80" s="502"/>
      <c r="C80" s="502"/>
      <c r="D80" s="502"/>
      <c r="E80" s="502"/>
      <c r="F80" s="502"/>
      <c r="G80" s="502"/>
      <c r="H80" s="502"/>
      <c r="I80" s="493"/>
    </row>
    <row r="81" spans="1:14">
      <c r="A81" s="1353" t="str">
        <f>+A34</f>
        <v>WORKPAPER 8 - CUSTOMER COUNTS, Continued</v>
      </c>
      <c r="B81" s="1353"/>
      <c r="C81" s="1353"/>
      <c r="D81" s="1353"/>
      <c r="E81" s="1353"/>
      <c r="F81" s="1353"/>
      <c r="G81" s="1353"/>
      <c r="H81" s="1353"/>
      <c r="I81" s="493"/>
    </row>
    <row r="82" spans="1:14">
      <c r="A82" s="1036"/>
      <c r="B82" s="1036"/>
      <c r="C82" s="1036"/>
      <c r="D82" s="1036"/>
      <c r="E82" s="1036"/>
      <c r="F82" s="1036"/>
      <c r="G82" s="1036"/>
      <c r="H82" s="1036"/>
      <c r="I82" s="493"/>
    </row>
    <row r="83" spans="1:14">
      <c r="A83" s="1353" t="str">
        <f>+A36</f>
        <v>In Support of Tariff 19 effective September 7, 2018</v>
      </c>
      <c r="B83" s="1353"/>
      <c r="C83" s="1353"/>
      <c r="D83" s="1353"/>
      <c r="E83" s="1353"/>
      <c r="F83" s="1353"/>
      <c r="G83" s="1353"/>
      <c r="H83" s="1353"/>
      <c r="I83" s="493"/>
    </row>
    <row r="84" spans="1:14">
      <c r="A84" s="1036"/>
      <c r="B84" s="1357" t="s">
        <v>681</v>
      </c>
      <c r="C84" s="1357"/>
      <c r="D84" s="1357"/>
      <c r="E84" s="1036"/>
      <c r="F84" s="1036"/>
      <c r="G84" s="1036"/>
      <c r="H84" s="1035" t="s">
        <v>681</v>
      </c>
      <c r="I84" s="502"/>
      <c r="J84" s="490"/>
      <c r="K84" s="490"/>
      <c r="L84" s="490"/>
      <c r="M84" s="490"/>
      <c r="N84" s="490"/>
    </row>
    <row r="85" spans="1:14">
      <c r="A85" s="502"/>
      <c r="B85" s="1036" t="s">
        <v>682</v>
      </c>
      <c r="C85" s="492" t="s">
        <v>684</v>
      </c>
      <c r="D85" s="492" t="s">
        <v>684</v>
      </c>
      <c r="E85" s="502"/>
      <c r="F85" s="1036" t="s">
        <v>679</v>
      </c>
      <c r="G85" s="502"/>
      <c r="H85" s="492" t="s">
        <v>684</v>
      </c>
      <c r="I85" s="1348"/>
      <c r="J85" s="1348"/>
      <c r="K85" s="1348"/>
      <c r="L85" s="1348"/>
      <c r="M85" s="490"/>
      <c r="N85" s="490"/>
    </row>
    <row r="86" spans="1:14">
      <c r="A86" s="494" t="s">
        <v>75</v>
      </c>
      <c r="B86" s="495" t="s">
        <v>683</v>
      </c>
      <c r="C86" s="1036" t="s">
        <v>685</v>
      </c>
      <c r="D86" s="1036" t="s">
        <v>96</v>
      </c>
      <c r="E86" s="1036" t="s">
        <v>0</v>
      </c>
      <c r="F86" s="1036" t="s">
        <v>680</v>
      </c>
      <c r="G86" s="1036"/>
      <c r="H86" s="1036" t="s">
        <v>666</v>
      </c>
      <c r="I86" s="490" t="s">
        <v>96</v>
      </c>
      <c r="J86" s="490"/>
      <c r="K86" s="490"/>
      <c r="L86" s="490"/>
      <c r="M86" s="490"/>
      <c r="N86" s="490"/>
    </row>
    <row r="87" spans="1:14">
      <c r="A87" s="497" t="s">
        <v>226</v>
      </c>
      <c r="B87" s="498"/>
      <c r="C87" s="497"/>
      <c r="D87" s="498"/>
      <c r="E87" s="1059"/>
      <c r="F87" s="1059"/>
      <c r="G87" s="1059"/>
      <c r="H87" s="1059"/>
      <c r="I87" s="490"/>
      <c r="J87" s="490"/>
      <c r="K87" s="490"/>
      <c r="L87" s="490"/>
      <c r="M87" s="490"/>
      <c r="N87" s="490"/>
    </row>
    <row r="88" spans="1:14">
      <c r="A88" s="521" t="s">
        <v>224</v>
      </c>
      <c r="B88" s="498">
        <v>6</v>
      </c>
      <c r="C88" s="497">
        <v>5</v>
      </c>
      <c r="D88" s="498">
        <v>12</v>
      </c>
      <c r="E88" s="497">
        <f t="shared" ref="E88:E93" si="4">SUM(B88:D88)</f>
        <v>23</v>
      </c>
      <c r="F88" s="1003"/>
      <c r="G88" s="1003"/>
      <c r="H88" s="1060"/>
      <c r="I88" s="1057">
        <f>+D88*4.33*4.6*12</f>
        <v>2868.192</v>
      </c>
      <c r="J88" s="518"/>
      <c r="K88" s="1008"/>
      <c r="L88" s="1008"/>
      <c r="M88" s="1026"/>
      <c r="N88" s="490"/>
    </row>
    <row r="89" spans="1:14">
      <c r="A89" s="497" t="s">
        <v>222</v>
      </c>
      <c r="B89" s="498"/>
      <c r="C89" s="497"/>
      <c r="D89" s="498"/>
      <c r="E89" s="497">
        <f t="shared" si="4"/>
        <v>0</v>
      </c>
      <c r="F89" s="1003"/>
      <c r="G89" s="1003"/>
      <c r="H89" s="1060"/>
      <c r="I89" s="1057"/>
      <c r="J89" s="518"/>
      <c r="K89" s="1008"/>
      <c r="L89" s="1008"/>
      <c r="M89" s="1026"/>
      <c r="N89" s="490"/>
    </row>
    <row r="90" spans="1:14">
      <c r="A90" s="497" t="s">
        <v>222</v>
      </c>
      <c r="B90" s="498">
        <v>21</v>
      </c>
      <c r="C90" s="497">
        <v>6</v>
      </c>
      <c r="D90" s="498">
        <v>10</v>
      </c>
      <c r="E90" s="497">
        <f t="shared" si="4"/>
        <v>37</v>
      </c>
      <c r="F90" s="1003"/>
      <c r="G90" s="1003"/>
      <c r="H90" s="1060"/>
      <c r="I90" s="1057">
        <f>+D90*4.33*5.94*12</f>
        <v>3086.424</v>
      </c>
      <c r="J90" s="518"/>
      <c r="K90" s="1008"/>
      <c r="L90" s="1008"/>
      <c r="M90" s="1026"/>
      <c r="N90" s="490"/>
    </row>
    <row r="91" spans="1:14">
      <c r="A91" s="497" t="s">
        <v>221</v>
      </c>
      <c r="B91" s="498"/>
      <c r="C91" s="497"/>
      <c r="D91" s="498"/>
      <c r="E91" s="497">
        <f t="shared" si="4"/>
        <v>0</v>
      </c>
      <c r="F91" s="1003"/>
      <c r="G91" s="1003"/>
      <c r="H91" s="1060"/>
      <c r="I91" s="1057"/>
      <c r="J91" s="518"/>
      <c r="K91" s="1008"/>
      <c r="L91" s="1008"/>
      <c r="M91" s="1026"/>
      <c r="N91" s="490"/>
    </row>
    <row r="92" spans="1:14">
      <c r="A92" s="497" t="s">
        <v>221</v>
      </c>
      <c r="B92" s="498">
        <v>67</v>
      </c>
      <c r="C92" s="497">
        <v>20</v>
      </c>
      <c r="D92" s="498">
        <v>25</v>
      </c>
      <c r="E92" s="497">
        <f t="shared" si="4"/>
        <v>112</v>
      </c>
      <c r="F92" s="1003"/>
      <c r="G92" s="1003"/>
      <c r="H92" s="1060"/>
      <c r="I92" s="1061">
        <f>+D92*4.33*7.83*12</f>
        <v>10171.17</v>
      </c>
      <c r="J92" s="518"/>
      <c r="K92" s="1008"/>
      <c r="L92" s="1008"/>
      <c r="M92" s="1026"/>
      <c r="N92" s="490"/>
    </row>
    <row r="93" spans="1:14">
      <c r="A93" s="497" t="s">
        <v>221</v>
      </c>
      <c r="B93" s="498"/>
      <c r="C93" s="497"/>
      <c r="D93" s="498"/>
      <c r="E93" s="497">
        <f t="shared" si="4"/>
        <v>0</v>
      </c>
      <c r="F93" s="1003"/>
      <c r="G93" s="1003"/>
      <c r="H93" s="1060"/>
      <c r="I93" s="1057">
        <f>SUM(I88:I92)</f>
        <v>16125.786</v>
      </c>
      <c r="J93" s="518"/>
      <c r="K93" s="1008"/>
      <c r="L93" s="1008"/>
      <c r="M93" s="1026"/>
      <c r="N93" s="490"/>
    </row>
    <row r="94" spans="1:14">
      <c r="A94" s="502" t="s">
        <v>233</v>
      </c>
      <c r="B94" s="522"/>
      <c r="C94" s="502"/>
      <c r="D94" s="522"/>
      <c r="E94" s="502"/>
      <c r="F94" s="502"/>
      <c r="G94" s="502"/>
      <c r="H94" s="502"/>
      <c r="I94" s="1008" t="s">
        <v>1254</v>
      </c>
      <c r="J94" s="518"/>
      <c r="K94" s="1008"/>
      <c r="L94" s="1008"/>
      <c r="M94" s="1026"/>
      <c r="N94" s="490"/>
    </row>
    <row r="95" spans="1:14">
      <c r="A95" s="510" t="s">
        <v>228</v>
      </c>
      <c r="B95" s="511"/>
      <c r="C95" s="510"/>
      <c r="D95" s="511"/>
      <c r="E95" s="510">
        <f t="shared" ref="E95:E111" si="5">SUM(B95:D95)</f>
        <v>0</v>
      </c>
      <c r="F95" s="1012"/>
      <c r="G95" s="1012"/>
      <c r="H95" s="1062"/>
      <c r="I95" s="1008"/>
      <c r="J95" s="518"/>
      <c r="K95" s="1008"/>
      <c r="L95" s="1008"/>
      <c r="M95" s="1026"/>
      <c r="N95" s="490"/>
    </row>
    <row r="96" spans="1:14">
      <c r="A96" s="510" t="s">
        <v>228</v>
      </c>
      <c r="B96" s="511"/>
      <c r="C96" s="510"/>
      <c r="D96" s="511"/>
      <c r="E96" s="510">
        <f t="shared" si="5"/>
        <v>0</v>
      </c>
      <c r="F96" s="1012"/>
      <c r="G96" s="1012"/>
      <c r="H96" s="1062"/>
      <c r="I96" s="1057">
        <f>+D108*4.6*4.33*12</f>
        <v>1912.1279999999999</v>
      </c>
      <c r="J96" s="518"/>
      <c r="K96" s="1008"/>
      <c r="L96" s="1008"/>
      <c r="M96" s="1026"/>
      <c r="N96" s="490"/>
    </row>
    <row r="97" spans="1:15">
      <c r="A97" s="510" t="s">
        <v>227</v>
      </c>
      <c r="B97" s="511"/>
      <c r="C97" s="510"/>
      <c r="D97" s="511"/>
      <c r="E97" s="510">
        <f t="shared" si="5"/>
        <v>0</v>
      </c>
      <c r="F97" s="1012"/>
      <c r="G97" s="1012"/>
      <c r="H97" s="1062"/>
      <c r="I97" s="1057"/>
      <c r="J97" s="518"/>
      <c r="K97" s="1008"/>
      <c r="L97" s="1008"/>
      <c r="M97" s="1026"/>
      <c r="N97" s="490"/>
    </row>
    <row r="98" spans="1:15">
      <c r="A98" s="523" t="s">
        <v>232</v>
      </c>
      <c r="B98" s="511"/>
      <c r="C98" s="510"/>
      <c r="D98" s="511"/>
      <c r="E98" s="510">
        <f t="shared" si="5"/>
        <v>0</v>
      </c>
      <c r="F98" s="1012"/>
      <c r="G98" s="1012"/>
      <c r="H98" s="1062"/>
      <c r="I98" s="1057">
        <f>+D110*5.94*4.33*12</f>
        <v>4629.6360000000004</v>
      </c>
      <c r="J98" s="518"/>
      <c r="K98" s="1008"/>
      <c r="L98" s="1008"/>
      <c r="M98" s="1026"/>
      <c r="N98" s="490"/>
    </row>
    <row r="99" spans="1:15">
      <c r="A99" s="510" t="s">
        <v>231</v>
      </c>
      <c r="B99" s="511"/>
      <c r="C99" s="510"/>
      <c r="D99" s="511"/>
      <c r="E99" s="510">
        <f t="shared" si="5"/>
        <v>0</v>
      </c>
      <c r="F99" s="1012"/>
      <c r="G99" s="1012"/>
      <c r="H99" s="1062"/>
      <c r="I99" s="1061">
        <f>+D111*7.83*4.33*12</f>
        <v>5289.0084000000006</v>
      </c>
      <c r="J99" s="518"/>
      <c r="K99" s="1008"/>
      <c r="L99" s="1008"/>
      <c r="M99" s="1026"/>
      <c r="N99" s="490"/>
    </row>
    <row r="100" spans="1:15">
      <c r="A100" s="510" t="s">
        <v>265</v>
      </c>
      <c r="B100" s="511">
        <v>1</v>
      </c>
      <c r="C100" s="510">
        <v>2</v>
      </c>
      <c r="D100" s="511"/>
      <c r="E100" s="510">
        <f t="shared" si="5"/>
        <v>3</v>
      </c>
      <c r="F100" s="1012"/>
      <c r="G100" s="1012"/>
      <c r="H100" s="1062"/>
      <c r="I100" s="1057">
        <f>SUM(I96:I99)</f>
        <v>11830.772400000002</v>
      </c>
      <c r="J100" s="518"/>
      <c r="K100" s="1008"/>
      <c r="L100" s="1008"/>
      <c r="M100" s="1026"/>
      <c r="N100" s="490"/>
    </row>
    <row r="101" spans="1:15" s="509" customFormat="1">
      <c r="A101" s="510" t="s">
        <v>230</v>
      </c>
      <c r="B101" s="511"/>
      <c r="C101" s="510"/>
      <c r="D101" s="511"/>
      <c r="E101" s="510">
        <f t="shared" si="5"/>
        <v>0</v>
      </c>
      <c r="F101" s="1012"/>
      <c r="G101" s="1012"/>
      <c r="H101" s="1062"/>
      <c r="I101" s="1008"/>
      <c r="J101" s="518"/>
      <c r="K101" s="1008"/>
      <c r="L101" s="1008"/>
      <c r="M101" s="1026"/>
      <c r="N101" s="1063"/>
    </row>
    <row r="102" spans="1:15">
      <c r="A102" s="523" t="s">
        <v>229</v>
      </c>
      <c r="B102" s="511"/>
      <c r="C102" s="510"/>
      <c r="D102" s="511"/>
      <c r="E102" s="510">
        <f t="shared" si="5"/>
        <v>0</v>
      </c>
      <c r="F102" s="1012"/>
      <c r="G102" s="1012"/>
      <c r="H102" s="1062"/>
      <c r="I102" s="1008"/>
      <c r="J102" s="518"/>
      <c r="K102" s="1008"/>
      <c r="L102" s="1008"/>
      <c r="M102" s="1026"/>
      <c r="N102" s="490"/>
    </row>
    <row r="103" spans="1:15">
      <c r="A103" s="510" t="s">
        <v>228</v>
      </c>
      <c r="B103" s="511"/>
      <c r="C103" s="510"/>
      <c r="D103" s="511"/>
      <c r="E103" s="510">
        <f t="shared" si="5"/>
        <v>0</v>
      </c>
      <c r="F103" s="1012"/>
      <c r="G103" s="1012"/>
      <c r="H103" s="1062"/>
      <c r="I103" s="1008"/>
      <c r="J103" s="518"/>
      <c r="K103" s="1008"/>
      <c r="L103" s="1008"/>
      <c r="M103" s="1026"/>
      <c r="N103" s="490"/>
    </row>
    <row r="104" spans="1:15">
      <c r="A104" s="510" t="s">
        <v>227</v>
      </c>
      <c r="B104" s="511"/>
      <c r="C104" s="510"/>
      <c r="D104" s="511"/>
      <c r="E104" s="510">
        <f t="shared" si="5"/>
        <v>0</v>
      </c>
      <c r="F104" s="1012"/>
      <c r="G104" s="1012"/>
      <c r="H104" s="510"/>
      <c r="I104" s="1348" t="s">
        <v>702</v>
      </c>
      <c r="J104" s="1348"/>
      <c r="K104" s="1348"/>
      <c r="L104" s="1348"/>
      <c r="M104" s="1348"/>
    </row>
    <row r="105" spans="1:15" s="509" customFormat="1">
      <c r="A105" s="510" t="s">
        <v>265</v>
      </c>
      <c r="B105" s="511"/>
      <c r="C105" s="510"/>
      <c r="D105" s="511"/>
      <c r="E105" s="510">
        <f t="shared" si="5"/>
        <v>0</v>
      </c>
      <c r="F105" s="1012"/>
      <c r="G105" s="1012"/>
      <c r="H105" s="510"/>
      <c r="I105" s="1008"/>
      <c r="J105" s="518"/>
      <c r="K105" s="1008"/>
      <c r="L105" s="1008" t="s">
        <v>0</v>
      </c>
      <c r="M105" s="519"/>
    </row>
    <row r="106" spans="1:15">
      <c r="A106" s="523" t="s">
        <v>226</v>
      </c>
      <c r="B106" s="524"/>
      <c r="C106" s="1013"/>
      <c r="D106" s="524"/>
      <c r="E106" s="510">
        <f t="shared" si="5"/>
        <v>0</v>
      </c>
      <c r="F106" s="1012"/>
      <c r="G106" s="1012"/>
      <c r="H106" s="510"/>
      <c r="I106" s="1008" t="s">
        <v>688</v>
      </c>
      <c r="J106" s="1011">
        <f>B117+C117+H117</f>
        <v>150</v>
      </c>
      <c r="K106" s="1008">
        <f>J106/J108</f>
        <v>0.75757575757575757</v>
      </c>
      <c r="L106" s="1008">
        <f>(J68+J106)/J110</f>
        <v>0.77375565610859731</v>
      </c>
      <c r="M106" s="1009"/>
    </row>
    <row r="107" spans="1:15">
      <c r="A107" s="523" t="s">
        <v>225</v>
      </c>
      <c r="B107" s="525"/>
      <c r="C107" s="510"/>
      <c r="D107" s="525"/>
      <c r="E107" s="510">
        <f t="shared" si="5"/>
        <v>0</v>
      </c>
      <c r="F107" s="1012"/>
      <c r="G107" s="1012"/>
      <c r="H107" s="510"/>
      <c r="I107" s="1008" t="s">
        <v>1186</v>
      </c>
      <c r="J107" s="1011">
        <f>+D117</f>
        <v>48</v>
      </c>
      <c r="K107" s="1008">
        <f>J107/J108</f>
        <v>0.24242424242424243</v>
      </c>
      <c r="L107" s="1008">
        <f>(J69+J107)/J110</f>
        <v>0.22624434389140272</v>
      </c>
      <c r="M107" s="1009"/>
    </row>
    <row r="108" spans="1:15">
      <c r="A108" s="523" t="s">
        <v>224</v>
      </c>
      <c r="B108" s="511">
        <v>27</v>
      </c>
      <c r="C108" s="510">
        <v>2</v>
      </c>
      <c r="D108" s="511">
        <v>8</v>
      </c>
      <c r="E108" s="510">
        <f t="shared" si="5"/>
        <v>37</v>
      </c>
      <c r="F108" s="1012"/>
      <c r="G108" s="1012"/>
      <c r="H108" s="510"/>
      <c r="I108" s="1008" t="s">
        <v>705</v>
      </c>
      <c r="J108" s="1011">
        <f>SUM(J106:J107)</f>
        <v>198</v>
      </c>
      <c r="K108" s="1008">
        <f>SUM(K106:K107)</f>
        <v>1</v>
      </c>
      <c r="L108" s="1008">
        <f>SUM(L106:L107)</f>
        <v>1</v>
      </c>
      <c r="M108" s="1009"/>
    </row>
    <row r="109" spans="1:15">
      <c r="A109" s="497" t="s">
        <v>223</v>
      </c>
      <c r="B109" s="498"/>
      <c r="C109" s="497"/>
      <c r="D109" s="498"/>
      <c r="E109" s="497">
        <f t="shared" si="5"/>
        <v>0</v>
      </c>
      <c r="F109" s="1003"/>
      <c r="G109" s="1003"/>
      <c r="H109" s="497"/>
      <c r="I109" s="526" t="str">
        <f>I70</f>
        <v>Sub Comm 1</v>
      </c>
      <c r="J109" s="527">
        <f>J70</f>
        <v>244</v>
      </c>
      <c r="K109" s="1010"/>
      <c r="L109" s="1010"/>
      <c r="M109" s="1009"/>
    </row>
    <row r="110" spans="1:15">
      <c r="A110" s="521" t="s">
        <v>222</v>
      </c>
      <c r="B110" s="498">
        <v>48</v>
      </c>
      <c r="C110" s="497">
        <v>11</v>
      </c>
      <c r="D110" s="498">
        <v>15</v>
      </c>
      <c r="E110" s="497">
        <f t="shared" si="5"/>
        <v>74</v>
      </c>
      <c r="F110" s="1003"/>
      <c r="G110" s="1003"/>
      <c r="H110" s="497"/>
      <c r="I110" s="1008" t="s">
        <v>704</v>
      </c>
      <c r="J110" s="1011">
        <f>SUM(J108:J109)</f>
        <v>442</v>
      </c>
      <c r="K110" s="1010"/>
      <c r="L110" s="1010"/>
      <c r="M110" s="1009"/>
      <c r="N110" s="489"/>
    </row>
    <row r="111" spans="1:15" ht="16.5" thickBot="1">
      <c r="A111" s="497" t="s">
        <v>221</v>
      </c>
      <c r="B111" s="498">
        <v>49</v>
      </c>
      <c r="C111" s="497">
        <v>2</v>
      </c>
      <c r="D111" s="498">
        <v>13</v>
      </c>
      <c r="E111" s="497">
        <f t="shared" si="5"/>
        <v>64</v>
      </c>
      <c r="F111" s="1003"/>
      <c r="G111" s="1003"/>
      <c r="H111" s="497"/>
      <c r="I111" s="488" t="s">
        <v>694</v>
      </c>
      <c r="J111" s="527">
        <f>J21+J78+J108</f>
        <v>826</v>
      </c>
      <c r="K111" s="1008"/>
      <c r="L111" s="1008"/>
      <c r="M111" s="1007"/>
      <c r="N111" s="489"/>
    </row>
    <row r="112" spans="1:15">
      <c r="A112" s="528" t="s">
        <v>220</v>
      </c>
      <c r="B112" s="529"/>
      <c r="C112" s="530"/>
      <c r="D112" s="529"/>
      <c r="E112" s="497"/>
      <c r="F112" s="531"/>
      <c r="G112" s="502"/>
      <c r="H112" s="502"/>
      <c r="I112" s="1076">
        <v>1</v>
      </c>
      <c r="J112" s="1077"/>
      <c r="K112" s="1077"/>
      <c r="L112" s="1077">
        <v>0</v>
      </c>
      <c r="M112" s="1077">
        <f>SUM(I112:L112)</f>
        <v>1</v>
      </c>
      <c r="N112" s="1078" t="s">
        <v>707</v>
      </c>
      <c r="O112" s="1079"/>
    </row>
    <row r="113" spans="1:36">
      <c r="A113" s="497" t="s">
        <v>219</v>
      </c>
      <c r="B113" s="498"/>
      <c r="C113" s="497"/>
      <c r="D113" s="498"/>
      <c r="E113" s="497">
        <f>SUM(B113:D113)</f>
        <v>0</v>
      </c>
      <c r="F113" s="1003"/>
      <c r="G113" s="1003"/>
      <c r="H113" s="1060"/>
      <c r="I113" s="1358"/>
      <c r="J113" s="1359"/>
      <c r="K113" s="1359"/>
      <c r="L113" s="1359"/>
      <c r="M113" s="1359"/>
      <c r="N113" s="1359"/>
      <c r="O113" s="1360"/>
    </row>
    <row r="114" spans="1:36" ht="16.5" thickBot="1">
      <c r="A114" s="497" t="s">
        <v>218</v>
      </c>
      <c r="B114" s="498"/>
      <c r="C114" s="497"/>
      <c r="D114" s="498"/>
      <c r="E114" s="497">
        <f>SUM(B114:D114)</f>
        <v>0</v>
      </c>
      <c r="F114" s="1003"/>
      <c r="G114" s="1003"/>
      <c r="H114" s="1060"/>
      <c r="I114" s="1361"/>
      <c r="J114" s="1362"/>
      <c r="K114" s="1362"/>
      <c r="L114" s="1362"/>
      <c r="M114" s="1362"/>
      <c r="N114" s="1362"/>
      <c r="O114" s="1363"/>
    </row>
    <row r="115" spans="1:36">
      <c r="A115" s="497" t="s">
        <v>384</v>
      </c>
      <c r="B115" s="532"/>
      <c r="C115" s="1006"/>
      <c r="D115" s="498"/>
      <c r="E115" s="497">
        <f>SUM(B115:D115)</f>
        <v>0</v>
      </c>
      <c r="F115" s="1003"/>
      <c r="G115" s="1003"/>
      <c r="H115" s="1006"/>
      <c r="I115" s="1005"/>
      <c r="J115" s="1004"/>
      <c r="K115" s="1004"/>
      <c r="L115" s="489"/>
      <c r="M115" s="489"/>
      <c r="N115" s="489"/>
    </row>
    <row r="116" spans="1:36" ht="16.5" thickBot="1">
      <c r="A116" s="497" t="s">
        <v>216</v>
      </c>
      <c r="B116" s="498"/>
      <c r="C116" s="497"/>
      <c r="D116" s="498"/>
      <c r="E116" s="497">
        <f>SUM(B116:D116)</f>
        <v>0</v>
      </c>
      <c r="F116" s="1003"/>
      <c r="G116" s="1003"/>
      <c r="H116" s="497"/>
      <c r="I116" s="493"/>
    </row>
    <row r="117" spans="1:36" s="534" customFormat="1">
      <c r="A117" s="494" t="s">
        <v>692</v>
      </c>
      <c r="B117" s="494">
        <f>B88+B89+B91+B105+B108+B110+B111</f>
        <v>130</v>
      </c>
      <c r="C117" s="494">
        <f>C88+C89+C91+C105+C108+C110+C111</f>
        <v>20</v>
      </c>
      <c r="D117" s="494">
        <f>D88+D89+D91+D105+D108+D110+D111</f>
        <v>48</v>
      </c>
      <c r="E117" s="494"/>
      <c r="F117" s="494"/>
      <c r="G117" s="494"/>
      <c r="H117" s="494">
        <f>H88+H89+H91+H108+H110</f>
        <v>0</v>
      </c>
      <c r="I117" s="533">
        <f>SUM(B117:H117)</f>
        <v>198</v>
      </c>
      <c r="J117" s="489" t="str">
        <f>IF(I117=J108,"OK",I117-J108)</f>
        <v>OK</v>
      </c>
      <c r="K117" s="489"/>
      <c r="L117" s="489"/>
      <c r="M117" s="489"/>
    </row>
    <row r="118" spans="1:36" s="534" customFormat="1">
      <c r="A118" s="494" t="s">
        <v>693</v>
      </c>
      <c r="B118" s="494">
        <f>B117+B78</f>
        <v>276</v>
      </c>
      <c r="C118" s="494">
        <f>C117+C78</f>
        <v>66</v>
      </c>
      <c r="D118" s="494">
        <f>D117+D78</f>
        <v>100</v>
      </c>
      <c r="E118" s="494"/>
      <c r="F118" s="494"/>
      <c r="G118" s="494"/>
      <c r="H118" s="494">
        <f>H78+H117</f>
        <v>0</v>
      </c>
      <c r="I118" s="535">
        <f>SUM(B118:H118)</f>
        <v>442</v>
      </c>
      <c r="J118" s="489" t="str">
        <f>IF(I118=J110,"OK",I118-J110)</f>
        <v>OK</v>
      </c>
      <c r="K118" s="489"/>
      <c r="L118" s="489"/>
      <c r="M118" s="489"/>
    </row>
    <row r="119" spans="1:36" s="534" customFormat="1" ht="16.5" thickBot="1">
      <c r="A119" s="494" t="s">
        <v>694</v>
      </c>
      <c r="B119" s="494">
        <f>B118+B21</f>
        <v>9194</v>
      </c>
      <c r="C119" s="494">
        <f>C118+C21</f>
        <v>601</v>
      </c>
      <c r="D119" s="494">
        <f>D118+D21</f>
        <v>1109</v>
      </c>
      <c r="E119" s="494"/>
      <c r="F119" s="494"/>
      <c r="G119" s="494"/>
      <c r="H119" s="494">
        <f>H21+H118</f>
        <v>0</v>
      </c>
      <c r="I119" s="536">
        <f>SUM(B119:H119)</f>
        <v>10904</v>
      </c>
      <c r="J119" s="489">
        <f>IF(I119=J111,"OK",I119-J111)</f>
        <v>10078</v>
      </c>
      <c r="K119" s="489"/>
      <c r="L119" s="489"/>
      <c r="M119" s="489"/>
    </row>
    <row r="120" spans="1:36" s="496" customFormat="1">
      <c r="A120" s="537"/>
      <c r="B120" s="538"/>
      <c r="C120" s="537"/>
      <c r="D120" s="537"/>
      <c r="E120" s="539"/>
      <c r="F120" s="539"/>
      <c r="G120" s="537"/>
      <c r="H120" s="539"/>
      <c r="I120" s="508"/>
      <c r="J120" s="509"/>
      <c r="K120" s="509"/>
      <c r="L120" s="509"/>
      <c r="M120" s="509"/>
      <c r="N120" s="540"/>
      <c r="O120" s="540"/>
      <c r="P120" s="540"/>
      <c r="Q120" s="540"/>
      <c r="R120" s="540"/>
      <c r="S120" s="540"/>
      <c r="T120" s="540"/>
      <c r="U120" s="540"/>
      <c r="V120" s="540"/>
      <c r="W120" s="540"/>
      <c r="X120" s="540"/>
      <c r="Y120" s="540"/>
      <c r="Z120" s="540"/>
      <c r="AA120" s="540"/>
      <c r="AB120" s="540"/>
      <c r="AC120" s="540"/>
      <c r="AD120" s="540"/>
      <c r="AE120" s="540"/>
      <c r="AF120" s="488"/>
      <c r="AG120" s="488"/>
      <c r="AH120" s="488"/>
      <c r="AI120" s="488"/>
      <c r="AJ120" s="488"/>
    </row>
    <row r="121" spans="1:36" s="496" customFormat="1">
      <c r="A121" s="537"/>
      <c r="B121" s="538"/>
      <c r="C121" s="537"/>
      <c r="D121" s="537"/>
      <c r="E121" s="539"/>
      <c r="F121" s="539"/>
      <c r="G121" s="537"/>
      <c r="H121" s="539"/>
      <c r="I121" s="508"/>
      <c r="J121" s="509"/>
      <c r="K121" s="509"/>
      <c r="L121" s="509"/>
      <c r="M121" s="509"/>
      <c r="N121" s="540"/>
      <c r="O121" s="540"/>
      <c r="P121" s="540"/>
      <c r="Q121" s="540"/>
      <c r="R121" s="540"/>
      <c r="S121" s="540"/>
      <c r="T121" s="540"/>
      <c r="U121" s="540"/>
      <c r="V121" s="540"/>
      <c r="W121" s="540"/>
      <c r="X121" s="540"/>
      <c r="Y121" s="540"/>
      <c r="Z121" s="540"/>
      <c r="AA121" s="540"/>
      <c r="AB121" s="540"/>
      <c r="AC121" s="540"/>
      <c r="AD121" s="540"/>
      <c r="AE121" s="540"/>
      <c r="AF121" s="488"/>
      <c r="AG121" s="488"/>
      <c r="AH121" s="488"/>
      <c r="AI121" s="488"/>
      <c r="AJ121" s="1002"/>
    </row>
    <row r="122" spans="1:36" s="496" customFormat="1">
      <c r="A122" s="493"/>
      <c r="B122" s="522"/>
      <c r="C122" s="493"/>
      <c r="D122" s="493"/>
      <c r="E122" s="493"/>
      <c r="F122" s="493"/>
      <c r="G122" s="493"/>
      <c r="H122" s="493"/>
      <c r="I122" s="493"/>
      <c r="J122" s="488"/>
      <c r="K122" s="488"/>
      <c r="L122" s="488"/>
      <c r="M122" s="488"/>
      <c r="N122" s="488"/>
      <c r="O122" s="488"/>
      <c r="P122" s="488"/>
      <c r="Q122" s="488"/>
      <c r="R122" s="488"/>
      <c r="S122" s="488"/>
      <c r="T122" s="488"/>
      <c r="U122" s="488"/>
      <c r="V122" s="488"/>
      <c r="W122" s="488"/>
      <c r="X122" s="488"/>
      <c r="Y122" s="488"/>
      <c r="Z122" s="488"/>
      <c r="AA122" s="488"/>
      <c r="AB122" s="488"/>
      <c r="AC122" s="488"/>
      <c r="AD122" s="488"/>
      <c r="AE122" s="488"/>
      <c r="AF122" s="488"/>
      <c r="AG122" s="488"/>
      <c r="AH122" s="488"/>
      <c r="AI122" s="490"/>
      <c r="AJ122" s="490"/>
    </row>
    <row r="123" spans="1:36" s="496" customFormat="1">
      <c r="A123" s="493"/>
      <c r="B123" s="522"/>
      <c r="C123" s="493"/>
      <c r="D123" s="493"/>
      <c r="E123" s="493"/>
      <c r="F123" s="493"/>
      <c r="G123" s="493"/>
      <c r="H123" s="493"/>
      <c r="I123" s="493"/>
      <c r="J123" s="488"/>
      <c r="K123" s="488"/>
      <c r="L123" s="488"/>
      <c r="M123" s="488"/>
      <c r="N123" s="488"/>
      <c r="O123" s="488"/>
      <c r="P123" s="488"/>
      <c r="Q123" s="488"/>
      <c r="R123" s="488"/>
      <c r="S123" s="488"/>
      <c r="T123" s="488"/>
      <c r="U123" s="488"/>
      <c r="V123" s="488"/>
      <c r="W123" s="488"/>
      <c r="X123" s="488"/>
      <c r="Y123" s="488"/>
      <c r="Z123" s="488"/>
      <c r="AA123" s="488"/>
      <c r="AB123" s="488"/>
      <c r="AC123" s="488"/>
      <c r="AD123" s="488"/>
      <c r="AE123" s="488"/>
      <c r="AF123" s="488"/>
      <c r="AG123" s="488"/>
      <c r="AH123" s="488"/>
      <c r="AI123" s="490"/>
      <c r="AJ123" s="490"/>
    </row>
    <row r="124" spans="1:36" s="496" customFormat="1">
      <c r="A124" s="493"/>
      <c r="B124" s="522"/>
      <c r="C124" s="493"/>
      <c r="D124" s="493"/>
      <c r="E124" s="493"/>
      <c r="F124" s="493"/>
      <c r="G124" s="493"/>
      <c r="H124" s="493"/>
      <c r="I124" s="493"/>
      <c r="J124" s="488"/>
      <c r="K124" s="488"/>
      <c r="L124" s="488"/>
      <c r="M124" s="488"/>
      <c r="N124" s="488"/>
      <c r="O124" s="488"/>
      <c r="P124" s="488"/>
      <c r="Q124" s="488"/>
      <c r="R124" s="488"/>
      <c r="S124" s="488"/>
      <c r="T124" s="488"/>
      <c r="U124" s="488"/>
      <c r="V124" s="488"/>
      <c r="W124" s="488"/>
      <c r="X124" s="488"/>
      <c r="Y124" s="488"/>
      <c r="Z124" s="488"/>
      <c r="AA124" s="488"/>
      <c r="AB124" s="488"/>
      <c r="AC124" s="488"/>
      <c r="AD124" s="488"/>
      <c r="AE124" s="488"/>
      <c r="AF124" s="488"/>
      <c r="AG124" s="488"/>
      <c r="AH124" s="488"/>
      <c r="AI124" s="488"/>
      <c r="AJ124" s="488"/>
    </row>
    <row r="125" spans="1:36" s="496" customFormat="1">
      <c r="A125" s="493"/>
      <c r="B125" s="522"/>
      <c r="C125" s="493"/>
      <c r="D125" s="493"/>
      <c r="E125" s="493"/>
      <c r="F125" s="493"/>
      <c r="G125" s="493"/>
      <c r="H125" s="493"/>
      <c r="I125" s="493"/>
      <c r="J125" s="488"/>
      <c r="K125" s="488"/>
      <c r="L125" s="488"/>
      <c r="M125" s="488"/>
      <c r="N125" s="488"/>
      <c r="O125" s="488"/>
      <c r="P125" s="488"/>
      <c r="Q125" s="488"/>
      <c r="R125" s="488"/>
      <c r="S125" s="488"/>
      <c r="T125" s="488"/>
      <c r="U125" s="488"/>
      <c r="V125" s="488"/>
      <c r="W125" s="488"/>
      <c r="X125" s="488"/>
      <c r="Y125" s="488"/>
      <c r="Z125" s="488"/>
      <c r="AA125" s="488"/>
      <c r="AB125" s="488"/>
      <c r="AC125" s="488"/>
      <c r="AD125" s="488"/>
      <c r="AE125" s="488"/>
      <c r="AF125" s="488"/>
      <c r="AG125" s="488"/>
      <c r="AH125" s="488"/>
      <c r="AI125" s="488"/>
      <c r="AJ125" s="488"/>
    </row>
    <row r="126" spans="1:36" s="496" customFormat="1">
      <c r="A126" s="493"/>
      <c r="B126" s="522"/>
      <c r="C126" s="493"/>
      <c r="D126" s="493"/>
      <c r="E126" s="493"/>
      <c r="F126" s="493"/>
      <c r="G126" s="493"/>
      <c r="H126" s="493"/>
      <c r="I126" s="493"/>
      <c r="J126" s="488"/>
      <c r="K126" s="488"/>
      <c r="L126" s="488"/>
      <c r="M126" s="488"/>
      <c r="N126" s="488"/>
      <c r="O126" s="488"/>
      <c r="P126" s="488"/>
      <c r="Q126" s="488"/>
      <c r="R126" s="488"/>
      <c r="S126" s="488"/>
      <c r="T126" s="488"/>
      <c r="U126" s="488"/>
      <c r="V126" s="488"/>
      <c r="W126" s="488"/>
      <c r="X126" s="488"/>
      <c r="Y126" s="488"/>
      <c r="Z126" s="488"/>
      <c r="AA126" s="488"/>
      <c r="AB126" s="488"/>
      <c r="AC126" s="488"/>
      <c r="AD126" s="488"/>
      <c r="AE126" s="488"/>
      <c r="AF126" s="488"/>
      <c r="AG126" s="488"/>
      <c r="AH126" s="488"/>
      <c r="AI126" s="488"/>
      <c r="AJ126" s="488"/>
    </row>
    <row r="127" spans="1:36" s="496" customFormat="1">
      <c r="A127" s="493"/>
      <c r="B127" s="522"/>
      <c r="C127" s="493"/>
      <c r="D127" s="493"/>
      <c r="E127" s="493"/>
      <c r="F127" s="493"/>
      <c r="G127" s="493"/>
      <c r="H127" s="493"/>
      <c r="I127" s="493"/>
      <c r="J127" s="488"/>
      <c r="K127" s="488"/>
      <c r="L127" s="488"/>
      <c r="M127" s="488"/>
      <c r="N127" s="488"/>
      <c r="O127" s="488"/>
      <c r="P127" s="488"/>
      <c r="Q127" s="488"/>
      <c r="R127" s="488"/>
      <c r="S127" s="488"/>
      <c r="T127" s="488"/>
      <c r="U127" s="488"/>
      <c r="V127" s="488"/>
      <c r="W127" s="488"/>
      <c r="X127" s="488"/>
      <c r="Y127" s="488"/>
      <c r="Z127" s="488"/>
      <c r="AA127" s="488"/>
      <c r="AB127" s="488"/>
      <c r="AC127" s="488"/>
      <c r="AD127" s="488"/>
      <c r="AE127" s="488"/>
      <c r="AF127" s="488"/>
      <c r="AG127" s="488"/>
      <c r="AH127" s="488"/>
      <c r="AI127" s="488"/>
      <c r="AJ127" s="488"/>
    </row>
    <row r="128" spans="1:36" s="496" customFormat="1">
      <c r="A128" s="493"/>
      <c r="B128" s="522"/>
      <c r="C128" s="493"/>
      <c r="D128" s="493"/>
      <c r="E128" s="493"/>
      <c r="F128" s="493"/>
      <c r="G128" s="493"/>
      <c r="H128" s="493"/>
      <c r="I128" s="493"/>
      <c r="J128" s="488"/>
      <c r="K128" s="488"/>
      <c r="L128" s="488"/>
      <c r="M128" s="488"/>
      <c r="N128" s="488"/>
      <c r="O128" s="488"/>
      <c r="P128" s="488"/>
      <c r="Q128" s="488"/>
      <c r="R128" s="488"/>
      <c r="S128" s="488"/>
      <c r="T128" s="488"/>
      <c r="U128" s="488"/>
      <c r="V128" s="488"/>
      <c r="W128" s="488"/>
      <c r="X128" s="488"/>
      <c r="Y128" s="488"/>
      <c r="Z128" s="488"/>
      <c r="AA128" s="488"/>
      <c r="AB128" s="488"/>
      <c r="AC128" s="488"/>
      <c r="AD128" s="488"/>
      <c r="AE128" s="488"/>
      <c r="AF128" s="488"/>
      <c r="AG128" s="488"/>
      <c r="AH128" s="488"/>
      <c r="AI128" s="488"/>
      <c r="AJ128" s="488"/>
    </row>
    <row r="129" spans="1:36" s="496" customFormat="1">
      <c r="A129" s="493"/>
      <c r="B129" s="522"/>
      <c r="C129" s="493"/>
      <c r="D129" s="493"/>
      <c r="E129" s="493"/>
      <c r="F129" s="493"/>
      <c r="G129" s="493"/>
      <c r="H129" s="493"/>
      <c r="I129" s="493"/>
      <c r="J129" s="488"/>
      <c r="K129" s="488"/>
      <c r="L129" s="488"/>
      <c r="M129" s="488"/>
      <c r="N129" s="488"/>
      <c r="O129" s="488"/>
      <c r="P129" s="488"/>
      <c r="Q129" s="488"/>
      <c r="R129" s="488"/>
      <c r="S129" s="488"/>
      <c r="T129" s="488"/>
      <c r="U129" s="488"/>
      <c r="V129" s="488"/>
      <c r="W129" s="488"/>
      <c r="X129" s="488"/>
      <c r="Y129" s="488"/>
      <c r="Z129" s="488"/>
      <c r="AA129" s="488"/>
      <c r="AB129" s="488"/>
      <c r="AC129" s="488"/>
      <c r="AD129" s="488"/>
      <c r="AE129" s="488"/>
      <c r="AF129" s="488"/>
      <c r="AG129" s="488"/>
      <c r="AH129" s="488"/>
      <c r="AI129" s="488"/>
      <c r="AJ129" s="488"/>
    </row>
    <row r="130" spans="1:36" s="496" customFormat="1">
      <c r="A130" s="493"/>
      <c r="B130" s="522"/>
      <c r="C130" s="493"/>
      <c r="D130" s="493"/>
      <c r="E130" s="493"/>
      <c r="F130" s="493"/>
      <c r="G130" s="493"/>
      <c r="H130" s="493"/>
      <c r="I130" s="493"/>
      <c r="J130" s="488"/>
      <c r="K130" s="488"/>
      <c r="L130" s="488"/>
      <c r="M130" s="488"/>
      <c r="N130" s="488"/>
      <c r="O130" s="488"/>
      <c r="P130" s="488"/>
      <c r="Q130" s="488"/>
      <c r="R130" s="488"/>
      <c r="S130" s="488"/>
      <c r="T130" s="488"/>
      <c r="U130" s="488"/>
      <c r="V130" s="488"/>
      <c r="W130" s="488"/>
      <c r="X130" s="488"/>
      <c r="Y130" s="488"/>
      <c r="Z130" s="488"/>
      <c r="AA130" s="488"/>
      <c r="AB130" s="488"/>
      <c r="AC130" s="488"/>
      <c r="AD130" s="488"/>
      <c r="AE130" s="488"/>
      <c r="AF130" s="488"/>
      <c r="AG130" s="488"/>
      <c r="AH130" s="488"/>
      <c r="AI130" s="488"/>
      <c r="AJ130" s="488"/>
    </row>
    <row r="131" spans="1:36" s="496" customFormat="1">
      <c r="A131" s="493"/>
      <c r="B131" s="522"/>
      <c r="C131" s="493"/>
      <c r="D131" s="493"/>
      <c r="E131" s="493"/>
      <c r="F131" s="493"/>
      <c r="G131" s="493"/>
      <c r="H131" s="493"/>
      <c r="I131" s="493"/>
      <c r="J131" s="488"/>
      <c r="K131" s="488"/>
      <c r="L131" s="488"/>
      <c r="M131" s="488"/>
      <c r="N131" s="488"/>
      <c r="O131" s="488"/>
      <c r="P131" s="488"/>
      <c r="Q131" s="488"/>
      <c r="R131" s="488"/>
      <c r="S131" s="488"/>
      <c r="T131" s="488"/>
      <c r="U131" s="488"/>
      <c r="V131" s="488"/>
      <c r="W131" s="488"/>
      <c r="X131" s="488"/>
      <c r="Y131" s="488"/>
      <c r="Z131" s="488"/>
      <c r="AA131" s="488"/>
      <c r="AB131" s="488"/>
      <c r="AC131" s="488"/>
      <c r="AD131" s="488"/>
      <c r="AE131" s="488"/>
      <c r="AF131" s="488"/>
      <c r="AG131" s="488"/>
      <c r="AH131" s="488"/>
      <c r="AI131" s="488"/>
      <c r="AJ131" s="488"/>
    </row>
    <row r="132" spans="1:36" s="496" customFormat="1">
      <c r="A132" s="493"/>
      <c r="B132" s="522"/>
      <c r="C132" s="493"/>
      <c r="D132" s="493"/>
      <c r="E132" s="493"/>
      <c r="F132" s="493"/>
      <c r="G132" s="493"/>
      <c r="H132" s="493"/>
      <c r="I132" s="493"/>
      <c r="J132" s="488"/>
      <c r="K132" s="488"/>
      <c r="L132" s="488"/>
      <c r="M132" s="488"/>
      <c r="N132" s="488"/>
      <c r="O132" s="488"/>
      <c r="P132" s="488"/>
      <c r="Q132" s="488"/>
      <c r="R132" s="488"/>
      <c r="S132" s="488"/>
      <c r="T132" s="488"/>
      <c r="U132" s="488"/>
      <c r="V132" s="488"/>
      <c r="W132" s="488"/>
      <c r="X132" s="488"/>
      <c r="Y132" s="488"/>
      <c r="Z132" s="488"/>
      <c r="AA132" s="488"/>
      <c r="AB132" s="488"/>
      <c r="AC132" s="488"/>
      <c r="AD132" s="488"/>
      <c r="AE132" s="488"/>
      <c r="AF132" s="488"/>
      <c r="AG132" s="488"/>
      <c r="AH132" s="488"/>
      <c r="AI132" s="488"/>
      <c r="AJ132" s="488"/>
    </row>
    <row r="133" spans="1:36" s="496" customFormat="1">
      <c r="A133" s="493"/>
      <c r="B133" s="522"/>
      <c r="C133" s="493"/>
      <c r="D133" s="493"/>
      <c r="E133" s="493"/>
      <c r="F133" s="493"/>
      <c r="G133" s="493"/>
      <c r="H133" s="493"/>
      <c r="I133" s="493"/>
      <c r="J133" s="488"/>
      <c r="K133" s="488"/>
      <c r="L133" s="488"/>
      <c r="M133" s="488"/>
      <c r="N133" s="488"/>
      <c r="O133" s="488"/>
      <c r="P133" s="488"/>
      <c r="Q133" s="488"/>
      <c r="R133" s="488"/>
      <c r="S133" s="488"/>
      <c r="T133" s="488"/>
      <c r="U133" s="488"/>
      <c r="V133" s="488"/>
      <c r="W133" s="488"/>
      <c r="X133" s="488"/>
      <c r="Y133" s="488"/>
      <c r="Z133" s="488"/>
      <c r="AA133" s="488"/>
      <c r="AB133" s="488"/>
      <c r="AC133" s="488"/>
      <c r="AD133" s="488"/>
      <c r="AE133" s="488"/>
      <c r="AF133" s="488"/>
      <c r="AG133" s="488"/>
      <c r="AH133" s="488"/>
      <c r="AI133" s="488"/>
      <c r="AJ133" s="488"/>
    </row>
    <row r="134" spans="1:36" s="496" customFormat="1">
      <c r="A134" s="493"/>
      <c r="B134" s="522"/>
      <c r="C134" s="493"/>
      <c r="D134" s="493"/>
      <c r="E134" s="493"/>
      <c r="F134" s="493"/>
      <c r="G134" s="493"/>
      <c r="H134" s="493"/>
      <c r="I134" s="493"/>
      <c r="J134" s="488"/>
      <c r="K134" s="488"/>
      <c r="L134" s="488"/>
      <c r="M134" s="488"/>
      <c r="N134" s="488"/>
      <c r="O134" s="488"/>
      <c r="P134" s="488"/>
      <c r="Q134" s="488"/>
      <c r="R134" s="488"/>
      <c r="S134" s="488"/>
      <c r="T134" s="488"/>
      <c r="U134" s="488"/>
      <c r="V134" s="488"/>
      <c r="W134" s="488"/>
      <c r="X134" s="488"/>
      <c r="Y134" s="488"/>
      <c r="Z134" s="488"/>
      <c r="AA134" s="488"/>
      <c r="AB134" s="488"/>
      <c r="AC134" s="488"/>
      <c r="AD134" s="488"/>
      <c r="AE134" s="488"/>
      <c r="AF134" s="488"/>
      <c r="AG134" s="488"/>
      <c r="AH134" s="488"/>
      <c r="AI134" s="488"/>
      <c r="AJ134" s="488"/>
    </row>
    <row r="135" spans="1:36" s="496" customFormat="1">
      <c r="A135" s="493"/>
      <c r="B135" s="522"/>
      <c r="C135" s="493"/>
      <c r="D135" s="493"/>
      <c r="E135" s="493"/>
      <c r="F135" s="493"/>
      <c r="G135" s="493"/>
      <c r="H135" s="493"/>
      <c r="I135" s="493"/>
      <c r="J135" s="488"/>
      <c r="K135" s="488"/>
      <c r="L135" s="488"/>
      <c r="M135" s="488"/>
      <c r="N135" s="488"/>
      <c r="O135" s="488"/>
      <c r="P135" s="488"/>
      <c r="Q135" s="488"/>
      <c r="R135" s="488"/>
      <c r="S135" s="488"/>
      <c r="T135" s="488"/>
      <c r="U135" s="488"/>
      <c r="V135" s="488"/>
      <c r="W135" s="488"/>
      <c r="X135" s="488"/>
      <c r="Y135" s="488"/>
      <c r="Z135" s="488"/>
      <c r="AA135" s="488"/>
      <c r="AB135" s="488"/>
      <c r="AC135" s="488"/>
      <c r="AD135" s="488"/>
      <c r="AE135" s="488"/>
      <c r="AF135" s="488"/>
      <c r="AG135" s="488"/>
      <c r="AH135" s="488"/>
      <c r="AI135" s="488"/>
      <c r="AJ135" s="488"/>
    </row>
    <row r="136" spans="1:36" s="496" customFormat="1">
      <c r="A136" s="493"/>
      <c r="B136" s="522"/>
      <c r="C136" s="493"/>
      <c r="D136" s="493"/>
      <c r="E136" s="493"/>
      <c r="F136" s="493"/>
      <c r="G136" s="493"/>
      <c r="H136" s="493"/>
      <c r="I136" s="493"/>
      <c r="J136" s="488"/>
      <c r="K136" s="488"/>
      <c r="L136" s="488"/>
      <c r="M136" s="488"/>
      <c r="N136" s="488"/>
      <c r="O136" s="488"/>
      <c r="P136" s="488"/>
      <c r="Q136" s="488"/>
      <c r="R136" s="488"/>
      <c r="S136" s="488"/>
      <c r="T136" s="488"/>
      <c r="U136" s="488"/>
      <c r="V136" s="488"/>
      <c r="W136" s="488"/>
      <c r="X136" s="488"/>
      <c r="Y136" s="488"/>
      <c r="Z136" s="488"/>
      <c r="AA136" s="488"/>
      <c r="AB136" s="488"/>
      <c r="AC136" s="488"/>
      <c r="AD136" s="488"/>
      <c r="AE136" s="488"/>
      <c r="AF136" s="488"/>
      <c r="AG136" s="488"/>
      <c r="AH136" s="488"/>
      <c r="AI136" s="488"/>
      <c r="AJ136" s="488"/>
    </row>
    <row r="137" spans="1:36" s="496" customFormat="1">
      <c r="A137" s="493"/>
      <c r="B137" s="522"/>
      <c r="C137" s="493"/>
      <c r="D137" s="493"/>
      <c r="E137" s="493"/>
      <c r="F137" s="493"/>
      <c r="G137" s="493"/>
      <c r="H137" s="493"/>
      <c r="I137" s="493"/>
      <c r="J137" s="488"/>
      <c r="K137" s="488"/>
      <c r="L137" s="488"/>
      <c r="M137" s="488"/>
      <c r="N137" s="488"/>
      <c r="O137" s="488"/>
      <c r="P137" s="488"/>
      <c r="Q137" s="488"/>
      <c r="R137" s="488"/>
      <c r="S137" s="488"/>
      <c r="T137" s="488"/>
      <c r="U137" s="488"/>
      <c r="V137" s="488"/>
      <c r="W137" s="488"/>
      <c r="X137" s="488"/>
      <c r="Y137" s="488"/>
      <c r="Z137" s="488"/>
      <c r="AA137" s="488"/>
      <c r="AB137" s="488"/>
      <c r="AC137" s="488"/>
      <c r="AD137" s="488"/>
      <c r="AE137" s="488"/>
      <c r="AF137" s="488"/>
      <c r="AG137" s="488"/>
      <c r="AH137" s="488"/>
      <c r="AI137" s="488"/>
      <c r="AJ137" s="488"/>
    </row>
    <row r="138" spans="1:36" s="496" customFormat="1">
      <c r="A138" s="493"/>
      <c r="B138" s="522"/>
      <c r="C138" s="493"/>
      <c r="D138" s="493"/>
      <c r="E138" s="493"/>
      <c r="F138" s="493"/>
      <c r="G138" s="493"/>
      <c r="H138" s="493"/>
      <c r="I138" s="493"/>
      <c r="J138" s="488"/>
      <c r="K138" s="488"/>
      <c r="L138" s="488"/>
      <c r="M138" s="488"/>
      <c r="N138" s="488"/>
      <c r="O138" s="488"/>
      <c r="P138" s="488"/>
      <c r="Q138" s="488"/>
      <c r="R138" s="488"/>
      <c r="S138" s="488"/>
      <c r="T138" s="488"/>
      <c r="U138" s="488"/>
      <c r="V138" s="488"/>
      <c r="W138" s="488"/>
      <c r="X138" s="488"/>
      <c r="Y138" s="488"/>
      <c r="Z138" s="488"/>
      <c r="AA138" s="488"/>
      <c r="AB138" s="488"/>
      <c r="AC138" s="488"/>
      <c r="AD138" s="488"/>
      <c r="AE138" s="488"/>
      <c r="AF138" s="488"/>
      <c r="AG138" s="488"/>
      <c r="AH138" s="488"/>
      <c r="AI138" s="488"/>
      <c r="AJ138" s="488"/>
    </row>
    <row r="139" spans="1:36" s="496" customFormat="1">
      <c r="A139" s="493"/>
      <c r="B139" s="522"/>
      <c r="C139" s="493"/>
      <c r="D139" s="493"/>
      <c r="E139" s="493"/>
      <c r="F139" s="493"/>
      <c r="G139" s="493"/>
      <c r="H139" s="493"/>
      <c r="I139" s="493"/>
      <c r="J139" s="488"/>
      <c r="K139" s="488"/>
      <c r="L139" s="488"/>
      <c r="M139" s="488"/>
      <c r="N139" s="488"/>
      <c r="O139" s="488"/>
      <c r="P139" s="488"/>
      <c r="Q139" s="488"/>
      <c r="R139" s="488"/>
      <c r="S139" s="488"/>
      <c r="T139" s="488"/>
      <c r="U139" s="488"/>
      <c r="V139" s="488"/>
      <c r="W139" s="488"/>
      <c r="X139" s="488"/>
      <c r="Y139" s="488"/>
      <c r="Z139" s="488"/>
      <c r="AA139" s="488"/>
      <c r="AB139" s="488"/>
      <c r="AC139" s="488"/>
      <c r="AD139" s="488"/>
      <c r="AE139" s="488"/>
      <c r="AF139" s="488"/>
      <c r="AG139" s="488"/>
      <c r="AH139" s="488"/>
      <c r="AI139" s="488"/>
      <c r="AJ139" s="488"/>
    </row>
    <row r="140" spans="1:36" s="496" customFormat="1">
      <c r="A140" s="493"/>
      <c r="B140" s="522"/>
      <c r="C140" s="493"/>
      <c r="D140" s="493"/>
      <c r="E140" s="493"/>
      <c r="F140" s="493"/>
      <c r="G140" s="493"/>
      <c r="H140" s="493"/>
      <c r="I140" s="493"/>
      <c r="J140" s="488"/>
      <c r="K140" s="488"/>
      <c r="L140" s="488"/>
      <c r="M140" s="488"/>
      <c r="N140" s="488"/>
      <c r="O140" s="488"/>
      <c r="P140" s="488"/>
      <c r="Q140" s="488"/>
      <c r="R140" s="488"/>
      <c r="S140" s="488"/>
      <c r="T140" s="488"/>
      <c r="U140" s="488"/>
      <c r="V140" s="488"/>
      <c r="W140" s="488"/>
      <c r="X140" s="488"/>
      <c r="Y140" s="488"/>
      <c r="Z140" s="488"/>
      <c r="AA140" s="488"/>
      <c r="AB140" s="488"/>
      <c r="AC140" s="488"/>
      <c r="AD140" s="488"/>
      <c r="AE140" s="488"/>
      <c r="AF140" s="488"/>
      <c r="AG140" s="488"/>
      <c r="AH140" s="488"/>
      <c r="AI140" s="488"/>
      <c r="AJ140" s="488"/>
    </row>
    <row r="141" spans="1:36" s="496" customFormat="1">
      <c r="A141" s="493"/>
      <c r="B141" s="522"/>
      <c r="C141" s="493"/>
      <c r="D141" s="493"/>
      <c r="E141" s="493"/>
      <c r="F141" s="493"/>
      <c r="G141" s="493"/>
      <c r="H141" s="493"/>
      <c r="I141" s="493"/>
      <c r="J141" s="488"/>
      <c r="K141" s="488"/>
      <c r="L141" s="488"/>
      <c r="M141" s="488"/>
      <c r="N141" s="488"/>
      <c r="O141" s="488"/>
      <c r="P141" s="488"/>
      <c r="Q141" s="488"/>
      <c r="R141" s="488"/>
      <c r="S141" s="488"/>
      <c r="T141" s="488"/>
      <c r="U141" s="488"/>
      <c r="V141" s="488"/>
      <c r="W141" s="488"/>
      <c r="X141" s="488"/>
      <c r="Y141" s="488"/>
      <c r="Z141" s="488"/>
      <c r="AA141" s="488"/>
      <c r="AB141" s="488"/>
      <c r="AC141" s="488"/>
      <c r="AD141" s="488"/>
      <c r="AE141" s="488"/>
      <c r="AF141" s="488"/>
      <c r="AG141" s="488"/>
      <c r="AH141" s="488"/>
      <c r="AI141" s="488"/>
      <c r="AJ141" s="488"/>
    </row>
    <row r="142" spans="1:36" s="496" customFormat="1">
      <c r="A142" s="493"/>
      <c r="B142" s="522"/>
      <c r="C142" s="493"/>
      <c r="D142" s="493"/>
      <c r="E142" s="493"/>
      <c r="F142" s="493"/>
      <c r="G142" s="493"/>
      <c r="H142" s="493"/>
      <c r="I142" s="493"/>
      <c r="J142" s="488"/>
      <c r="K142" s="488"/>
      <c r="L142" s="488"/>
      <c r="M142" s="488"/>
      <c r="N142" s="488"/>
      <c r="O142" s="488"/>
      <c r="P142" s="488"/>
      <c r="Q142" s="488"/>
      <c r="R142" s="488"/>
      <c r="S142" s="488"/>
      <c r="T142" s="488"/>
      <c r="U142" s="488"/>
      <c r="V142" s="488"/>
      <c r="W142" s="488"/>
      <c r="X142" s="488"/>
      <c r="Y142" s="488"/>
      <c r="Z142" s="488"/>
      <c r="AA142" s="488"/>
      <c r="AB142" s="488"/>
      <c r="AC142" s="488"/>
      <c r="AD142" s="488"/>
      <c r="AE142" s="488"/>
      <c r="AF142" s="488"/>
      <c r="AG142" s="488"/>
      <c r="AH142" s="488"/>
      <c r="AI142" s="488"/>
      <c r="AJ142" s="488"/>
    </row>
    <row r="143" spans="1:36" s="496" customFormat="1">
      <c r="A143" s="493"/>
      <c r="B143" s="522"/>
      <c r="C143" s="493"/>
      <c r="D143" s="493"/>
      <c r="E143" s="493"/>
      <c r="F143" s="493"/>
      <c r="G143" s="493"/>
      <c r="H143" s="493"/>
      <c r="I143" s="493"/>
      <c r="J143" s="488"/>
      <c r="K143" s="488"/>
      <c r="L143" s="488"/>
      <c r="M143" s="488"/>
      <c r="N143" s="488"/>
      <c r="O143" s="488"/>
      <c r="P143" s="488"/>
      <c r="Q143" s="488"/>
      <c r="R143" s="488"/>
      <c r="S143" s="488"/>
      <c r="T143" s="488"/>
      <c r="U143" s="488"/>
      <c r="V143" s="488"/>
      <c r="W143" s="488"/>
      <c r="X143" s="488"/>
      <c r="Y143" s="488"/>
      <c r="Z143" s="488"/>
      <c r="AA143" s="488"/>
      <c r="AB143" s="488"/>
      <c r="AC143" s="488"/>
      <c r="AD143" s="488"/>
      <c r="AE143" s="488"/>
      <c r="AF143" s="488"/>
      <c r="AG143" s="488"/>
      <c r="AH143" s="488"/>
      <c r="AI143" s="488"/>
      <c r="AJ143" s="488"/>
    </row>
    <row r="144" spans="1:36" s="496" customFormat="1">
      <c r="A144" s="493"/>
      <c r="B144" s="522"/>
      <c r="C144" s="493"/>
      <c r="D144" s="493"/>
      <c r="E144" s="493"/>
      <c r="F144" s="493"/>
      <c r="G144" s="493"/>
      <c r="H144" s="493"/>
      <c r="I144" s="493"/>
      <c r="J144" s="488"/>
      <c r="K144" s="488"/>
      <c r="L144" s="488"/>
      <c r="M144" s="488"/>
      <c r="N144" s="488"/>
      <c r="O144" s="488"/>
      <c r="P144" s="488"/>
      <c r="Q144" s="488"/>
      <c r="R144" s="488"/>
      <c r="S144" s="488"/>
      <c r="T144" s="488"/>
      <c r="U144" s="488"/>
      <c r="V144" s="488"/>
      <c r="W144" s="488"/>
      <c r="X144" s="488"/>
      <c r="Y144" s="488"/>
      <c r="Z144" s="488"/>
      <c r="AA144" s="488"/>
      <c r="AB144" s="488"/>
      <c r="AC144" s="488"/>
      <c r="AD144" s="488"/>
      <c r="AE144" s="488"/>
      <c r="AF144" s="488"/>
      <c r="AG144" s="488"/>
      <c r="AH144" s="488"/>
      <c r="AI144" s="488"/>
      <c r="AJ144" s="488"/>
    </row>
    <row r="145" spans="1:36" s="496" customFormat="1">
      <c r="A145" s="493"/>
      <c r="B145" s="522"/>
      <c r="C145" s="493"/>
      <c r="D145" s="493"/>
      <c r="E145" s="493"/>
      <c r="F145" s="493"/>
      <c r="G145" s="493"/>
      <c r="H145" s="493"/>
      <c r="I145" s="493"/>
      <c r="J145" s="488"/>
      <c r="K145" s="488"/>
      <c r="L145" s="488"/>
      <c r="M145" s="488"/>
      <c r="N145" s="488"/>
      <c r="O145" s="488"/>
      <c r="P145" s="488"/>
      <c r="Q145" s="488"/>
      <c r="R145" s="488"/>
      <c r="S145" s="488"/>
      <c r="T145" s="488"/>
      <c r="U145" s="488"/>
      <c r="V145" s="488"/>
      <c r="W145" s="488"/>
      <c r="X145" s="488"/>
      <c r="Y145" s="488"/>
      <c r="Z145" s="488"/>
      <c r="AA145" s="488"/>
      <c r="AB145" s="488"/>
      <c r="AC145" s="488"/>
      <c r="AD145" s="488"/>
      <c r="AE145" s="488"/>
      <c r="AF145" s="488"/>
      <c r="AG145" s="488"/>
      <c r="AH145" s="488"/>
      <c r="AI145" s="488"/>
      <c r="AJ145" s="488"/>
    </row>
    <row r="146" spans="1:36" s="496" customFormat="1">
      <c r="A146" s="493"/>
      <c r="B146" s="522"/>
      <c r="C146" s="493"/>
      <c r="D146" s="493"/>
      <c r="E146" s="493"/>
      <c r="F146" s="493"/>
      <c r="G146" s="493"/>
      <c r="H146" s="493"/>
      <c r="I146" s="493"/>
      <c r="J146" s="488"/>
      <c r="K146" s="488"/>
      <c r="L146" s="488"/>
      <c r="M146" s="488"/>
      <c r="N146" s="488"/>
      <c r="O146" s="488"/>
      <c r="P146" s="488"/>
      <c r="Q146" s="488"/>
      <c r="R146" s="488"/>
      <c r="S146" s="488"/>
      <c r="T146" s="488"/>
      <c r="U146" s="488"/>
      <c r="V146" s="488"/>
      <c r="W146" s="488"/>
      <c r="X146" s="488"/>
      <c r="Y146" s="488"/>
      <c r="Z146" s="488"/>
      <c r="AA146" s="488"/>
      <c r="AB146" s="488"/>
      <c r="AC146" s="488"/>
      <c r="AD146" s="488"/>
      <c r="AE146" s="488"/>
      <c r="AF146" s="488"/>
      <c r="AG146" s="488"/>
      <c r="AH146" s="488"/>
      <c r="AI146" s="488"/>
      <c r="AJ146" s="488"/>
    </row>
    <row r="147" spans="1:36" s="496" customFormat="1">
      <c r="A147" s="493"/>
      <c r="B147" s="522"/>
      <c r="C147" s="493"/>
      <c r="D147" s="493"/>
      <c r="E147" s="493"/>
      <c r="F147" s="493"/>
      <c r="G147" s="493"/>
      <c r="H147" s="493"/>
      <c r="I147" s="493"/>
      <c r="J147" s="488"/>
      <c r="K147" s="488"/>
      <c r="L147" s="488"/>
      <c r="M147" s="488"/>
      <c r="N147" s="488"/>
      <c r="O147" s="488"/>
      <c r="P147" s="488"/>
      <c r="Q147" s="488"/>
      <c r="R147" s="488"/>
      <c r="S147" s="488"/>
      <c r="T147" s="488"/>
      <c r="U147" s="488"/>
      <c r="V147" s="488"/>
      <c r="W147" s="488"/>
      <c r="X147" s="488"/>
      <c r="Y147" s="488"/>
      <c r="Z147" s="488"/>
      <c r="AA147" s="488"/>
      <c r="AB147" s="488"/>
      <c r="AC147" s="488"/>
      <c r="AD147" s="488"/>
      <c r="AE147" s="488"/>
      <c r="AF147" s="488"/>
      <c r="AG147" s="488"/>
      <c r="AH147" s="488"/>
      <c r="AI147" s="488"/>
      <c r="AJ147" s="488"/>
    </row>
    <row r="148" spans="1:36" s="496" customFormat="1">
      <c r="A148" s="493"/>
      <c r="B148" s="522"/>
      <c r="C148" s="493"/>
      <c r="D148" s="493"/>
      <c r="E148" s="493"/>
      <c r="F148" s="493"/>
      <c r="G148" s="493"/>
      <c r="H148" s="493"/>
      <c r="I148" s="493"/>
      <c r="J148" s="488"/>
      <c r="K148" s="488"/>
      <c r="L148" s="488"/>
      <c r="M148" s="488"/>
      <c r="N148" s="488"/>
      <c r="O148" s="488"/>
      <c r="P148" s="488"/>
      <c r="Q148" s="488"/>
      <c r="R148" s="488"/>
      <c r="S148" s="488"/>
      <c r="T148" s="488"/>
      <c r="U148" s="488"/>
      <c r="V148" s="488"/>
      <c r="W148" s="488"/>
      <c r="X148" s="488"/>
      <c r="Y148" s="488"/>
      <c r="Z148" s="488"/>
      <c r="AA148" s="488"/>
      <c r="AB148" s="488"/>
      <c r="AC148" s="488"/>
      <c r="AD148" s="488"/>
      <c r="AE148" s="488"/>
      <c r="AF148" s="488"/>
      <c r="AG148" s="488"/>
      <c r="AH148" s="488"/>
      <c r="AI148" s="488"/>
      <c r="AJ148" s="488"/>
    </row>
    <row r="149" spans="1:36" s="496" customFormat="1">
      <c r="A149" s="493"/>
      <c r="B149" s="522"/>
      <c r="C149" s="493"/>
      <c r="D149" s="493"/>
      <c r="E149" s="493"/>
      <c r="F149" s="493"/>
      <c r="G149" s="493"/>
      <c r="H149" s="493"/>
      <c r="I149" s="493"/>
      <c r="J149" s="488"/>
      <c r="K149" s="488"/>
      <c r="L149" s="488"/>
      <c r="M149" s="488"/>
      <c r="N149" s="488"/>
      <c r="O149" s="488"/>
      <c r="P149" s="488"/>
      <c r="Q149" s="488"/>
      <c r="R149" s="488"/>
      <c r="S149" s="488"/>
      <c r="T149" s="488"/>
      <c r="U149" s="488"/>
      <c r="V149" s="488"/>
      <c r="W149" s="488"/>
      <c r="X149" s="488"/>
      <c r="Y149" s="488"/>
      <c r="Z149" s="488"/>
      <c r="AA149" s="488"/>
      <c r="AB149" s="488"/>
      <c r="AC149" s="488"/>
      <c r="AD149" s="488"/>
      <c r="AE149" s="488"/>
      <c r="AF149" s="488"/>
      <c r="AG149" s="488"/>
      <c r="AH149" s="488"/>
      <c r="AI149" s="488"/>
      <c r="AJ149" s="488"/>
    </row>
    <row r="150" spans="1:36" s="496" customFormat="1">
      <c r="A150" s="493"/>
      <c r="B150" s="522"/>
      <c r="C150" s="493"/>
      <c r="D150" s="493"/>
      <c r="E150" s="493"/>
      <c r="F150" s="493"/>
      <c r="G150" s="493"/>
      <c r="H150" s="493"/>
      <c r="I150" s="493"/>
      <c r="J150" s="488"/>
      <c r="K150" s="488"/>
      <c r="L150" s="488"/>
      <c r="M150" s="488"/>
      <c r="N150" s="488"/>
      <c r="O150" s="488"/>
      <c r="P150" s="488"/>
      <c r="Q150" s="488"/>
      <c r="R150" s="488"/>
      <c r="S150" s="488"/>
      <c r="T150" s="488"/>
      <c r="U150" s="488"/>
      <c r="V150" s="488"/>
      <c r="W150" s="488"/>
      <c r="X150" s="488"/>
      <c r="Y150" s="488"/>
      <c r="Z150" s="488"/>
      <c r="AA150" s="488"/>
      <c r="AB150" s="488"/>
      <c r="AC150" s="488"/>
      <c r="AD150" s="488"/>
      <c r="AE150" s="488"/>
      <c r="AF150" s="488"/>
      <c r="AG150" s="488"/>
      <c r="AH150" s="488"/>
      <c r="AI150" s="488"/>
      <c r="AJ150" s="488"/>
    </row>
    <row r="151" spans="1:36" s="496" customFormat="1">
      <c r="A151" s="493"/>
      <c r="B151" s="522"/>
      <c r="C151" s="493"/>
      <c r="D151" s="493"/>
      <c r="E151" s="493"/>
      <c r="F151" s="493"/>
      <c r="G151" s="493"/>
      <c r="H151" s="493"/>
      <c r="I151" s="493"/>
      <c r="J151" s="488"/>
      <c r="K151" s="488"/>
      <c r="L151" s="488"/>
      <c r="M151" s="488"/>
      <c r="N151" s="488"/>
      <c r="O151" s="488"/>
      <c r="P151" s="488"/>
      <c r="Q151" s="488"/>
      <c r="R151" s="488"/>
      <c r="S151" s="488"/>
      <c r="T151" s="488"/>
      <c r="U151" s="488"/>
      <c r="V151" s="488"/>
      <c r="W151" s="488"/>
      <c r="X151" s="488"/>
      <c r="Y151" s="488"/>
      <c r="Z151" s="488"/>
      <c r="AA151" s="488"/>
      <c r="AB151" s="488"/>
      <c r="AC151" s="488"/>
      <c r="AD151" s="488"/>
      <c r="AE151" s="488"/>
      <c r="AF151" s="488"/>
      <c r="AG151" s="488"/>
      <c r="AH151" s="488"/>
      <c r="AI151" s="488"/>
      <c r="AJ151" s="488"/>
    </row>
    <row r="152" spans="1:36" s="496" customFormat="1">
      <c r="A152" s="493"/>
      <c r="B152" s="522"/>
      <c r="C152" s="493"/>
      <c r="D152" s="493"/>
      <c r="E152" s="493"/>
      <c r="F152" s="493"/>
      <c r="G152" s="493"/>
      <c r="H152" s="493"/>
      <c r="I152" s="493"/>
      <c r="J152" s="488"/>
      <c r="K152" s="488"/>
      <c r="L152" s="488"/>
      <c r="M152" s="488"/>
      <c r="N152" s="488"/>
      <c r="O152" s="488"/>
      <c r="P152" s="488"/>
      <c r="Q152" s="488"/>
      <c r="R152" s="488"/>
      <c r="S152" s="488"/>
      <c r="T152" s="488"/>
      <c r="U152" s="488"/>
      <c r="V152" s="488"/>
      <c r="W152" s="488"/>
      <c r="X152" s="488"/>
      <c r="Y152" s="488"/>
      <c r="Z152" s="488"/>
      <c r="AA152" s="488"/>
      <c r="AB152" s="488"/>
      <c r="AC152" s="488"/>
      <c r="AD152" s="488"/>
      <c r="AE152" s="488"/>
      <c r="AF152" s="488"/>
      <c r="AG152" s="488"/>
      <c r="AH152" s="488"/>
      <c r="AI152" s="488"/>
      <c r="AJ152" s="488"/>
    </row>
    <row r="153" spans="1:36" s="496" customFormat="1">
      <c r="A153" s="493"/>
      <c r="B153" s="522"/>
      <c r="C153" s="493"/>
      <c r="D153" s="493"/>
      <c r="E153" s="493"/>
      <c r="F153" s="493"/>
      <c r="G153" s="493"/>
      <c r="H153" s="493"/>
      <c r="I153" s="493"/>
      <c r="J153" s="488"/>
      <c r="K153" s="488"/>
      <c r="L153" s="488"/>
      <c r="M153" s="488"/>
      <c r="N153" s="488"/>
      <c r="O153" s="488"/>
      <c r="P153" s="488"/>
      <c r="Q153" s="488"/>
      <c r="R153" s="488"/>
      <c r="S153" s="488"/>
      <c r="T153" s="488"/>
      <c r="U153" s="488"/>
      <c r="V153" s="488"/>
      <c r="W153" s="488"/>
      <c r="X153" s="488"/>
      <c r="Y153" s="488"/>
      <c r="Z153" s="488"/>
      <c r="AA153" s="488"/>
      <c r="AB153" s="488"/>
      <c r="AC153" s="488"/>
      <c r="AD153" s="488"/>
      <c r="AE153" s="488"/>
      <c r="AF153" s="488"/>
      <c r="AG153" s="488"/>
      <c r="AH153" s="488"/>
      <c r="AI153" s="488"/>
      <c r="AJ153" s="488"/>
    </row>
    <row r="154" spans="1:36" s="496" customFormat="1">
      <c r="A154" s="493"/>
      <c r="B154" s="522"/>
      <c r="C154" s="493"/>
      <c r="D154" s="493"/>
      <c r="E154" s="493"/>
      <c r="F154" s="493"/>
      <c r="G154" s="493"/>
      <c r="H154" s="493"/>
      <c r="I154" s="493"/>
      <c r="J154" s="488"/>
      <c r="K154" s="488"/>
      <c r="L154" s="488"/>
      <c r="M154" s="488"/>
      <c r="N154" s="488"/>
      <c r="O154" s="488"/>
      <c r="P154" s="488"/>
      <c r="Q154" s="488"/>
      <c r="R154" s="488"/>
      <c r="S154" s="488"/>
      <c r="T154" s="488"/>
      <c r="U154" s="488"/>
      <c r="V154" s="488"/>
      <c r="W154" s="488"/>
      <c r="X154" s="488"/>
      <c r="Y154" s="488"/>
      <c r="Z154" s="488"/>
      <c r="AA154" s="488"/>
      <c r="AB154" s="488"/>
      <c r="AC154" s="488"/>
      <c r="AD154" s="488"/>
      <c r="AE154" s="488"/>
      <c r="AF154" s="488"/>
      <c r="AG154" s="488"/>
      <c r="AH154" s="488"/>
      <c r="AI154" s="488"/>
      <c r="AJ154" s="488"/>
    </row>
    <row r="155" spans="1:36" s="496" customFormat="1">
      <c r="A155" s="493"/>
      <c r="B155" s="522"/>
      <c r="C155" s="493"/>
      <c r="D155" s="493"/>
      <c r="E155" s="493"/>
      <c r="F155" s="493"/>
      <c r="G155" s="493"/>
      <c r="H155" s="493"/>
      <c r="I155" s="493"/>
      <c r="J155" s="488"/>
      <c r="K155" s="488"/>
      <c r="L155" s="488"/>
      <c r="M155" s="488"/>
      <c r="N155" s="488"/>
      <c r="O155" s="488"/>
      <c r="P155" s="488"/>
      <c r="Q155" s="488"/>
      <c r="R155" s="488"/>
      <c r="S155" s="488"/>
      <c r="T155" s="488"/>
      <c r="U155" s="488"/>
      <c r="V155" s="488"/>
      <c r="W155" s="488"/>
      <c r="X155" s="488"/>
      <c r="Y155" s="488"/>
      <c r="Z155" s="488"/>
      <c r="AA155" s="488"/>
      <c r="AB155" s="488"/>
      <c r="AC155" s="488"/>
      <c r="AD155" s="488"/>
      <c r="AE155" s="488"/>
      <c r="AF155" s="488"/>
      <c r="AG155" s="488"/>
      <c r="AH155" s="488"/>
      <c r="AI155" s="488"/>
      <c r="AJ155" s="488"/>
    </row>
    <row r="156" spans="1:36" s="496" customFormat="1">
      <c r="A156" s="493"/>
      <c r="B156" s="522"/>
      <c r="C156" s="493"/>
      <c r="D156" s="493"/>
      <c r="E156" s="493"/>
      <c r="F156" s="493"/>
      <c r="G156" s="493"/>
      <c r="H156" s="493"/>
      <c r="I156" s="493"/>
      <c r="J156" s="488"/>
      <c r="K156" s="488"/>
      <c r="L156" s="488"/>
      <c r="M156" s="488"/>
      <c r="N156" s="488"/>
      <c r="O156" s="488"/>
      <c r="P156" s="488"/>
      <c r="Q156" s="488"/>
      <c r="R156" s="488"/>
      <c r="S156" s="488"/>
      <c r="T156" s="488"/>
      <c r="U156" s="488"/>
      <c r="V156" s="488"/>
      <c r="W156" s="488"/>
      <c r="X156" s="488"/>
      <c r="Y156" s="488"/>
      <c r="Z156" s="488"/>
      <c r="AA156" s="488"/>
      <c r="AB156" s="488"/>
      <c r="AC156" s="488"/>
      <c r="AD156" s="488"/>
      <c r="AE156" s="488"/>
      <c r="AF156" s="488"/>
      <c r="AG156" s="488"/>
      <c r="AH156" s="488"/>
      <c r="AI156" s="488"/>
      <c r="AJ156" s="488"/>
    </row>
    <row r="157" spans="1:36" s="496" customFormat="1">
      <c r="A157" s="493"/>
      <c r="B157" s="522"/>
      <c r="C157" s="493"/>
      <c r="D157" s="493"/>
      <c r="E157" s="493"/>
      <c r="F157" s="493"/>
      <c r="G157" s="493"/>
      <c r="H157" s="493"/>
      <c r="I157" s="493"/>
      <c r="J157" s="488"/>
      <c r="K157" s="488"/>
      <c r="L157" s="488"/>
      <c r="M157" s="488"/>
      <c r="N157" s="488"/>
      <c r="O157" s="488"/>
      <c r="P157" s="488"/>
      <c r="Q157" s="488"/>
      <c r="R157" s="488"/>
      <c r="S157" s="488"/>
      <c r="T157" s="488"/>
      <c r="U157" s="488"/>
      <c r="V157" s="488"/>
      <c r="W157" s="488"/>
      <c r="X157" s="488"/>
      <c r="Y157" s="488"/>
      <c r="Z157" s="488"/>
      <c r="AA157" s="488"/>
      <c r="AB157" s="488"/>
      <c r="AC157" s="488"/>
      <c r="AD157" s="488"/>
      <c r="AE157" s="488"/>
      <c r="AF157" s="488"/>
      <c r="AG157" s="488"/>
      <c r="AH157" s="488"/>
      <c r="AI157" s="488"/>
      <c r="AJ157" s="488"/>
    </row>
    <row r="158" spans="1:36" s="496" customFormat="1">
      <c r="A158" s="493"/>
      <c r="B158" s="522"/>
      <c r="C158" s="493"/>
      <c r="D158" s="493"/>
      <c r="E158" s="493"/>
      <c r="F158" s="493"/>
      <c r="G158" s="493"/>
      <c r="H158" s="493"/>
      <c r="I158" s="493"/>
      <c r="J158" s="488"/>
      <c r="K158" s="488"/>
      <c r="L158" s="488"/>
      <c r="M158" s="488"/>
      <c r="N158" s="488"/>
      <c r="O158" s="488"/>
      <c r="P158" s="488"/>
      <c r="Q158" s="488"/>
      <c r="R158" s="488"/>
      <c r="S158" s="488"/>
      <c r="T158" s="488"/>
      <c r="U158" s="488"/>
      <c r="V158" s="488"/>
      <c r="W158" s="488"/>
      <c r="X158" s="488"/>
      <c r="Y158" s="488"/>
      <c r="Z158" s="488"/>
      <c r="AA158" s="488"/>
      <c r="AB158" s="488"/>
      <c r="AC158" s="488"/>
      <c r="AD158" s="488"/>
      <c r="AE158" s="488"/>
      <c r="AF158" s="488"/>
      <c r="AG158" s="488"/>
      <c r="AH158" s="488"/>
      <c r="AI158" s="488"/>
      <c r="AJ158" s="488"/>
    </row>
    <row r="159" spans="1:36" s="496" customFormat="1">
      <c r="A159" s="493"/>
      <c r="B159" s="522"/>
      <c r="C159" s="493"/>
      <c r="D159" s="493"/>
      <c r="E159" s="493"/>
      <c r="F159" s="493"/>
      <c r="G159" s="493"/>
      <c r="H159" s="493"/>
      <c r="I159" s="493"/>
      <c r="J159" s="488"/>
      <c r="K159" s="488"/>
      <c r="L159" s="488"/>
      <c r="M159" s="488"/>
      <c r="N159" s="488"/>
      <c r="O159" s="488"/>
      <c r="P159" s="488"/>
      <c r="Q159" s="488"/>
      <c r="R159" s="488"/>
      <c r="S159" s="488"/>
      <c r="T159" s="488"/>
      <c r="U159" s="488"/>
      <c r="V159" s="488"/>
      <c r="W159" s="488"/>
      <c r="X159" s="488"/>
      <c r="Y159" s="488"/>
      <c r="Z159" s="488"/>
      <c r="AA159" s="488"/>
      <c r="AB159" s="488"/>
      <c r="AC159" s="488"/>
      <c r="AD159" s="488"/>
      <c r="AE159" s="488"/>
      <c r="AF159" s="488"/>
      <c r="AG159" s="488"/>
      <c r="AH159" s="488"/>
      <c r="AI159" s="488"/>
      <c r="AJ159" s="488"/>
    </row>
    <row r="160" spans="1:36" s="496" customFormat="1">
      <c r="A160" s="493"/>
      <c r="B160" s="522"/>
      <c r="C160" s="493"/>
      <c r="D160" s="493"/>
      <c r="E160" s="493"/>
      <c r="F160" s="493"/>
      <c r="G160" s="493"/>
      <c r="H160" s="493"/>
      <c r="I160" s="493"/>
      <c r="J160" s="488"/>
      <c r="K160" s="488"/>
      <c r="L160" s="488"/>
      <c r="M160" s="488"/>
      <c r="N160" s="488"/>
      <c r="O160" s="488"/>
      <c r="P160" s="488"/>
      <c r="Q160" s="488"/>
      <c r="R160" s="488"/>
      <c r="S160" s="488"/>
      <c r="T160" s="488"/>
      <c r="U160" s="488"/>
      <c r="V160" s="488"/>
      <c r="W160" s="488"/>
      <c r="X160" s="488"/>
      <c r="Y160" s="488"/>
      <c r="Z160" s="488"/>
      <c r="AA160" s="488"/>
      <c r="AB160" s="488"/>
      <c r="AC160" s="488"/>
      <c r="AD160" s="488"/>
      <c r="AE160" s="488"/>
      <c r="AF160" s="488"/>
      <c r="AG160" s="488"/>
      <c r="AH160" s="488"/>
      <c r="AI160" s="488"/>
      <c r="AJ160" s="488"/>
    </row>
    <row r="161" spans="1:36" s="496" customFormat="1">
      <c r="A161" s="493"/>
      <c r="B161" s="522"/>
      <c r="C161" s="493"/>
      <c r="D161" s="493"/>
      <c r="E161" s="493"/>
      <c r="F161" s="493"/>
      <c r="G161" s="493"/>
      <c r="H161" s="493"/>
      <c r="I161" s="493"/>
      <c r="J161" s="488"/>
      <c r="K161" s="488"/>
      <c r="L161" s="488"/>
      <c r="M161" s="488"/>
      <c r="N161" s="488"/>
      <c r="O161" s="488"/>
      <c r="P161" s="488"/>
      <c r="Q161" s="488"/>
      <c r="R161" s="488"/>
      <c r="S161" s="488"/>
      <c r="T161" s="488"/>
      <c r="U161" s="488"/>
      <c r="V161" s="488"/>
      <c r="W161" s="488"/>
      <c r="X161" s="488"/>
      <c r="Y161" s="488"/>
      <c r="Z161" s="488"/>
      <c r="AA161" s="488"/>
      <c r="AB161" s="488"/>
      <c r="AC161" s="488"/>
      <c r="AD161" s="488"/>
      <c r="AE161" s="488"/>
      <c r="AF161" s="488"/>
      <c r="AG161" s="488"/>
      <c r="AH161" s="488"/>
      <c r="AI161" s="488"/>
      <c r="AJ161" s="488"/>
    </row>
    <row r="162" spans="1:36" s="496" customFormat="1">
      <c r="A162" s="493"/>
      <c r="B162" s="522"/>
      <c r="C162" s="493"/>
      <c r="D162" s="493"/>
      <c r="E162" s="493"/>
      <c r="F162" s="493"/>
      <c r="G162" s="493"/>
      <c r="H162" s="493"/>
      <c r="I162" s="493"/>
      <c r="J162" s="488"/>
      <c r="K162" s="488"/>
      <c r="L162" s="488"/>
      <c r="M162" s="488"/>
      <c r="N162" s="488"/>
      <c r="O162" s="488"/>
      <c r="P162" s="488"/>
      <c r="Q162" s="488"/>
      <c r="R162" s="488"/>
      <c r="S162" s="488"/>
      <c r="T162" s="488"/>
      <c r="U162" s="488"/>
      <c r="V162" s="488"/>
      <c r="W162" s="488"/>
      <c r="X162" s="488"/>
      <c r="Y162" s="488"/>
      <c r="Z162" s="488"/>
      <c r="AA162" s="488"/>
      <c r="AB162" s="488"/>
      <c r="AC162" s="488"/>
      <c r="AD162" s="488"/>
      <c r="AE162" s="488"/>
      <c r="AF162" s="488"/>
      <c r="AG162" s="488"/>
      <c r="AH162" s="488"/>
      <c r="AI162" s="488"/>
      <c r="AJ162" s="488"/>
    </row>
    <row r="163" spans="1:36" s="496" customFormat="1">
      <c r="A163" s="493"/>
      <c r="B163" s="522"/>
      <c r="C163" s="493"/>
      <c r="D163" s="493"/>
      <c r="E163" s="493"/>
      <c r="F163" s="493"/>
      <c r="G163" s="493"/>
      <c r="H163" s="493"/>
      <c r="I163" s="493"/>
      <c r="J163" s="488"/>
      <c r="K163" s="488"/>
      <c r="L163" s="488"/>
      <c r="M163" s="488"/>
      <c r="N163" s="488"/>
      <c r="O163" s="488"/>
      <c r="P163" s="488"/>
      <c r="Q163" s="488"/>
      <c r="R163" s="488"/>
      <c r="S163" s="488"/>
      <c r="T163" s="488"/>
      <c r="U163" s="488"/>
      <c r="V163" s="488"/>
      <c r="W163" s="488"/>
      <c r="X163" s="488"/>
      <c r="Y163" s="488"/>
      <c r="Z163" s="488"/>
      <c r="AA163" s="488"/>
      <c r="AB163" s="488"/>
      <c r="AC163" s="488"/>
      <c r="AD163" s="488"/>
      <c r="AE163" s="488"/>
      <c r="AF163" s="488"/>
      <c r="AG163" s="488"/>
      <c r="AH163" s="488"/>
      <c r="AI163" s="488"/>
      <c r="AJ163" s="488"/>
    </row>
    <row r="164" spans="1:36" s="496" customFormat="1">
      <c r="A164" s="493"/>
      <c r="B164" s="522"/>
      <c r="C164" s="493"/>
      <c r="D164" s="493"/>
      <c r="E164" s="493"/>
      <c r="F164" s="493"/>
      <c r="G164" s="493"/>
      <c r="H164" s="493"/>
      <c r="I164" s="493"/>
      <c r="J164" s="488"/>
      <c r="K164" s="488"/>
      <c r="L164" s="488"/>
      <c r="M164" s="488"/>
      <c r="N164" s="488"/>
      <c r="O164" s="488"/>
      <c r="P164" s="488"/>
      <c r="Q164" s="488"/>
      <c r="R164" s="488"/>
      <c r="S164" s="488"/>
      <c r="T164" s="488"/>
      <c r="U164" s="488"/>
      <c r="V164" s="488"/>
      <c r="W164" s="488"/>
      <c r="X164" s="488"/>
      <c r="Y164" s="488"/>
      <c r="Z164" s="488"/>
      <c r="AA164" s="488"/>
      <c r="AB164" s="488"/>
      <c r="AC164" s="488"/>
      <c r="AD164" s="488"/>
      <c r="AE164" s="488"/>
      <c r="AF164" s="488"/>
      <c r="AG164" s="488"/>
      <c r="AH164" s="488"/>
      <c r="AI164" s="488"/>
      <c r="AJ164" s="488"/>
    </row>
    <row r="165" spans="1:36" s="496" customFormat="1">
      <c r="A165" s="493"/>
      <c r="B165" s="522"/>
      <c r="C165" s="493"/>
      <c r="D165" s="493"/>
      <c r="E165" s="493"/>
      <c r="F165" s="493"/>
      <c r="G165" s="493"/>
      <c r="H165" s="493"/>
      <c r="I165" s="493"/>
      <c r="J165" s="488"/>
      <c r="K165" s="488"/>
      <c r="L165" s="488"/>
      <c r="M165" s="488"/>
      <c r="N165" s="488"/>
      <c r="O165" s="488"/>
      <c r="P165" s="488"/>
      <c r="Q165" s="488"/>
      <c r="R165" s="488"/>
      <c r="S165" s="488"/>
      <c r="T165" s="488"/>
      <c r="U165" s="488"/>
      <c r="V165" s="488"/>
      <c r="W165" s="488"/>
      <c r="X165" s="488"/>
      <c r="Y165" s="488"/>
      <c r="Z165" s="488"/>
      <c r="AA165" s="488"/>
      <c r="AB165" s="488"/>
      <c r="AC165" s="488"/>
      <c r="AD165" s="488"/>
      <c r="AE165" s="488"/>
      <c r="AF165" s="488"/>
      <c r="AG165" s="488"/>
      <c r="AH165" s="488"/>
      <c r="AI165" s="488"/>
      <c r="AJ165" s="488"/>
    </row>
    <row r="166" spans="1:36" s="496" customFormat="1">
      <c r="A166" s="493"/>
      <c r="B166" s="522"/>
      <c r="C166" s="493"/>
      <c r="D166" s="493"/>
      <c r="E166" s="493"/>
      <c r="F166" s="493"/>
      <c r="G166" s="493"/>
      <c r="H166" s="493"/>
      <c r="I166" s="493"/>
      <c r="J166" s="488"/>
      <c r="K166" s="488"/>
      <c r="L166" s="488"/>
      <c r="M166" s="488"/>
      <c r="N166" s="488"/>
      <c r="O166" s="488"/>
      <c r="P166" s="488"/>
      <c r="Q166" s="488"/>
      <c r="R166" s="488"/>
      <c r="S166" s="488"/>
      <c r="T166" s="488"/>
      <c r="U166" s="488"/>
      <c r="V166" s="488"/>
      <c r="W166" s="488"/>
      <c r="X166" s="488"/>
      <c r="Y166" s="488"/>
      <c r="Z166" s="488"/>
      <c r="AA166" s="488"/>
      <c r="AB166" s="488"/>
      <c r="AC166" s="488"/>
      <c r="AD166" s="488"/>
      <c r="AE166" s="488"/>
      <c r="AF166" s="488"/>
      <c r="AG166" s="488"/>
      <c r="AH166" s="488"/>
      <c r="AI166" s="488"/>
      <c r="AJ166" s="488"/>
    </row>
    <row r="167" spans="1:36" s="496" customFormat="1">
      <c r="A167" s="493"/>
      <c r="B167" s="522"/>
      <c r="C167" s="493"/>
      <c r="D167" s="493"/>
      <c r="E167" s="493"/>
      <c r="F167" s="493"/>
      <c r="G167" s="493"/>
      <c r="H167" s="493"/>
      <c r="I167" s="493"/>
      <c r="J167" s="488"/>
      <c r="K167" s="488"/>
      <c r="L167" s="488"/>
      <c r="M167" s="488"/>
      <c r="N167" s="488"/>
      <c r="O167" s="488"/>
      <c r="P167" s="488"/>
      <c r="Q167" s="488"/>
      <c r="R167" s="488"/>
      <c r="S167" s="488"/>
      <c r="T167" s="488"/>
      <c r="U167" s="488"/>
      <c r="V167" s="488"/>
      <c r="W167" s="488"/>
      <c r="X167" s="488"/>
      <c r="Y167" s="488"/>
      <c r="Z167" s="488"/>
      <c r="AA167" s="488"/>
      <c r="AB167" s="488"/>
      <c r="AC167" s="488"/>
      <c r="AD167" s="488"/>
      <c r="AE167" s="488"/>
      <c r="AF167" s="488"/>
      <c r="AG167" s="488"/>
      <c r="AH167" s="488"/>
      <c r="AI167" s="488"/>
      <c r="AJ167" s="488"/>
    </row>
    <row r="168" spans="1:36" s="496" customFormat="1">
      <c r="A168" s="493"/>
      <c r="B168" s="522"/>
      <c r="C168" s="493"/>
      <c r="D168" s="493"/>
      <c r="E168" s="493"/>
      <c r="F168" s="493"/>
      <c r="G168" s="493"/>
      <c r="H168" s="493"/>
      <c r="I168" s="493"/>
      <c r="J168" s="488"/>
      <c r="K168" s="488"/>
      <c r="L168" s="488"/>
      <c r="M168" s="488"/>
      <c r="N168" s="488"/>
      <c r="O168" s="488"/>
      <c r="P168" s="488"/>
      <c r="Q168" s="488"/>
      <c r="R168" s="488"/>
      <c r="S168" s="488"/>
      <c r="T168" s="488"/>
      <c r="U168" s="488"/>
      <c r="V168" s="488"/>
      <c r="W168" s="488"/>
      <c r="X168" s="488"/>
      <c r="Y168" s="488"/>
      <c r="Z168" s="488"/>
      <c r="AA168" s="488"/>
      <c r="AB168" s="488"/>
      <c r="AC168" s="488"/>
      <c r="AD168" s="488"/>
      <c r="AE168" s="488"/>
      <c r="AF168" s="488"/>
      <c r="AG168" s="488"/>
      <c r="AH168" s="488"/>
      <c r="AI168" s="488"/>
      <c r="AJ168" s="488"/>
    </row>
    <row r="169" spans="1:36" s="496" customFormat="1">
      <c r="A169" s="493"/>
      <c r="B169" s="522"/>
      <c r="C169" s="493"/>
      <c r="D169" s="493"/>
      <c r="E169" s="493"/>
      <c r="F169" s="493"/>
      <c r="G169" s="493"/>
      <c r="H169" s="493"/>
      <c r="I169" s="493"/>
      <c r="J169" s="488"/>
      <c r="K169" s="488"/>
      <c r="L169" s="488"/>
      <c r="M169" s="488"/>
      <c r="N169" s="488"/>
      <c r="O169" s="488"/>
      <c r="P169" s="488"/>
      <c r="Q169" s="488"/>
      <c r="R169" s="488"/>
      <c r="S169" s="488"/>
      <c r="T169" s="488"/>
      <c r="U169" s="488"/>
      <c r="V169" s="488"/>
      <c r="W169" s="488"/>
      <c r="X169" s="488"/>
      <c r="Y169" s="488"/>
      <c r="Z169" s="488"/>
      <c r="AA169" s="488"/>
      <c r="AB169" s="488"/>
      <c r="AC169" s="488"/>
      <c r="AD169" s="488"/>
      <c r="AE169" s="488"/>
      <c r="AF169" s="488"/>
      <c r="AG169" s="488"/>
      <c r="AH169" s="488"/>
      <c r="AI169" s="488"/>
      <c r="AJ169" s="488"/>
    </row>
    <row r="170" spans="1:36" s="496" customFormat="1">
      <c r="A170" s="493"/>
      <c r="B170" s="522"/>
      <c r="C170" s="493"/>
      <c r="D170" s="493"/>
      <c r="E170" s="493"/>
      <c r="F170" s="493"/>
      <c r="G170" s="493"/>
      <c r="H170" s="493"/>
      <c r="I170" s="493"/>
      <c r="J170" s="488"/>
      <c r="K170" s="488"/>
      <c r="L170" s="488"/>
      <c r="M170" s="488"/>
      <c r="N170" s="488"/>
      <c r="O170" s="488"/>
      <c r="P170" s="488"/>
      <c r="Q170" s="488"/>
      <c r="R170" s="488"/>
      <c r="S170" s="488"/>
      <c r="T170" s="488"/>
      <c r="U170" s="488"/>
      <c r="V170" s="488"/>
      <c r="W170" s="488"/>
      <c r="X170" s="488"/>
      <c r="Y170" s="488"/>
      <c r="Z170" s="488"/>
      <c r="AA170" s="488"/>
      <c r="AB170" s="488"/>
      <c r="AC170" s="488"/>
      <c r="AD170" s="488"/>
      <c r="AE170" s="488"/>
      <c r="AF170" s="488"/>
      <c r="AG170" s="488"/>
      <c r="AH170" s="488"/>
      <c r="AI170" s="488"/>
      <c r="AJ170" s="488"/>
    </row>
    <row r="171" spans="1:36" s="496" customFormat="1">
      <c r="A171" s="493"/>
      <c r="B171" s="522"/>
      <c r="C171" s="493"/>
      <c r="D171" s="493"/>
      <c r="E171" s="493"/>
      <c r="F171" s="493"/>
      <c r="G171" s="493"/>
      <c r="H171" s="493"/>
      <c r="I171" s="493"/>
      <c r="J171" s="488"/>
      <c r="K171" s="488"/>
      <c r="L171" s="488"/>
      <c r="M171" s="488"/>
      <c r="N171" s="488"/>
      <c r="O171" s="488"/>
      <c r="P171" s="488"/>
      <c r="Q171" s="488"/>
      <c r="R171" s="488"/>
      <c r="S171" s="488"/>
      <c r="T171" s="488"/>
      <c r="U171" s="488"/>
      <c r="V171" s="488"/>
      <c r="W171" s="488"/>
      <c r="X171" s="488"/>
      <c r="Y171" s="488"/>
      <c r="Z171" s="488"/>
      <c r="AA171" s="488"/>
      <c r="AB171" s="488"/>
      <c r="AC171" s="488"/>
      <c r="AD171" s="488"/>
      <c r="AE171" s="488"/>
      <c r="AF171" s="488"/>
      <c r="AG171" s="488"/>
      <c r="AH171" s="488"/>
      <c r="AI171" s="488"/>
      <c r="AJ171" s="488"/>
    </row>
    <row r="172" spans="1:36" s="496" customFormat="1">
      <c r="A172" s="493"/>
      <c r="B172" s="522"/>
      <c r="C172" s="493"/>
      <c r="D172" s="493"/>
      <c r="E172" s="493"/>
      <c r="F172" s="493"/>
      <c r="G172" s="493"/>
      <c r="H172" s="493"/>
      <c r="I172" s="493"/>
      <c r="J172" s="488"/>
      <c r="K172" s="488"/>
      <c r="L172" s="488"/>
      <c r="M172" s="488"/>
      <c r="N172" s="488"/>
      <c r="O172" s="488"/>
      <c r="P172" s="488"/>
      <c r="Q172" s="488"/>
      <c r="R172" s="488"/>
      <c r="S172" s="488"/>
      <c r="T172" s="488"/>
      <c r="U172" s="488"/>
      <c r="V172" s="488"/>
      <c r="W172" s="488"/>
      <c r="X172" s="488"/>
      <c r="Y172" s="488"/>
      <c r="Z172" s="488"/>
      <c r="AA172" s="488"/>
      <c r="AB172" s="488"/>
      <c r="AC172" s="488"/>
      <c r="AD172" s="488"/>
      <c r="AE172" s="488"/>
      <c r="AF172" s="488"/>
      <c r="AG172" s="488"/>
      <c r="AH172" s="488"/>
      <c r="AI172" s="488"/>
      <c r="AJ172" s="488"/>
    </row>
    <row r="173" spans="1:36" s="496" customFormat="1">
      <c r="A173" s="493"/>
      <c r="B173" s="522"/>
      <c r="C173" s="493"/>
      <c r="D173" s="493"/>
      <c r="E173" s="493"/>
      <c r="F173" s="493"/>
      <c r="G173" s="493"/>
      <c r="H173" s="493"/>
      <c r="I173" s="493"/>
      <c r="J173" s="488"/>
      <c r="K173" s="488"/>
      <c r="L173" s="488"/>
      <c r="M173" s="488"/>
      <c r="N173" s="488"/>
      <c r="O173" s="488"/>
      <c r="P173" s="488"/>
      <c r="Q173" s="488"/>
      <c r="R173" s="488"/>
      <c r="S173" s="488"/>
      <c r="T173" s="488"/>
      <c r="U173" s="488"/>
      <c r="V173" s="488"/>
      <c r="W173" s="488"/>
      <c r="X173" s="488"/>
      <c r="Y173" s="488"/>
      <c r="Z173" s="488"/>
      <c r="AA173" s="488"/>
      <c r="AB173" s="488"/>
      <c r="AC173" s="488"/>
      <c r="AD173" s="488"/>
      <c r="AE173" s="488"/>
      <c r="AF173" s="488"/>
      <c r="AG173" s="488"/>
      <c r="AH173" s="488"/>
      <c r="AI173" s="488"/>
      <c r="AJ173" s="488"/>
    </row>
    <row r="174" spans="1:36" s="496" customFormat="1">
      <c r="A174" s="493"/>
      <c r="B174" s="522"/>
      <c r="C174" s="493"/>
      <c r="D174" s="493"/>
      <c r="E174" s="493"/>
      <c r="F174" s="493"/>
      <c r="G174" s="493"/>
      <c r="H174" s="493"/>
      <c r="I174" s="493"/>
      <c r="J174" s="488"/>
      <c r="K174" s="488"/>
      <c r="L174" s="488"/>
      <c r="M174" s="488"/>
      <c r="N174" s="488"/>
      <c r="O174" s="488"/>
      <c r="P174" s="488"/>
      <c r="Q174" s="488"/>
      <c r="R174" s="488"/>
      <c r="S174" s="488"/>
      <c r="T174" s="488"/>
      <c r="U174" s="488"/>
      <c r="V174" s="488"/>
      <c r="W174" s="488"/>
      <c r="X174" s="488"/>
      <c r="Y174" s="488"/>
      <c r="Z174" s="488"/>
      <c r="AA174" s="488"/>
      <c r="AB174" s="488"/>
      <c r="AC174" s="488"/>
      <c r="AD174" s="488"/>
      <c r="AE174" s="488"/>
      <c r="AF174" s="488"/>
      <c r="AG174" s="488"/>
      <c r="AH174" s="488"/>
      <c r="AI174" s="488"/>
      <c r="AJ174" s="488"/>
    </row>
    <row r="175" spans="1:36" s="496" customFormat="1">
      <c r="A175" s="493"/>
      <c r="B175" s="522"/>
      <c r="C175" s="493"/>
      <c r="D175" s="493"/>
      <c r="E175" s="493"/>
      <c r="F175" s="493"/>
      <c r="G175" s="493"/>
      <c r="H175" s="493"/>
      <c r="I175" s="493"/>
      <c r="J175" s="488"/>
      <c r="K175" s="488"/>
      <c r="L175" s="488"/>
      <c r="M175" s="488"/>
      <c r="N175" s="488"/>
      <c r="O175" s="488"/>
      <c r="P175" s="488"/>
      <c r="Q175" s="488"/>
      <c r="R175" s="488"/>
      <c r="S175" s="488"/>
      <c r="T175" s="488"/>
      <c r="U175" s="488"/>
      <c r="V175" s="488"/>
      <c r="W175" s="488"/>
      <c r="X175" s="488"/>
      <c r="Y175" s="488"/>
      <c r="Z175" s="488"/>
      <c r="AA175" s="488"/>
      <c r="AB175" s="488"/>
      <c r="AC175" s="488"/>
      <c r="AD175" s="488"/>
      <c r="AE175" s="488"/>
      <c r="AF175" s="488"/>
      <c r="AG175" s="488"/>
      <c r="AH175" s="488"/>
      <c r="AI175" s="488"/>
      <c r="AJ175" s="488"/>
    </row>
    <row r="176" spans="1:36" s="496" customFormat="1">
      <c r="A176" s="493"/>
      <c r="B176" s="522"/>
      <c r="C176" s="493"/>
      <c r="D176" s="493"/>
      <c r="E176" s="493"/>
      <c r="F176" s="493"/>
      <c r="G176" s="493"/>
      <c r="H176" s="493"/>
      <c r="I176" s="493"/>
      <c r="J176" s="488"/>
      <c r="K176" s="488"/>
      <c r="L176" s="488"/>
      <c r="M176" s="488"/>
      <c r="N176" s="488"/>
      <c r="O176" s="488"/>
      <c r="P176" s="488"/>
      <c r="Q176" s="488"/>
      <c r="R176" s="488"/>
      <c r="S176" s="488"/>
      <c r="T176" s="488"/>
      <c r="U176" s="488"/>
      <c r="V176" s="488"/>
      <c r="W176" s="488"/>
      <c r="X176" s="488"/>
      <c r="Y176" s="488"/>
      <c r="Z176" s="488"/>
      <c r="AA176" s="488"/>
      <c r="AB176" s="488"/>
      <c r="AC176" s="488"/>
      <c r="AD176" s="488"/>
      <c r="AE176" s="488"/>
      <c r="AF176" s="488"/>
      <c r="AG176" s="488"/>
      <c r="AH176" s="488"/>
      <c r="AI176" s="488"/>
      <c r="AJ176" s="488"/>
    </row>
    <row r="177" spans="1:36" s="496" customFormat="1">
      <c r="A177" s="493"/>
      <c r="B177" s="522"/>
      <c r="C177" s="493"/>
      <c r="D177" s="493"/>
      <c r="E177" s="493"/>
      <c r="F177" s="493"/>
      <c r="G177" s="493"/>
      <c r="H177" s="493"/>
      <c r="I177" s="493"/>
      <c r="J177" s="488"/>
      <c r="K177" s="488"/>
      <c r="L177" s="488"/>
      <c r="M177" s="488"/>
      <c r="N177" s="488"/>
      <c r="O177" s="488"/>
      <c r="P177" s="488"/>
      <c r="Q177" s="488"/>
      <c r="R177" s="488"/>
      <c r="S177" s="488"/>
      <c r="T177" s="488"/>
      <c r="U177" s="488"/>
      <c r="V177" s="488"/>
      <c r="W177" s="488"/>
      <c r="X177" s="488"/>
      <c r="Y177" s="488"/>
      <c r="Z177" s="488"/>
      <c r="AA177" s="488"/>
      <c r="AB177" s="488"/>
      <c r="AC177" s="488"/>
      <c r="AD177" s="488"/>
      <c r="AE177" s="488"/>
      <c r="AF177" s="488"/>
      <c r="AG177" s="488"/>
      <c r="AH177" s="488"/>
      <c r="AI177" s="488"/>
      <c r="AJ177" s="488"/>
    </row>
    <row r="178" spans="1:36" s="496" customFormat="1">
      <c r="A178" s="493"/>
      <c r="B178" s="522"/>
      <c r="C178" s="493"/>
      <c r="D178" s="493"/>
      <c r="E178" s="493"/>
      <c r="F178" s="493"/>
      <c r="G178" s="493"/>
      <c r="H178" s="493"/>
      <c r="I178" s="493"/>
      <c r="J178" s="488"/>
      <c r="K178" s="488"/>
      <c r="L178" s="488"/>
      <c r="M178" s="488"/>
      <c r="N178" s="488"/>
      <c r="O178" s="488"/>
      <c r="P178" s="488"/>
      <c r="Q178" s="488"/>
      <c r="R178" s="488"/>
      <c r="S178" s="488"/>
      <c r="T178" s="488"/>
      <c r="U178" s="488"/>
      <c r="V178" s="488"/>
      <c r="W178" s="488"/>
      <c r="X178" s="488"/>
      <c r="Y178" s="488"/>
      <c r="Z178" s="488"/>
      <c r="AA178" s="488"/>
      <c r="AB178" s="488"/>
      <c r="AC178" s="488"/>
      <c r="AD178" s="488"/>
      <c r="AE178" s="488"/>
      <c r="AF178" s="488"/>
      <c r="AG178" s="488"/>
      <c r="AH178" s="488"/>
      <c r="AI178" s="488"/>
      <c r="AJ178" s="488"/>
    </row>
    <row r="179" spans="1:36" s="496" customFormat="1">
      <c r="A179" s="493"/>
      <c r="B179" s="522"/>
      <c r="C179" s="493"/>
      <c r="D179" s="493"/>
      <c r="E179" s="493"/>
      <c r="F179" s="493"/>
      <c r="G179" s="493"/>
      <c r="H179" s="493"/>
      <c r="I179" s="493"/>
      <c r="J179" s="488"/>
      <c r="K179" s="488"/>
      <c r="L179" s="488"/>
      <c r="M179" s="488"/>
      <c r="N179" s="488"/>
      <c r="O179" s="488"/>
      <c r="P179" s="488"/>
      <c r="Q179" s="488"/>
      <c r="R179" s="488"/>
      <c r="S179" s="488"/>
      <c r="T179" s="488"/>
      <c r="U179" s="488"/>
      <c r="V179" s="488"/>
      <c r="W179" s="488"/>
      <c r="X179" s="488"/>
      <c r="Y179" s="488"/>
      <c r="Z179" s="488"/>
      <c r="AA179" s="488"/>
      <c r="AB179" s="488"/>
      <c r="AC179" s="488"/>
      <c r="AD179" s="488"/>
      <c r="AE179" s="488"/>
      <c r="AF179" s="488"/>
      <c r="AG179" s="488"/>
      <c r="AH179" s="488"/>
      <c r="AI179" s="488"/>
      <c r="AJ179" s="488"/>
    </row>
    <row r="180" spans="1:36" s="496" customFormat="1">
      <c r="A180" s="493"/>
      <c r="B180" s="522"/>
      <c r="C180" s="493"/>
      <c r="D180" s="493"/>
      <c r="E180" s="493"/>
      <c r="F180" s="493"/>
      <c r="G180" s="493"/>
      <c r="H180" s="493"/>
      <c r="I180" s="493"/>
      <c r="J180" s="488"/>
      <c r="K180" s="488"/>
      <c r="L180" s="488"/>
      <c r="M180" s="488"/>
      <c r="N180" s="488"/>
      <c r="O180" s="488"/>
      <c r="P180" s="488"/>
      <c r="Q180" s="488"/>
      <c r="R180" s="488"/>
      <c r="S180" s="488"/>
      <c r="T180" s="488"/>
      <c r="U180" s="488"/>
      <c r="V180" s="488"/>
      <c r="W180" s="488"/>
      <c r="X180" s="488"/>
      <c r="Y180" s="488"/>
      <c r="Z180" s="488"/>
      <c r="AA180" s="488"/>
      <c r="AB180" s="488"/>
      <c r="AC180" s="488"/>
      <c r="AD180" s="488"/>
      <c r="AE180" s="488"/>
      <c r="AF180" s="488"/>
      <c r="AG180" s="488"/>
      <c r="AH180" s="488"/>
      <c r="AI180" s="488"/>
      <c r="AJ180" s="488"/>
    </row>
    <row r="181" spans="1:36" s="496" customFormat="1">
      <c r="A181" s="493"/>
      <c r="B181" s="522"/>
      <c r="C181" s="493"/>
      <c r="D181" s="493"/>
      <c r="E181" s="493"/>
      <c r="F181" s="493"/>
      <c r="G181" s="493"/>
      <c r="H181" s="493"/>
      <c r="I181" s="493"/>
      <c r="J181" s="488"/>
      <c r="K181" s="488"/>
      <c r="L181" s="488"/>
      <c r="M181" s="488"/>
      <c r="N181" s="488"/>
      <c r="O181" s="488"/>
      <c r="P181" s="488"/>
      <c r="Q181" s="488"/>
      <c r="R181" s="488"/>
      <c r="S181" s="488"/>
      <c r="T181" s="488"/>
      <c r="U181" s="488"/>
      <c r="V181" s="488"/>
      <c r="W181" s="488"/>
      <c r="X181" s="488"/>
      <c r="Y181" s="488"/>
      <c r="Z181" s="488"/>
      <c r="AA181" s="488"/>
      <c r="AB181" s="488"/>
      <c r="AC181" s="488"/>
      <c r="AD181" s="488"/>
      <c r="AE181" s="488"/>
      <c r="AF181" s="488"/>
      <c r="AG181" s="488"/>
      <c r="AH181" s="488"/>
      <c r="AI181" s="488"/>
      <c r="AJ181" s="488"/>
    </row>
    <row r="182" spans="1:36" s="496" customFormat="1">
      <c r="A182" s="493"/>
      <c r="B182" s="522"/>
      <c r="C182" s="493"/>
      <c r="D182" s="493"/>
      <c r="E182" s="493"/>
      <c r="F182" s="493"/>
      <c r="G182" s="493"/>
      <c r="H182" s="493"/>
      <c r="I182" s="493"/>
      <c r="J182" s="488"/>
      <c r="K182" s="488"/>
      <c r="L182" s="488"/>
      <c r="M182" s="488"/>
      <c r="N182" s="488"/>
      <c r="O182" s="488"/>
      <c r="P182" s="488"/>
      <c r="Q182" s="488"/>
      <c r="R182" s="488"/>
      <c r="S182" s="488"/>
      <c r="T182" s="488"/>
      <c r="U182" s="488"/>
      <c r="V182" s="488"/>
      <c r="W182" s="488"/>
      <c r="X182" s="488"/>
      <c r="Y182" s="488"/>
      <c r="Z182" s="488"/>
      <c r="AA182" s="488"/>
      <c r="AB182" s="488"/>
      <c r="AC182" s="488"/>
      <c r="AD182" s="488"/>
      <c r="AE182" s="488"/>
      <c r="AF182" s="488"/>
      <c r="AG182" s="488"/>
      <c r="AH182" s="488"/>
      <c r="AI182" s="488"/>
      <c r="AJ182" s="488"/>
    </row>
    <row r="183" spans="1:36" s="496" customFormat="1">
      <c r="A183" s="493"/>
      <c r="B183" s="522"/>
      <c r="C183" s="493"/>
      <c r="D183" s="493"/>
      <c r="E183" s="493"/>
      <c r="F183" s="493"/>
      <c r="G183" s="493"/>
      <c r="H183" s="493"/>
      <c r="I183" s="493"/>
      <c r="J183" s="488"/>
      <c r="K183" s="488"/>
      <c r="L183" s="488"/>
      <c r="M183" s="488"/>
      <c r="N183" s="488"/>
      <c r="O183" s="488"/>
      <c r="P183" s="488"/>
      <c r="Q183" s="488"/>
      <c r="R183" s="488"/>
      <c r="S183" s="488"/>
      <c r="T183" s="488"/>
      <c r="U183" s="488"/>
      <c r="V183" s="488"/>
      <c r="W183" s="488"/>
      <c r="X183" s="488"/>
      <c r="Y183" s="488"/>
      <c r="Z183" s="488"/>
      <c r="AA183" s="488"/>
      <c r="AB183" s="488"/>
      <c r="AC183" s="488"/>
      <c r="AD183" s="488"/>
      <c r="AE183" s="488"/>
      <c r="AF183" s="488"/>
      <c r="AG183" s="488"/>
      <c r="AH183" s="488"/>
      <c r="AI183" s="488"/>
      <c r="AJ183" s="488"/>
    </row>
    <row r="184" spans="1:36" s="496" customFormat="1">
      <c r="A184" s="493"/>
      <c r="B184" s="522"/>
      <c r="C184" s="493"/>
      <c r="D184" s="493"/>
      <c r="E184" s="493"/>
      <c r="F184" s="493"/>
      <c r="G184" s="493"/>
      <c r="H184" s="493"/>
      <c r="I184" s="493"/>
      <c r="J184" s="488"/>
      <c r="K184" s="488"/>
      <c r="L184" s="488"/>
      <c r="M184" s="488"/>
      <c r="N184" s="488"/>
      <c r="O184" s="488"/>
      <c r="P184" s="488"/>
      <c r="Q184" s="488"/>
      <c r="R184" s="488"/>
      <c r="S184" s="488"/>
      <c r="T184" s="488"/>
      <c r="U184" s="488"/>
      <c r="V184" s="488"/>
      <c r="W184" s="488"/>
      <c r="X184" s="488"/>
      <c r="Y184" s="488"/>
      <c r="Z184" s="488"/>
      <c r="AA184" s="488"/>
      <c r="AB184" s="488"/>
      <c r="AC184" s="488"/>
      <c r="AD184" s="488"/>
      <c r="AE184" s="488"/>
      <c r="AF184" s="488"/>
      <c r="AG184" s="488"/>
      <c r="AH184" s="488"/>
      <c r="AI184" s="488"/>
      <c r="AJ184" s="488"/>
    </row>
    <row r="185" spans="1:36" s="496" customFormat="1">
      <c r="A185" s="493"/>
      <c r="B185" s="522"/>
      <c r="C185" s="493"/>
      <c r="D185" s="493"/>
      <c r="E185" s="493"/>
      <c r="F185" s="493"/>
      <c r="G185" s="493"/>
      <c r="H185" s="493"/>
      <c r="I185" s="493"/>
      <c r="J185" s="488"/>
      <c r="K185" s="488"/>
      <c r="L185" s="488"/>
      <c r="M185" s="488"/>
      <c r="N185" s="488"/>
      <c r="O185" s="488"/>
      <c r="P185" s="488"/>
      <c r="Q185" s="488"/>
      <c r="R185" s="488"/>
      <c r="S185" s="488"/>
      <c r="T185" s="488"/>
      <c r="U185" s="488"/>
      <c r="V185" s="488"/>
      <c r="W185" s="488"/>
      <c r="X185" s="488"/>
      <c r="Y185" s="488"/>
      <c r="Z185" s="488"/>
      <c r="AA185" s="488"/>
      <c r="AB185" s="488"/>
      <c r="AC185" s="488"/>
      <c r="AD185" s="488"/>
      <c r="AE185" s="488"/>
      <c r="AF185" s="488"/>
      <c r="AG185" s="488"/>
      <c r="AH185" s="488"/>
      <c r="AI185" s="488"/>
      <c r="AJ185" s="488"/>
    </row>
    <row r="186" spans="1:36" s="496" customFormat="1">
      <c r="A186" s="493"/>
      <c r="B186" s="522"/>
      <c r="C186" s="493"/>
      <c r="D186" s="493"/>
      <c r="E186" s="493"/>
      <c r="F186" s="493"/>
      <c r="G186" s="493"/>
      <c r="H186" s="493"/>
      <c r="I186" s="493"/>
      <c r="J186" s="488"/>
      <c r="K186" s="488"/>
      <c r="L186" s="488"/>
      <c r="M186" s="488"/>
      <c r="N186" s="488"/>
      <c r="O186" s="488"/>
      <c r="P186" s="488"/>
      <c r="Q186" s="488"/>
      <c r="R186" s="488"/>
      <c r="S186" s="488"/>
      <c r="T186" s="488"/>
      <c r="U186" s="488"/>
      <c r="V186" s="488"/>
      <c r="W186" s="488"/>
      <c r="X186" s="488"/>
      <c r="Y186" s="488"/>
      <c r="Z186" s="488"/>
      <c r="AA186" s="488"/>
      <c r="AB186" s="488"/>
      <c r="AC186" s="488"/>
      <c r="AD186" s="488"/>
      <c r="AE186" s="488"/>
      <c r="AF186" s="488"/>
      <c r="AG186" s="488"/>
      <c r="AH186" s="488"/>
      <c r="AI186" s="488"/>
      <c r="AJ186" s="488"/>
    </row>
    <row r="187" spans="1:36" s="496" customFormat="1">
      <c r="A187" s="493"/>
      <c r="B187" s="522"/>
      <c r="C187" s="493"/>
      <c r="D187" s="493"/>
      <c r="E187" s="493"/>
      <c r="F187" s="493"/>
      <c r="G187" s="493"/>
      <c r="H187" s="493"/>
      <c r="I187" s="493"/>
      <c r="J187" s="488"/>
      <c r="K187" s="488"/>
      <c r="L187" s="488"/>
      <c r="M187" s="488"/>
      <c r="N187" s="488"/>
      <c r="O187" s="488"/>
      <c r="P187" s="488"/>
      <c r="Q187" s="488"/>
      <c r="R187" s="488"/>
      <c r="S187" s="488"/>
      <c r="T187" s="488"/>
      <c r="U187" s="488"/>
      <c r="V187" s="488"/>
      <c r="W187" s="488"/>
      <c r="X187" s="488"/>
      <c r="Y187" s="488"/>
      <c r="Z187" s="488"/>
      <c r="AA187" s="488"/>
      <c r="AB187" s="488"/>
      <c r="AC187" s="488"/>
      <c r="AD187" s="488"/>
      <c r="AE187" s="488"/>
      <c r="AF187" s="488"/>
      <c r="AG187" s="488"/>
      <c r="AH187" s="488"/>
      <c r="AI187" s="488"/>
      <c r="AJ187" s="488"/>
    </row>
    <row r="188" spans="1:36" s="496" customFormat="1">
      <c r="A188" s="493"/>
      <c r="B188" s="522"/>
      <c r="C188" s="493"/>
      <c r="D188" s="493"/>
      <c r="E188" s="493"/>
      <c r="F188" s="493"/>
      <c r="G188" s="493"/>
      <c r="H188" s="493"/>
      <c r="I188" s="493"/>
      <c r="J188" s="488"/>
      <c r="K188" s="488"/>
      <c r="L188" s="488"/>
      <c r="M188" s="488"/>
      <c r="N188" s="488"/>
      <c r="O188" s="488"/>
      <c r="P188" s="488"/>
      <c r="Q188" s="488"/>
      <c r="R188" s="488"/>
      <c r="S188" s="488"/>
      <c r="T188" s="488"/>
      <c r="U188" s="488"/>
      <c r="V188" s="488"/>
      <c r="W188" s="488"/>
      <c r="X188" s="488"/>
      <c r="Y188" s="488"/>
      <c r="Z188" s="488"/>
      <c r="AA188" s="488"/>
      <c r="AB188" s="488"/>
      <c r="AC188" s="488"/>
      <c r="AD188" s="488"/>
      <c r="AE188" s="488"/>
      <c r="AF188" s="488"/>
      <c r="AG188" s="488"/>
      <c r="AH188" s="488"/>
      <c r="AI188" s="488"/>
      <c r="AJ188" s="488"/>
    </row>
    <row r="189" spans="1:36" s="496" customFormat="1">
      <c r="A189" s="493"/>
      <c r="B189" s="522"/>
      <c r="C189" s="493"/>
      <c r="D189" s="493"/>
      <c r="E189" s="493"/>
      <c r="F189" s="493"/>
      <c r="G189" s="493"/>
      <c r="H189" s="493"/>
      <c r="I189" s="493"/>
      <c r="J189" s="488"/>
      <c r="K189" s="488"/>
      <c r="L189" s="488"/>
      <c r="M189" s="488"/>
      <c r="N189" s="488"/>
      <c r="O189" s="488"/>
      <c r="P189" s="488"/>
      <c r="Q189" s="488"/>
      <c r="R189" s="488"/>
      <c r="S189" s="488"/>
      <c r="T189" s="488"/>
      <c r="U189" s="488"/>
      <c r="V189" s="488"/>
      <c r="W189" s="488"/>
      <c r="X189" s="488"/>
      <c r="Y189" s="488"/>
      <c r="Z189" s="488"/>
      <c r="AA189" s="488"/>
      <c r="AB189" s="488"/>
      <c r="AC189" s="488"/>
      <c r="AD189" s="488"/>
      <c r="AE189" s="488"/>
      <c r="AF189" s="488"/>
      <c r="AG189" s="488"/>
      <c r="AH189" s="488"/>
      <c r="AI189" s="488"/>
      <c r="AJ189" s="488"/>
    </row>
    <row r="190" spans="1:36" s="496" customFormat="1">
      <c r="A190" s="493"/>
      <c r="B190" s="522"/>
      <c r="C190" s="493"/>
      <c r="D190" s="493"/>
      <c r="E190" s="493"/>
      <c r="F190" s="493"/>
      <c r="G190" s="493"/>
      <c r="H190" s="493"/>
      <c r="I190" s="493"/>
      <c r="J190" s="488"/>
      <c r="K190" s="488"/>
      <c r="L190" s="488"/>
      <c r="M190" s="488"/>
      <c r="N190" s="488"/>
      <c r="O190" s="488"/>
      <c r="P190" s="488"/>
      <c r="Q190" s="488"/>
      <c r="R190" s="488"/>
      <c r="S190" s="488"/>
      <c r="T190" s="488"/>
      <c r="U190" s="488"/>
      <c r="V190" s="488"/>
      <c r="W190" s="488"/>
      <c r="X190" s="488"/>
      <c r="Y190" s="488"/>
      <c r="Z190" s="488"/>
      <c r="AA190" s="488"/>
      <c r="AB190" s="488"/>
      <c r="AC190" s="488"/>
      <c r="AD190" s="488"/>
      <c r="AE190" s="488"/>
      <c r="AF190" s="488"/>
      <c r="AG190" s="488"/>
      <c r="AH190" s="488"/>
      <c r="AI190" s="488"/>
      <c r="AJ190" s="488"/>
    </row>
    <row r="191" spans="1:36" s="496" customFormat="1">
      <c r="A191" s="493"/>
      <c r="B191" s="522"/>
      <c r="C191" s="493"/>
      <c r="D191" s="493"/>
      <c r="E191" s="493"/>
      <c r="F191" s="493"/>
      <c r="G191" s="493"/>
      <c r="H191" s="493"/>
      <c r="I191" s="493"/>
      <c r="J191" s="488"/>
      <c r="K191" s="488"/>
      <c r="L191" s="488"/>
      <c r="M191" s="488"/>
      <c r="N191" s="488"/>
      <c r="O191" s="488"/>
      <c r="P191" s="488"/>
      <c r="Q191" s="488"/>
      <c r="R191" s="488"/>
      <c r="S191" s="488"/>
      <c r="T191" s="488"/>
      <c r="U191" s="488"/>
      <c r="V191" s="488"/>
      <c r="W191" s="488"/>
      <c r="X191" s="488"/>
      <c r="Y191" s="488"/>
      <c r="Z191" s="488"/>
      <c r="AA191" s="488"/>
      <c r="AB191" s="488"/>
      <c r="AC191" s="488"/>
      <c r="AD191" s="488"/>
      <c r="AE191" s="488"/>
      <c r="AF191" s="488"/>
      <c r="AG191" s="488"/>
      <c r="AH191" s="488"/>
      <c r="AI191" s="488"/>
      <c r="AJ191" s="488"/>
    </row>
    <row r="192" spans="1:36" s="496" customFormat="1">
      <c r="A192" s="493"/>
      <c r="B192" s="522"/>
      <c r="C192" s="493"/>
      <c r="D192" s="493"/>
      <c r="E192" s="493"/>
      <c r="F192" s="493"/>
      <c r="G192" s="493"/>
      <c r="H192" s="493"/>
      <c r="I192" s="493"/>
      <c r="J192" s="488"/>
      <c r="K192" s="488"/>
      <c r="L192" s="488"/>
      <c r="M192" s="488"/>
      <c r="N192" s="488"/>
      <c r="O192" s="488"/>
      <c r="P192" s="488"/>
      <c r="Q192" s="488"/>
      <c r="R192" s="488"/>
      <c r="S192" s="488"/>
      <c r="T192" s="488"/>
      <c r="U192" s="488"/>
      <c r="V192" s="488"/>
      <c r="W192" s="488"/>
      <c r="X192" s="488"/>
      <c r="Y192" s="488"/>
      <c r="Z192" s="488"/>
      <c r="AA192" s="488"/>
      <c r="AB192" s="488"/>
      <c r="AC192" s="488"/>
      <c r="AD192" s="488"/>
      <c r="AE192" s="488"/>
      <c r="AF192" s="488"/>
      <c r="AG192" s="488"/>
      <c r="AH192" s="488"/>
      <c r="AI192" s="488"/>
      <c r="AJ192" s="488"/>
    </row>
    <row r="193" spans="1:36" s="496" customFormat="1">
      <c r="A193" s="493"/>
      <c r="B193" s="522"/>
      <c r="C193" s="493"/>
      <c r="D193" s="493"/>
      <c r="E193" s="493"/>
      <c r="F193" s="493"/>
      <c r="G193" s="493"/>
      <c r="H193" s="493"/>
      <c r="I193" s="493"/>
      <c r="J193" s="488"/>
      <c r="K193" s="488"/>
      <c r="L193" s="488"/>
      <c r="M193" s="488"/>
      <c r="N193" s="488"/>
      <c r="O193" s="488"/>
      <c r="P193" s="488"/>
      <c r="Q193" s="488"/>
      <c r="R193" s="488"/>
      <c r="S193" s="488"/>
      <c r="T193" s="488"/>
      <c r="U193" s="488"/>
      <c r="V193" s="488"/>
      <c r="W193" s="488"/>
      <c r="X193" s="488"/>
      <c r="Y193" s="488"/>
      <c r="Z193" s="488"/>
      <c r="AA193" s="488"/>
      <c r="AB193" s="488"/>
      <c r="AC193" s="488"/>
      <c r="AD193" s="488"/>
      <c r="AE193" s="488"/>
      <c r="AF193" s="488"/>
      <c r="AG193" s="488"/>
      <c r="AH193" s="488"/>
      <c r="AI193" s="488"/>
      <c r="AJ193" s="488"/>
    </row>
    <row r="194" spans="1:36" s="496" customFormat="1">
      <c r="A194" s="493"/>
      <c r="B194" s="522"/>
      <c r="C194" s="493"/>
      <c r="D194" s="493"/>
      <c r="E194" s="493"/>
      <c r="F194" s="493"/>
      <c r="G194" s="493"/>
      <c r="H194" s="493"/>
      <c r="I194" s="493"/>
      <c r="J194" s="488"/>
      <c r="K194" s="488"/>
      <c r="L194" s="488"/>
      <c r="M194" s="488"/>
      <c r="N194" s="488"/>
      <c r="O194" s="488"/>
      <c r="P194" s="488"/>
      <c r="Q194" s="488"/>
      <c r="R194" s="488"/>
      <c r="S194" s="488"/>
      <c r="T194" s="488"/>
      <c r="U194" s="488"/>
      <c r="V194" s="488"/>
      <c r="W194" s="488"/>
      <c r="X194" s="488"/>
      <c r="Y194" s="488"/>
      <c r="Z194" s="488"/>
      <c r="AA194" s="488"/>
      <c r="AB194" s="488"/>
      <c r="AC194" s="488"/>
      <c r="AD194" s="488"/>
      <c r="AE194" s="488"/>
      <c r="AF194" s="488"/>
      <c r="AG194" s="488"/>
      <c r="AH194" s="488"/>
      <c r="AI194" s="488"/>
      <c r="AJ194" s="488"/>
    </row>
    <row r="195" spans="1:36" s="496" customFormat="1">
      <c r="A195" s="493"/>
      <c r="B195" s="522"/>
      <c r="C195" s="493"/>
      <c r="D195" s="493"/>
      <c r="E195" s="493"/>
      <c r="F195" s="493"/>
      <c r="G195" s="493"/>
      <c r="H195" s="493"/>
      <c r="I195" s="493"/>
      <c r="J195" s="488"/>
      <c r="K195" s="488"/>
      <c r="L195" s="488"/>
      <c r="M195" s="488"/>
      <c r="N195" s="488"/>
      <c r="O195" s="488"/>
      <c r="P195" s="488"/>
      <c r="Q195" s="488"/>
      <c r="R195" s="488"/>
      <c r="S195" s="488"/>
      <c r="T195" s="488"/>
      <c r="U195" s="488"/>
      <c r="V195" s="488"/>
      <c r="W195" s="488"/>
      <c r="X195" s="488"/>
      <c r="Y195" s="488"/>
      <c r="Z195" s="488"/>
      <c r="AA195" s="488"/>
      <c r="AB195" s="488"/>
      <c r="AC195" s="488"/>
      <c r="AD195" s="488"/>
      <c r="AE195" s="488"/>
      <c r="AF195" s="488"/>
      <c r="AG195" s="488"/>
      <c r="AH195" s="488"/>
      <c r="AI195" s="488"/>
      <c r="AJ195" s="488"/>
    </row>
    <row r="196" spans="1:36" s="496" customFormat="1">
      <c r="A196" s="493"/>
      <c r="B196" s="522"/>
      <c r="C196" s="493"/>
      <c r="D196" s="493"/>
      <c r="E196" s="493"/>
      <c r="F196" s="493"/>
      <c r="G196" s="493"/>
      <c r="H196" s="493"/>
      <c r="I196" s="493"/>
      <c r="J196" s="488"/>
      <c r="K196" s="488"/>
      <c r="L196" s="488"/>
      <c r="M196" s="488"/>
      <c r="N196" s="488"/>
      <c r="O196" s="488"/>
      <c r="P196" s="488"/>
      <c r="Q196" s="488"/>
      <c r="R196" s="488"/>
      <c r="S196" s="488"/>
      <c r="T196" s="488"/>
      <c r="U196" s="488"/>
      <c r="V196" s="488"/>
      <c r="W196" s="488"/>
      <c r="X196" s="488"/>
      <c r="Y196" s="488"/>
      <c r="Z196" s="488"/>
      <c r="AA196" s="488"/>
      <c r="AB196" s="488"/>
      <c r="AC196" s="488"/>
      <c r="AD196" s="488"/>
      <c r="AE196" s="488"/>
      <c r="AF196" s="488"/>
      <c r="AG196" s="488"/>
      <c r="AH196" s="488"/>
      <c r="AI196" s="488"/>
      <c r="AJ196" s="488"/>
    </row>
    <row r="197" spans="1:36" s="496" customFormat="1">
      <c r="A197" s="493"/>
      <c r="B197" s="522"/>
      <c r="C197" s="493"/>
      <c r="D197" s="493"/>
      <c r="E197" s="493"/>
      <c r="F197" s="493"/>
      <c r="G197" s="493"/>
      <c r="H197" s="493"/>
      <c r="I197" s="493"/>
      <c r="J197" s="488"/>
      <c r="K197" s="488"/>
      <c r="L197" s="488"/>
      <c r="M197" s="488"/>
      <c r="N197" s="488"/>
      <c r="O197" s="488"/>
      <c r="P197" s="488"/>
      <c r="Q197" s="488"/>
      <c r="R197" s="488"/>
      <c r="S197" s="488"/>
      <c r="T197" s="488"/>
      <c r="U197" s="488"/>
      <c r="V197" s="488"/>
      <c r="W197" s="488"/>
      <c r="X197" s="488"/>
      <c r="Y197" s="488"/>
      <c r="Z197" s="488"/>
      <c r="AA197" s="488"/>
      <c r="AB197" s="488"/>
      <c r="AC197" s="488"/>
      <c r="AD197" s="488"/>
      <c r="AE197" s="488"/>
      <c r="AF197" s="488"/>
      <c r="AG197" s="488"/>
      <c r="AH197" s="488"/>
      <c r="AI197" s="488"/>
      <c r="AJ197" s="488"/>
    </row>
    <row r="198" spans="1:36" s="496" customFormat="1">
      <c r="A198" s="493"/>
      <c r="B198" s="522"/>
      <c r="C198" s="493"/>
      <c r="D198" s="493"/>
      <c r="E198" s="493"/>
      <c r="F198" s="493"/>
      <c r="G198" s="493"/>
      <c r="H198" s="493"/>
      <c r="I198" s="493"/>
      <c r="J198" s="488"/>
      <c r="K198" s="488"/>
      <c r="L198" s="488"/>
      <c r="M198" s="488"/>
      <c r="N198" s="488"/>
      <c r="O198" s="488"/>
      <c r="P198" s="488"/>
      <c r="Q198" s="488"/>
      <c r="R198" s="488"/>
      <c r="S198" s="488"/>
      <c r="T198" s="488"/>
      <c r="U198" s="488"/>
      <c r="V198" s="488"/>
      <c r="W198" s="488"/>
      <c r="X198" s="488"/>
      <c r="Y198" s="488"/>
      <c r="Z198" s="488"/>
      <c r="AA198" s="488"/>
      <c r="AB198" s="488"/>
      <c r="AC198" s="488"/>
      <c r="AD198" s="488"/>
      <c r="AE198" s="488"/>
      <c r="AF198" s="488"/>
      <c r="AG198" s="488"/>
      <c r="AH198" s="488"/>
      <c r="AI198" s="488"/>
      <c r="AJ198" s="488"/>
    </row>
    <row r="199" spans="1:36" s="496" customFormat="1">
      <c r="A199" s="493"/>
      <c r="B199" s="522"/>
      <c r="C199" s="493"/>
      <c r="D199" s="493"/>
      <c r="E199" s="493"/>
      <c r="F199" s="493"/>
      <c r="G199" s="493"/>
      <c r="H199" s="493"/>
      <c r="I199" s="493"/>
      <c r="J199" s="488"/>
      <c r="K199" s="488"/>
      <c r="L199" s="488"/>
      <c r="M199" s="488"/>
      <c r="N199" s="488"/>
      <c r="O199" s="488"/>
      <c r="P199" s="488"/>
      <c r="Q199" s="488"/>
      <c r="R199" s="488"/>
      <c r="S199" s="488"/>
      <c r="T199" s="488"/>
      <c r="U199" s="488"/>
      <c r="V199" s="488"/>
      <c r="W199" s="488"/>
      <c r="X199" s="488"/>
      <c r="Y199" s="488"/>
      <c r="Z199" s="488"/>
      <c r="AA199" s="488"/>
      <c r="AB199" s="488"/>
      <c r="AC199" s="488"/>
      <c r="AD199" s="488"/>
      <c r="AE199" s="488"/>
      <c r="AF199" s="488"/>
      <c r="AG199" s="488"/>
      <c r="AH199" s="488"/>
      <c r="AI199" s="488"/>
      <c r="AJ199" s="488"/>
    </row>
    <row r="200" spans="1:36" s="496" customFormat="1">
      <c r="A200" s="493"/>
      <c r="B200" s="522"/>
      <c r="C200" s="493"/>
      <c r="D200" s="493"/>
      <c r="E200" s="493"/>
      <c r="F200" s="493"/>
      <c r="G200" s="493"/>
      <c r="H200" s="493"/>
      <c r="I200" s="493"/>
      <c r="J200" s="488"/>
      <c r="K200" s="488"/>
      <c r="L200" s="488"/>
      <c r="M200" s="488"/>
      <c r="N200" s="488"/>
      <c r="O200" s="488"/>
      <c r="P200" s="488"/>
      <c r="Q200" s="488"/>
      <c r="R200" s="488"/>
      <c r="S200" s="488"/>
      <c r="T200" s="488"/>
      <c r="U200" s="488"/>
      <c r="V200" s="488"/>
      <c r="W200" s="488"/>
      <c r="X200" s="488"/>
      <c r="Y200" s="488"/>
      <c r="Z200" s="488"/>
      <c r="AA200" s="488"/>
      <c r="AB200" s="488"/>
      <c r="AC200" s="488"/>
      <c r="AD200" s="488"/>
      <c r="AE200" s="488"/>
      <c r="AF200" s="488"/>
      <c r="AG200" s="488"/>
      <c r="AH200" s="488"/>
      <c r="AI200" s="488"/>
      <c r="AJ200" s="488"/>
    </row>
    <row r="201" spans="1:36" s="496" customFormat="1">
      <c r="A201" s="493"/>
      <c r="B201" s="522"/>
      <c r="C201" s="493"/>
      <c r="D201" s="493"/>
      <c r="E201" s="493"/>
      <c r="F201" s="493"/>
      <c r="G201" s="493"/>
      <c r="H201" s="493"/>
      <c r="I201" s="493"/>
      <c r="J201" s="488"/>
      <c r="K201" s="488"/>
      <c r="L201" s="488"/>
      <c r="M201" s="488"/>
      <c r="N201" s="488"/>
      <c r="O201" s="488"/>
      <c r="P201" s="488"/>
      <c r="Q201" s="488"/>
      <c r="R201" s="488"/>
      <c r="S201" s="488"/>
      <c r="T201" s="488"/>
      <c r="U201" s="488"/>
      <c r="V201" s="488"/>
      <c r="W201" s="488"/>
      <c r="X201" s="488"/>
      <c r="Y201" s="488"/>
      <c r="Z201" s="488"/>
      <c r="AA201" s="488"/>
      <c r="AB201" s="488"/>
      <c r="AC201" s="488"/>
      <c r="AD201" s="488"/>
      <c r="AE201" s="488"/>
      <c r="AF201" s="488"/>
      <c r="AG201" s="488"/>
      <c r="AH201" s="488"/>
      <c r="AI201" s="488"/>
      <c r="AJ201" s="488"/>
    </row>
    <row r="202" spans="1:36" s="496" customFormat="1">
      <c r="A202" s="493"/>
      <c r="B202" s="522"/>
      <c r="C202" s="493"/>
      <c r="D202" s="493"/>
      <c r="E202" s="493"/>
      <c r="F202" s="493"/>
      <c r="G202" s="493"/>
      <c r="H202" s="493"/>
      <c r="I202" s="493"/>
      <c r="J202" s="488"/>
      <c r="K202" s="488"/>
      <c r="L202" s="488"/>
      <c r="M202" s="488"/>
      <c r="N202" s="488"/>
      <c r="O202" s="488"/>
      <c r="P202" s="488"/>
      <c r="Q202" s="488"/>
      <c r="R202" s="488"/>
      <c r="S202" s="488"/>
      <c r="T202" s="488"/>
      <c r="U202" s="488"/>
      <c r="V202" s="488"/>
      <c r="W202" s="488"/>
      <c r="X202" s="488"/>
      <c r="Y202" s="488"/>
      <c r="Z202" s="488"/>
      <c r="AA202" s="488"/>
      <c r="AB202" s="488"/>
      <c r="AC202" s="488"/>
      <c r="AD202" s="488"/>
      <c r="AE202" s="488"/>
      <c r="AF202" s="488"/>
      <c r="AG202" s="488"/>
      <c r="AH202" s="488"/>
      <c r="AI202" s="488"/>
      <c r="AJ202" s="488"/>
    </row>
    <row r="203" spans="1:36" s="496" customFormat="1">
      <c r="A203" s="493"/>
      <c r="B203" s="522"/>
      <c r="C203" s="493"/>
      <c r="D203" s="493"/>
      <c r="E203" s="493"/>
      <c r="F203" s="493"/>
      <c r="G203" s="493"/>
      <c r="H203" s="493"/>
      <c r="I203" s="493"/>
      <c r="J203" s="488"/>
      <c r="K203" s="488"/>
      <c r="L203" s="488"/>
      <c r="M203" s="488"/>
      <c r="N203" s="488"/>
      <c r="O203" s="488"/>
      <c r="P203" s="488"/>
      <c r="Q203" s="488"/>
      <c r="R203" s="488"/>
      <c r="S203" s="488"/>
      <c r="T203" s="488"/>
      <c r="U203" s="488"/>
      <c r="V203" s="488"/>
      <c r="W203" s="488"/>
      <c r="X203" s="488"/>
      <c r="Y203" s="488"/>
      <c r="Z203" s="488"/>
      <c r="AA203" s="488"/>
      <c r="AB203" s="488"/>
      <c r="AC203" s="488"/>
      <c r="AD203" s="488"/>
      <c r="AE203" s="488"/>
      <c r="AF203" s="488"/>
      <c r="AG203" s="488"/>
      <c r="AH203" s="488"/>
      <c r="AI203" s="488"/>
      <c r="AJ203" s="488"/>
    </row>
    <row r="204" spans="1:36" s="496" customFormat="1">
      <c r="A204" s="493"/>
      <c r="B204" s="522"/>
      <c r="C204" s="493"/>
      <c r="D204" s="493"/>
      <c r="E204" s="493"/>
      <c r="F204" s="493"/>
      <c r="G204" s="493"/>
      <c r="H204" s="493"/>
      <c r="I204" s="493"/>
      <c r="J204" s="488"/>
      <c r="K204" s="488"/>
      <c r="L204" s="488"/>
      <c r="M204" s="488"/>
      <c r="N204" s="488"/>
      <c r="O204" s="488"/>
      <c r="P204" s="488"/>
      <c r="Q204" s="488"/>
      <c r="R204" s="488"/>
      <c r="S204" s="488"/>
      <c r="T204" s="488"/>
      <c r="U204" s="488"/>
      <c r="V204" s="488"/>
      <c r="W204" s="488"/>
      <c r="X204" s="488"/>
      <c r="Y204" s="488"/>
      <c r="Z204" s="488"/>
      <c r="AA204" s="488"/>
      <c r="AB204" s="488"/>
      <c r="AC204" s="488"/>
      <c r="AD204" s="488"/>
      <c r="AE204" s="488"/>
      <c r="AF204" s="488"/>
      <c r="AG204" s="488"/>
      <c r="AH204" s="488"/>
      <c r="AI204" s="488"/>
      <c r="AJ204" s="488"/>
    </row>
    <row r="205" spans="1:36" s="496" customFormat="1">
      <c r="A205" s="493"/>
      <c r="B205" s="522"/>
      <c r="C205" s="493"/>
      <c r="D205" s="493"/>
      <c r="E205" s="493"/>
      <c r="F205" s="493"/>
      <c r="G205" s="493"/>
      <c r="H205" s="493"/>
      <c r="I205" s="493"/>
      <c r="J205" s="488"/>
      <c r="K205" s="488"/>
      <c r="L205" s="488"/>
      <c r="M205" s="488"/>
      <c r="N205" s="488"/>
      <c r="O205" s="488"/>
      <c r="P205" s="488"/>
      <c r="Q205" s="488"/>
      <c r="R205" s="488"/>
      <c r="S205" s="488"/>
      <c r="T205" s="488"/>
      <c r="U205" s="488"/>
      <c r="V205" s="488"/>
      <c r="W205" s="488"/>
      <c r="X205" s="488"/>
      <c r="Y205" s="488"/>
      <c r="Z205" s="488"/>
      <c r="AA205" s="488"/>
      <c r="AB205" s="488"/>
      <c r="AC205" s="488"/>
      <c r="AD205" s="488"/>
      <c r="AE205" s="488"/>
      <c r="AF205" s="488"/>
      <c r="AG205" s="488"/>
      <c r="AH205" s="488"/>
      <c r="AI205" s="488"/>
      <c r="AJ205" s="488"/>
    </row>
    <row r="206" spans="1:36" s="496" customFormat="1">
      <c r="A206" s="493"/>
      <c r="B206" s="522"/>
      <c r="C206" s="493"/>
      <c r="D206" s="493"/>
      <c r="E206" s="493"/>
      <c r="F206" s="493"/>
      <c r="G206" s="493"/>
      <c r="H206" s="493"/>
      <c r="I206" s="493"/>
      <c r="J206" s="488"/>
      <c r="K206" s="488"/>
      <c r="L206" s="488"/>
      <c r="M206" s="488"/>
      <c r="N206" s="488"/>
      <c r="O206" s="488"/>
      <c r="P206" s="488"/>
      <c r="Q206" s="488"/>
      <c r="R206" s="488"/>
      <c r="S206" s="488"/>
      <c r="T206" s="488"/>
      <c r="U206" s="488"/>
      <c r="V206" s="488"/>
      <c r="W206" s="488"/>
      <c r="X206" s="488"/>
      <c r="Y206" s="488"/>
      <c r="Z206" s="488"/>
      <c r="AA206" s="488"/>
      <c r="AB206" s="488"/>
      <c r="AC206" s="488"/>
      <c r="AD206" s="488"/>
      <c r="AE206" s="488"/>
      <c r="AF206" s="488"/>
      <c r="AG206" s="488"/>
      <c r="AH206" s="488"/>
      <c r="AI206" s="488"/>
      <c r="AJ206" s="488"/>
    </row>
    <row r="207" spans="1:36" s="496" customFormat="1">
      <c r="A207" s="493"/>
      <c r="B207" s="522"/>
      <c r="C207" s="493"/>
      <c r="D207" s="493"/>
      <c r="E207" s="493"/>
      <c r="F207" s="493"/>
      <c r="G207" s="493"/>
      <c r="H207" s="493"/>
      <c r="I207" s="493"/>
      <c r="J207" s="488"/>
      <c r="K207" s="488"/>
      <c r="L207" s="488"/>
      <c r="M207" s="488"/>
      <c r="N207" s="488"/>
      <c r="O207" s="488"/>
      <c r="P207" s="488"/>
      <c r="Q207" s="488"/>
      <c r="R207" s="488"/>
      <c r="S207" s="488"/>
      <c r="T207" s="488"/>
      <c r="U207" s="488"/>
      <c r="V207" s="488"/>
      <c r="W207" s="488"/>
      <c r="X207" s="488"/>
      <c r="Y207" s="488"/>
      <c r="Z207" s="488"/>
      <c r="AA207" s="488"/>
      <c r="AB207" s="488"/>
      <c r="AC207" s="488"/>
      <c r="AD207" s="488"/>
      <c r="AE207" s="488"/>
      <c r="AF207" s="488"/>
      <c r="AG207" s="488"/>
      <c r="AH207" s="488"/>
      <c r="AI207" s="488"/>
      <c r="AJ207" s="488"/>
    </row>
    <row r="208" spans="1:36" s="496" customFormat="1">
      <c r="A208" s="493"/>
      <c r="B208" s="522"/>
      <c r="C208" s="493"/>
      <c r="D208" s="493"/>
      <c r="E208" s="493"/>
      <c r="F208" s="493"/>
      <c r="G208" s="493"/>
      <c r="H208" s="493"/>
      <c r="I208" s="493"/>
      <c r="J208" s="488"/>
      <c r="K208" s="488"/>
      <c r="L208" s="488"/>
      <c r="M208" s="488"/>
      <c r="N208" s="488"/>
      <c r="O208" s="488"/>
      <c r="P208" s="488"/>
      <c r="Q208" s="488"/>
      <c r="R208" s="488"/>
      <c r="S208" s="488"/>
      <c r="T208" s="488"/>
      <c r="U208" s="488"/>
      <c r="V208" s="488"/>
      <c r="W208" s="488"/>
      <c r="X208" s="488"/>
      <c r="Y208" s="488"/>
      <c r="Z208" s="488"/>
      <c r="AA208" s="488"/>
      <c r="AB208" s="488"/>
      <c r="AC208" s="488"/>
      <c r="AD208" s="488"/>
      <c r="AE208" s="488"/>
      <c r="AF208" s="488"/>
      <c r="AG208" s="488"/>
      <c r="AH208" s="488"/>
      <c r="AI208" s="488"/>
      <c r="AJ208" s="488"/>
    </row>
    <row r="209" spans="1:36" s="496" customFormat="1">
      <c r="A209" s="493"/>
      <c r="B209" s="522"/>
      <c r="C209" s="493"/>
      <c r="D209" s="493"/>
      <c r="E209" s="493"/>
      <c r="F209" s="493"/>
      <c r="G209" s="493"/>
      <c r="H209" s="493"/>
      <c r="I209" s="493"/>
      <c r="J209" s="488"/>
      <c r="K209" s="488"/>
      <c r="L209" s="488"/>
      <c r="M209" s="488"/>
      <c r="N209" s="488"/>
      <c r="O209" s="488"/>
      <c r="P209" s="488"/>
      <c r="Q209" s="488"/>
      <c r="R209" s="488"/>
      <c r="S209" s="488"/>
      <c r="T209" s="488"/>
      <c r="U209" s="488"/>
      <c r="V209" s="488"/>
      <c r="W209" s="488"/>
      <c r="X209" s="488"/>
      <c r="Y209" s="488"/>
      <c r="Z209" s="488"/>
      <c r="AA209" s="488"/>
      <c r="AB209" s="488"/>
      <c r="AC209" s="488"/>
      <c r="AD209" s="488"/>
      <c r="AE209" s="488"/>
      <c r="AF209" s="488"/>
      <c r="AG209" s="488"/>
      <c r="AH209" s="488"/>
      <c r="AI209" s="488"/>
      <c r="AJ209" s="488"/>
    </row>
    <row r="210" spans="1:36" s="496" customFormat="1">
      <c r="A210" s="493"/>
      <c r="B210" s="522"/>
      <c r="C210" s="493"/>
      <c r="D210" s="493"/>
      <c r="E210" s="493"/>
      <c r="F210" s="493"/>
      <c r="G210" s="493"/>
      <c r="H210" s="493"/>
      <c r="I210" s="493"/>
      <c r="J210" s="488"/>
      <c r="K210" s="488"/>
      <c r="L210" s="488"/>
      <c r="M210" s="488"/>
      <c r="N210" s="488"/>
      <c r="O210" s="488"/>
      <c r="P210" s="488"/>
      <c r="Q210" s="488"/>
      <c r="R210" s="488"/>
      <c r="S210" s="488"/>
      <c r="T210" s="488"/>
      <c r="U210" s="488"/>
      <c r="V210" s="488"/>
      <c r="W210" s="488"/>
      <c r="X210" s="488"/>
      <c r="Y210" s="488"/>
      <c r="Z210" s="488"/>
      <c r="AA210" s="488"/>
      <c r="AB210" s="488"/>
      <c r="AC210" s="488"/>
      <c r="AD210" s="488"/>
      <c r="AE210" s="488"/>
      <c r="AF210" s="488"/>
      <c r="AG210" s="488"/>
      <c r="AH210" s="488"/>
      <c r="AI210" s="488"/>
      <c r="AJ210" s="488"/>
    </row>
    <row r="211" spans="1:36" s="496" customFormat="1">
      <c r="A211" s="493"/>
      <c r="B211" s="522"/>
      <c r="C211" s="493"/>
      <c r="D211" s="493"/>
      <c r="E211" s="493"/>
      <c r="F211" s="493"/>
      <c r="G211" s="493"/>
      <c r="H211" s="493"/>
      <c r="I211" s="493"/>
      <c r="J211" s="488"/>
      <c r="K211" s="488"/>
      <c r="L211" s="488"/>
      <c r="M211" s="488"/>
      <c r="N211" s="488"/>
      <c r="O211" s="488"/>
      <c r="P211" s="488"/>
      <c r="Q211" s="488"/>
      <c r="R211" s="488"/>
      <c r="S211" s="488"/>
      <c r="T211" s="488"/>
      <c r="U211" s="488"/>
      <c r="V211" s="488"/>
      <c r="W211" s="488"/>
      <c r="X211" s="488"/>
      <c r="Y211" s="488"/>
      <c r="Z211" s="488"/>
      <c r="AA211" s="488"/>
      <c r="AB211" s="488"/>
      <c r="AC211" s="488"/>
      <c r="AD211" s="488"/>
      <c r="AE211" s="488"/>
      <c r="AF211" s="488"/>
      <c r="AG211" s="488"/>
      <c r="AH211" s="488"/>
      <c r="AI211" s="488"/>
      <c r="AJ211" s="488"/>
    </row>
    <row r="212" spans="1:36" s="496" customFormat="1">
      <c r="A212" s="493"/>
      <c r="B212" s="522"/>
      <c r="C212" s="493"/>
      <c r="D212" s="493"/>
      <c r="E212" s="493"/>
      <c r="F212" s="493"/>
      <c r="G212" s="493"/>
      <c r="H212" s="493"/>
      <c r="I212" s="493"/>
      <c r="J212" s="488"/>
      <c r="K212" s="488"/>
      <c r="L212" s="488"/>
      <c r="M212" s="488"/>
      <c r="N212" s="488"/>
      <c r="O212" s="488"/>
      <c r="P212" s="488"/>
      <c r="Q212" s="488"/>
      <c r="R212" s="488"/>
      <c r="S212" s="488"/>
      <c r="T212" s="488"/>
      <c r="U212" s="488"/>
      <c r="V212" s="488"/>
      <c r="W212" s="488"/>
      <c r="X212" s="488"/>
      <c r="Y212" s="488"/>
      <c r="Z212" s="488"/>
      <c r="AA212" s="488"/>
      <c r="AB212" s="488"/>
      <c r="AC212" s="488"/>
      <c r="AD212" s="488"/>
      <c r="AE212" s="488"/>
      <c r="AF212" s="488"/>
      <c r="AG212" s="488"/>
      <c r="AH212" s="488"/>
      <c r="AI212" s="488"/>
      <c r="AJ212" s="488"/>
    </row>
    <row r="213" spans="1:36" s="496" customFormat="1">
      <c r="A213" s="493"/>
      <c r="B213" s="522"/>
      <c r="C213" s="493"/>
      <c r="D213" s="493"/>
      <c r="E213" s="493"/>
      <c r="F213" s="493"/>
      <c r="G213" s="493"/>
      <c r="H213" s="493"/>
      <c r="I213" s="493"/>
      <c r="J213" s="488"/>
      <c r="K213" s="488"/>
      <c r="L213" s="488"/>
      <c r="M213" s="488"/>
      <c r="N213" s="488"/>
      <c r="O213" s="488"/>
      <c r="P213" s="488"/>
      <c r="Q213" s="488"/>
      <c r="R213" s="488"/>
      <c r="S213" s="488"/>
      <c r="T213" s="488"/>
      <c r="U213" s="488"/>
      <c r="V213" s="488"/>
      <c r="W213" s="488"/>
      <c r="X213" s="488"/>
      <c r="Y213" s="488"/>
      <c r="Z213" s="488"/>
      <c r="AA213" s="488"/>
      <c r="AB213" s="488"/>
      <c r="AC213" s="488"/>
      <c r="AD213" s="488"/>
      <c r="AE213" s="488"/>
      <c r="AF213" s="488"/>
      <c r="AG213" s="488"/>
      <c r="AH213" s="488"/>
      <c r="AI213" s="488"/>
      <c r="AJ213" s="488"/>
    </row>
    <row r="214" spans="1:36" s="496" customFormat="1">
      <c r="A214" s="493"/>
      <c r="B214" s="522"/>
      <c r="C214" s="493"/>
      <c r="D214" s="493"/>
      <c r="E214" s="493"/>
      <c r="F214" s="493"/>
      <c r="G214" s="493"/>
      <c r="H214" s="493"/>
      <c r="I214" s="493"/>
      <c r="J214" s="488"/>
      <c r="K214" s="488"/>
      <c r="L214" s="488"/>
      <c r="M214" s="488"/>
      <c r="N214" s="488"/>
      <c r="O214" s="488"/>
      <c r="P214" s="488"/>
      <c r="Q214" s="488"/>
      <c r="R214" s="488"/>
      <c r="S214" s="488"/>
      <c r="T214" s="488"/>
      <c r="U214" s="488"/>
      <c r="V214" s="488"/>
      <c r="W214" s="488"/>
      <c r="X214" s="488"/>
      <c r="Y214" s="488"/>
      <c r="Z214" s="488"/>
      <c r="AA214" s="488"/>
      <c r="AB214" s="488"/>
      <c r="AC214" s="488"/>
      <c r="AD214" s="488"/>
      <c r="AE214" s="488"/>
      <c r="AF214" s="488"/>
      <c r="AG214" s="488"/>
      <c r="AH214" s="488"/>
      <c r="AI214" s="488"/>
      <c r="AJ214" s="488"/>
    </row>
    <row r="215" spans="1:36" s="496" customFormat="1">
      <c r="A215" s="493"/>
      <c r="B215" s="522"/>
      <c r="C215" s="493"/>
      <c r="D215" s="493"/>
      <c r="E215" s="493"/>
      <c r="F215" s="493"/>
      <c r="G215" s="493"/>
      <c r="H215" s="493"/>
      <c r="I215" s="493"/>
      <c r="J215" s="488"/>
      <c r="K215" s="488"/>
      <c r="L215" s="488"/>
      <c r="M215" s="488"/>
      <c r="N215" s="488"/>
      <c r="O215" s="488"/>
      <c r="P215" s="488"/>
      <c r="Q215" s="488"/>
      <c r="R215" s="488"/>
      <c r="S215" s="488"/>
      <c r="T215" s="488"/>
      <c r="U215" s="488"/>
      <c r="V215" s="488"/>
      <c r="W215" s="488"/>
      <c r="X215" s="488"/>
      <c r="Y215" s="488"/>
      <c r="Z215" s="488"/>
      <c r="AA215" s="488"/>
      <c r="AB215" s="488"/>
      <c r="AC215" s="488"/>
      <c r="AD215" s="488"/>
      <c r="AE215" s="488"/>
      <c r="AF215" s="488"/>
      <c r="AG215" s="488"/>
      <c r="AH215" s="488"/>
      <c r="AI215" s="488"/>
      <c r="AJ215" s="488"/>
    </row>
    <row r="216" spans="1:36" s="496" customFormat="1">
      <c r="A216" s="493"/>
      <c r="B216" s="522"/>
      <c r="C216" s="493"/>
      <c r="D216" s="493"/>
      <c r="E216" s="493"/>
      <c r="F216" s="493"/>
      <c r="G216" s="493"/>
      <c r="H216" s="493"/>
      <c r="I216" s="493"/>
      <c r="J216" s="488"/>
      <c r="K216" s="488"/>
      <c r="L216" s="488"/>
      <c r="M216" s="488"/>
      <c r="N216" s="488"/>
      <c r="O216" s="488"/>
      <c r="P216" s="488"/>
      <c r="Q216" s="488"/>
      <c r="R216" s="488"/>
      <c r="S216" s="488"/>
      <c r="T216" s="488"/>
      <c r="U216" s="488"/>
      <c r="V216" s="488"/>
      <c r="W216" s="488"/>
      <c r="X216" s="488"/>
      <c r="Y216" s="488"/>
      <c r="Z216" s="488"/>
      <c r="AA216" s="488"/>
      <c r="AB216" s="488"/>
      <c r="AC216" s="488"/>
      <c r="AD216" s="488"/>
      <c r="AE216" s="488"/>
      <c r="AF216" s="488"/>
      <c r="AG216" s="488"/>
      <c r="AH216" s="488"/>
      <c r="AI216" s="488"/>
      <c r="AJ216" s="488"/>
    </row>
    <row r="217" spans="1:36" s="496" customFormat="1">
      <c r="A217" s="493"/>
      <c r="B217" s="522"/>
      <c r="C217" s="493"/>
      <c r="D217" s="493"/>
      <c r="E217" s="493"/>
      <c r="F217" s="493"/>
      <c r="G217" s="493"/>
      <c r="H217" s="493"/>
      <c r="I217" s="493"/>
      <c r="J217" s="488"/>
      <c r="K217" s="488"/>
      <c r="L217" s="488"/>
      <c r="M217" s="488"/>
      <c r="N217" s="488"/>
      <c r="O217" s="488"/>
      <c r="P217" s="488"/>
      <c r="Q217" s="488"/>
      <c r="R217" s="488"/>
      <c r="S217" s="488"/>
      <c r="T217" s="488"/>
      <c r="U217" s="488"/>
      <c r="V217" s="488"/>
      <c r="W217" s="488"/>
      <c r="X217" s="488"/>
      <c r="Y217" s="488"/>
      <c r="Z217" s="488"/>
      <c r="AA217" s="488"/>
      <c r="AB217" s="488"/>
      <c r="AC217" s="488"/>
      <c r="AD217" s="488"/>
      <c r="AE217" s="488"/>
      <c r="AF217" s="488"/>
      <c r="AG217" s="488"/>
      <c r="AH217" s="488"/>
      <c r="AI217" s="488"/>
      <c r="AJ217" s="488"/>
    </row>
    <row r="218" spans="1:36" s="496" customFormat="1">
      <c r="A218" s="493"/>
      <c r="B218" s="522"/>
      <c r="C218" s="493"/>
      <c r="D218" s="493"/>
      <c r="E218" s="493"/>
      <c r="F218" s="493"/>
      <c r="G218" s="493"/>
      <c r="H218" s="493"/>
      <c r="I218" s="493"/>
      <c r="J218" s="488"/>
      <c r="K218" s="488"/>
      <c r="L218" s="488"/>
      <c r="M218" s="488"/>
      <c r="N218" s="488"/>
      <c r="O218" s="488"/>
      <c r="P218" s="488"/>
      <c r="Q218" s="488"/>
      <c r="R218" s="488"/>
      <c r="S218" s="488"/>
      <c r="T218" s="488"/>
      <c r="U218" s="488"/>
      <c r="V218" s="488"/>
      <c r="W218" s="488"/>
      <c r="X218" s="488"/>
      <c r="Y218" s="488"/>
      <c r="Z218" s="488"/>
      <c r="AA218" s="488"/>
      <c r="AB218" s="488"/>
      <c r="AC218" s="488"/>
      <c r="AD218" s="488"/>
      <c r="AE218" s="488"/>
      <c r="AF218" s="488"/>
      <c r="AG218" s="488"/>
      <c r="AH218" s="488"/>
      <c r="AI218" s="488"/>
      <c r="AJ218" s="488"/>
    </row>
    <row r="219" spans="1:36" s="496" customFormat="1">
      <c r="A219" s="493"/>
      <c r="B219" s="522"/>
      <c r="C219" s="493"/>
      <c r="D219" s="493"/>
      <c r="E219" s="493"/>
      <c r="F219" s="493"/>
      <c r="G219" s="493"/>
      <c r="H219" s="493"/>
      <c r="I219" s="493"/>
      <c r="J219" s="488"/>
      <c r="K219" s="488"/>
      <c r="L219" s="488"/>
      <c r="M219" s="488"/>
      <c r="N219" s="488"/>
      <c r="O219" s="488"/>
      <c r="P219" s="488"/>
      <c r="Q219" s="488"/>
      <c r="R219" s="488"/>
      <c r="S219" s="488"/>
      <c r="T219" s="488"/>
      <c r="U219" s="488"/>
      <c r="V219" s="488"/>
      <c r="W219" s="488"/>
      <c r="X219" s="488"/>
      <c r="Y219" s="488"/>
      <c r="Z219" s="488"/>
      <c r="AA219" s="488"/>
      <c r="AB219" s="488"/>
      <c r="AC219" s="488"/>
      <c r="AD219" s="488"/>
      <c r="AE219" s="488"/>
      <c r="AF219" s="488"/>
      <c r="AG219" s="488"/>
      <c r="AH219" s="488"/>
      <c r="AI219" s="488"/>
      <c r="AJ219" s="488"/>
    </row>
    <row r="220" spans="1:36" s="496" customFormat="1">
      <c r="A220" s="493"/>
      <c r="B220" s="522"/>
      <c r="C220" s="493"/>
      <c r="D220" s="493"/>
      <c r="E220" s="493"/>
      <c r="F220" s="493"/>
      <c r="G220" s="493"/>
      <c r="H220" s="493"/>
      <c r="I220" s="493"/>
      <c r="J220" s="488"/>
      <c r="K220" s="488"/>
      <c r="L220" s="488"/>
      <c r="M220" s="488"/>
      <c r="N220" s="488"/>
      <c r="O220" s="488"/>
      <c r="P220" s="488"/>
      <c r="Q220" s="488"/>
      <c r="R220" s="488"/>
      <c r="S220" s="488"/>
      <c r="T220" s="488"/>
      <c r="U220" s="488"/>
      <c r="V220" s="488"/>
      <c r="W220" s="488"/>
      <c r="X220" s="488"/>
      <c r="Y220" s="488"/>
      <c r="Z220" s="488"/>
      <c r="AA220" s="488"/>
      <c r="AB220" s="488"/>
      <c r="AC220" s="488"/>
      <c r="AD220" s="488"/>
      <c r="AE220" s="488"/>
      <c r="AF220" s="488"/>
      <c r="AG220" s="488"/>
      <c r="AH220" s="488"/>
      <c r="AI220" s="488"/>
      <c r="AJ220" s="488"/>
    </row>
    <row r="221" spans="1:36" s="496" customFormat="1">
      <c r="A221" s="493"/>
      <c r="B221" s="522"/>
      <c r="C221" s="493"/>
      <c r="D221" s="493"/>
      <c r="E221" s="493"/>
      <c r="F221" s="493"/>
      <c r="G221" s="493"/>
      <c r="H221" s="493"/>
      <c r="I221" s="493"/>
      <c r="J221" s="488"/>
      <c r="K221" s="488"/>
      <c r="L221" s="488"/>
      <c r="M221" s="488"/>
      <c r="N221" s="488"/>
      <c r="O221" s="488"/>
      <c r="P221" s="488"/>
      <c r="Q221" s="488"/>
      <c r="R221" s="488"/>
      <c r="S221" s="488"/>
      <c r="T221" s="488"/>
      <c r="U221" s="488"/>
      <c r="V221" s="488"/>
      <c r="W221" s="488"/>
      <c r="X221" s="488"/>
      <c r="Y221" s="488"/>
      <c r="Z221" s="488"/>
      <c r="AA221" s="488"/>
      <c r="AB221" s="488"/>
      <c r="AC221" s="488"/>
      <c r="AD221" s="488"/>
      <c r="AE221" s="488"/>
      <c r="AF221" s="488"/>
      <c r="AG221" s="488"/>
      <c r="AH221" s="488"/>
      <c r="AI221" s="488"/>
      <c r="AJ221" s="488"/>
    </row>
    <row r="222" spans="1:36" s="496" customFormat="1">
      <c r="A222" s="493"/>
      <c r="B222" s="522"/>
      <c r="C222" s="493"/>
      <c r="D222" s="493"/>
      <c r="E222" s="493"/>
      <c r="F222" s="493"/>
      <c r="G222" s="493"/>
      <c r="H222" s="493"/>
      <c r="I222" s="493"/>
      <c r="J222" s="488"/>
      <c r="K222" s="488"/>
      <c r="L222" s="488"/>
      <c r="M222" s="488"/>
      <c r="N222" s="488"/>
      <c r="O222" s="488"/>
      <c r="P222" s="488"/>
      <c r="Q222" s="488"/>
      <c r="R222" s="488"/>
      <c r="S222" s="488"/>
      <c r="T222" s="488"/>
      <c r="U222" s="488"/>
      <c r="V222" s="488"/>
      <c r="W222" s="488"/>
      <c r="X222" s="488"/>
      <c r="Y222" s="488"/>
      <c r="Z222" s="488"/>
      <c r="AA222" s="488"/>
      <c r="AB222" s="488"/>
      <c r="AC222" s="488"/>
      <c r="AD222" s="488"/>
      <c r="AE222" s="488"/>
      <c r="AF222" s="488"/>
      <c r="AG222" s="488"/>
      <c r="AH222" s="488"/>
      <c r="AI222" s="488"/>
      <c r="AJ222" s="488"/>
    </row>
    <row r="223" spans="1:36" s="496" customFormat="1">
      <c r="A223" s="493"/>
      <c r="B223" s="522"/>
      <c r="C223" s="493"/>
      <c r="D223" s="493"/>
      <c r="E223" s="493"/>
      <c r="F223" s="493"/>
      <c r="G223" s="493"/>
      <c r="H223" s="493"/>
      <c r="I223" s="493"/>
      <c r="J223" s="488"/>
      <c r="K223" s="488"/>
      <c r="L223" s="488"/>
      <c r="M223" s="488"/>
      <c r="N223" s="488"/>
      <c r="O223" s="488"/>
      <c r="P223" s="488"/>
      <c r="Q223" s="488"/>
      <c r="R223" s="488"/>
      <c r="S223" s="488"/>
      <c r="T223" s="488"/>
      <c r="U223" s="488"/>
      <c r="V223" s="488"/>
      <c r="W223" s="488"/>
      <c r="X223" s="488"/>
      <c r="Y223" s="488"/>
      <c r="Z223" s="488"/>
      <c r="AA223" s="488"/>
      <c r="AB223" s="488"/>
      <c r="AC223" s="488"/>
      <c r="AD223" s="488"/>
      <c r="AE223" s="488"/>
      <c r="AF223" s="488"/>
      <c r="AG223" s="488"/>
      <c r="AH223" s="488"/>
      <c r="AI223" s="488"/>
      <c r="AJ223" s="488"/>
    </row>
    <row r="224" spans="1:36" s="496" customFormat="1">
      <c r="A224" s="493"/>
      <c r="B224" s="522"/>
      <c r="C224" s="493"/>
      <c r="D224" s="493"/>
      <c r="E224" s="493"/>
      <c r="F224" s="493"/>
      <c r="G224" s="493"/>
      <c r="H224" s="493"/>
      <c r="I224" s="493"/>
      <c r="J224" s="488"/>
      <c r="K224" s="488"/>
      <c r="L224" s="488"/>
      <c r="M224" s="488"/>
      <c r="N224" s="488"/>
      <c r="O224" s="488"/>
      <c r="P224" s="488"/>
      <c r="Q224" s="488"/>
      <c r="R224" s="488"/>
      <c r="S224" s="488"/>
      <c r="T224" s="488"/>
      <c r="U224" s="488"/>
      <c r="V224" s="488"/>
      <c r="W224" s="488"/>
      <c r="X224" s="488"/>
      <c r="Y224" s="488"/>
      <c r="Z224" s="488"/>
      <c r="AA224" s="488"/>
      <c r="AB224" s="488"/>
      <c r="AC224" s="488"/>
      <c r="AD224" s="488"/>
      <c r="AE224" s="488"/>
      <c r="AF224" s="488"/>
      <c r="AG224" s="488"/>
      <c r="AH224" s="488"/>
      <c r="AI224" s="488"/>
      <c r="AJ224" s="488"/>
    </row>
    <row r="225" spans="1:36" s="496" customFormat="1">
      <c r="A225" s="493"/>
      <c r="B225" s="522"/>
      <c r="C225" s="493"/>
      <c r="D225" s="493"/>
      <c r="E225" s="493"/>
      <c r="F225" s="493"/>
      <c r="G225" s="493"/>
      <c r="H225" s="493"/>
      <c r="I225" s="493"/>
      <c r="J225" s="488"/>
      <c r="K225" s="488"/>
      <c r="L225" s="488"/>
      <c r="M225" s="488"/>
      <c r="N225" s="488"/>
      <c r="O225" s="488"/>
      <c r="P225" s="488"/>
      <c r="Q225" s="488"/>
      <c r="R225" s="488"/>
      <c r="S225" s="488"/>
      <c r="T225" s="488"/>
      <c r="U225" s="488"/>
      <c r="V225" s="488"/>
      <c r="W225" s="488"/>
      <c r="X225" s="488"/>
      <c r="Y225" s="488"/>
      <c r="Z225" s="488"/>
      <c r="AA225" s="488"/>
      <c r="AB225" s="488"/>
      <c r="AC225" s="488"/>
      <c r="AD225" s="488"/>
      <c r="AE225" s="488"/>
      <c r="AF225" s="488"/>
      <c r="AG225" s="488"/>
      <c r="AH225" s="488"/>
      <c r="AI225" s="488"/>
      <c r="AJ225" s="488"/>
    </row>
    <row r="226" spans="1:36" s="496" customFormat="1">
      <c r="A226" s="493"/>
      <c r="B226" s="522"/>
      <c r="C226" s="493"/>
      <c r="D226" s="493"/>
      <c r="E226" s="493"/>
      <c r="F226" s="493"/>
      <c r="G226" s="493"/>
      <c r="H226" s="493"/>
      <c r="I226" s="493"/>
      <c r="J226" s="488"/>
      <c r="K226" s="488"/>
      <c r="L226" s="488"/>
      <c r="M226" s="488"/>
      <c r="N226" s="488"/>
      <c r="O226" s="488"/>
      <c r="P226" s="488"/>
      <c r="Q226" s="488"/>
      <c r="R226" s="488"/>
      <c r="S226" s="488"/>
      <c r="T226" s="488"/>
      <c r="U226" s="488"/>
      <c r="V226" s="488"/>
      <c r="W226" s="488"/>
      <c r="X226" s="488"/>
      <c r="Y226" s="488"/>
      <c r="Z226" s="488"/>
      <c r="AA226" s="488"/>
      <c r="AB226" s="488"/>
      <c r="AC226" s="488"/>
      <c r="AD226" s="488"/>
      <c r="AE226" s="488"/>
      <c r="AF226" s="488"/>
      <c r="AG226" s="488"/>
      <c r="AH226" s="488"/>
      <c r="AI226" s="488"/>
      <c r="AJ226" s="488"/>
    </row>
    <row r="227" spans="1:36" s="496" customFormat="1">
      <c r="A227" s="493"/>
      <c r="B227" s="522"/>
      <c r="C227" s="493"/>
      <c r="D227" s="493"/>
      <c r="E227" s="493"/>
      <c r="F227" s="493"/>
      <c r="G227" s="493"/>
      <c r="H227" s="493"/>
      <c r="I227" s="493"/>
      <c r="J227" s="488"/>
      <c r="K227" s="488"/>
      <c r="L227" s="488"/>
      <c r="M227" s="488"/>
      <c r="N227" s="488"/>
      <c r="O227" s="488"/>
      <c r="P227" s="488"/>
      <c r="Q227" s="488"/>
      <c r="R227" s="488"/>
      <c r="S227" s="488"/>
      <c r="T227" s="488"/>
      <c r="U227" s="488"/>
      <c r="V227" s="488"/>
      <c r="W227" s="488"/>
      <c r="X227" s="488"/>
      <c r="Y227" s="488"/>
      <c r="Z227" s="488"/>
      <c r="AA227" s="488"/>
      <c r="AB227" s="488"/>
      <c r="AC227" s="488"/>
      <c r="AD227" s="488"/>
      <c r="AE227" s="488"/>
      <c r="AF227" s="488"/>
      <c r="AG227" s="488"/>
      <c r="AH227" s="488"/>
      <c r="AI227" s="488"/>
      <c r="AJ227" s="488"/>
    </row>
    <row r="228" spans="1:36" s="496" customFormat="1">
      <c r="A228" s="493"/>
      <c r="B228" s="522"/>
      <c r="C228" s="493"/>
      <c r="D228" s="493"/>
      <c r="E228" s="493"/>
      <c r="F228" s="493"/>
      <c r="G228" s="493"/>
      <c r="H228" s="493"/>
      <c r="I228" s="493"/>
      <c r="J228" s="488"/>
      <c r="K228" s="488"/>
      <c r="L228" s="488"/>
      <c r="M228" s="488"/>
      <c r="N228" s="488"/>
      <c r="O228" s="488"/>
      <c r="P228" s="488"/>
      <c r="Q228" s="488"/>
      <c r="R228" s="488"/>
      <c r="S228" s="488"/>
      <c r="T228" s="488"/>
      <c r="U228" s="488"/>
      <c r="V228" s="488"/>
      <c r="W228" s="488"/>
      <c r="X228" s="488"/>
      <c r="Y228" s="488"/>
      <c r="Z228" s="488"/>
      <c r="AA228" s="488"/>
      <c r="AB228" s="488"/>
      <c r="AC228" s="488"/>
      <c r="AD228" s="488"/>
      <c r="AE228" s="488"/>
      <c r="AF228" s="488"/>
      <c r="AG228" s="488"/>
      <c r="AH228" s="488"/>
      <c r="AI228" s="488"/>
      <c r="AJ228" s="488"/>
    </row>
    <row r="229" spans="1:36" s="496" customFormat="1">
      <c r="A229" s="493"/>
      <c r="B229" s="522"/>
      <c r="C229" s="493"/>
      <c r="D229" s="493"/>
      <c r="E229" s="493"/>
      <c r="F229" s="493"/>
      <c r="G229" s="493"/>
      <c r="H229" s="493"/>
      <c r="I229" s="493"/>
      <c r="J229" s="488"/>
      <c r="K229" s="488"/>
      <c r="L229" s="488"/>
      <c r="M229" s="488"/>
      <c r="N229" s="488"/>
      <c r="O229" s="488"/>
      <c r="P229" s="488"/>
      <c r="Q229" s="488"/>
      <c r="R229" s="488"/>
      <c r="S229" s="488"/>
      <c r="T229" s="488"/>
      <c r="U229" s="488"/>
      <c r="V229" s="488"/>
      <c r="W229" s="488"/>
      <c r="X229" s="488"/>
      <c r="Y229" s="488"/>
      <c r="Z229" s="488"/>
      <c r="AA229" s="488"/>
      <c r="AB229" s="488"/>
      <c r="AC229" s="488"/>
      <c r="AD229" s="488"/>
      <c r="AE229" s="488"/>
      <c r="AF229" s="488"/>
      <c r="AG229" s="488"/>
      <c r="AH229" s="488"/>
      <c r="AI229" s="488"/>
      <c r="AJ229" s="488"/>
    </row>
    <row r="230" spans="1:36" s="496" customFormat="1">
      <c r="A230" s="493"/>
      <c r="B230" s="522"/>
      <c r="C230" s="493"/>
      <c r="D230" s="493"/>
      <c r="E230" s="493"/>
      <c r="F230" s="493"/>
      <c r="G230" s="493"/>
      <c r="H230" s="493"/>
      <c r="I230" s="493"/>
      <c r="J230" s="488"/>
      <c r="K230" s="488"/>
      <c r="L230" s="488"/>
      <c r="M230" s="488"/>
      <c r="N230" s="488"/>
      <c r="O230" s="488"/>
      <c r="P230" s="488"/>
      <c r="Q230" s="488"/>
      <c r="R230" s="488"/>
      <c r="S230" s="488"/>
      <c r="T230" s="488"/>
      <c r="U230" s="488"/>
      <c r="V230" s="488"/>
      <c r="W230" s="488"/>
      <c r="X230" s="488"/>
      <c r="Y230" s="488"/>
      <c r="Z230" s="488"/>
      <c r="AA230" s="488"/>
      <c r="AB230" s="488"/>
      <c r="AC230" s="488"/>
      <c r="AD230" s="488"/>
      <c r="AE230" s="488"/>
      <c r="AF230" s="488"/>
      <c r="AG230" s="488"/>
      <c r="AH230" s="488"/>
      <c r="AI230" s="488"/>
      <c r="AJ230" s="488"/>
    </row>
    <row r="231" spans="1:36" s="496" customFormat="1">
      <c r="A231" s="493"/>
      <c r="B231" s="522"/>
      <c r="C231" s="493"/>
      <c r="D231" s="493"/>
      <c r="E231" s="493"/>
      <c r="F231" s="493"/>
      <c r="G231" s="493"/>
      <c r="H231" s="493"/>
      <c r="I231" s="493"/>
      <c r="J231" s="488"/>
      <c r="K231" s="488"/>
      <c r="L231" s="488"/>
      <c r="M231" s="488"/>
      <c r="N231" s="488"/>
      <c r="O231" s="488"/>
      <c r="P231" s="488"/>
      <c r="Q231" s="488"/>
      <c r="R231" s="488"/>
      <c r="S231" s="488"/>
      <c r="T231" s="488"/>
      <c r="U231" s="488"/>
      <c r="V231" s="488"/>
      <c r="W231" s="488"/>
      <c r="X231" s="488"/>
      <c r="Y231" s="488"/>
      <c r="Z231" s="488"/>
      <c r="AA231" s="488"/>
      <c r="AB231" s="488"/>
      <c r="AC231" s="488"/>
      <c r="AD231" s="488"/>
      <c r="AE231" s="488"/>
      <c r="AF231" s="488"/>
      <c r="AG231" s="488"/>
      <c r="AH231" s="488"/>
      <c r="AI231" s="488"/>
      <c r="AJ231" s="488"/>
    </row>
    <row r="232" spans="1:36" s="496" customFormat="1">
      <c r="A232" s="493"/>
      <c r="B232" s="522"/>
      <c r="C232" s="493"/>
      <c r="D232" s="493"/>
      <c r="E232" s="493"/>
      <c r="F232" s="493"/>
      <c r="G232" s="493"/>
      <c r="H232" s="493"/>
      <c r="I232" s="493"/>
      <c r="J232" s="488"/>
      <c r="K232" s="488"/>
      <c r="L232" s="488"/>
      <c r="M232" s="488"/>
      <c r="N232" s="488"/>
      <c r="O232" s="488"/>
      <c r="P232" s="488"/>
      <c r="Q232" s="488"/>
      <c r="R232" s="488"/>
      <c r="S232" s="488"/>
      <c r="T232" s="488"/>
      <c r="U232" s="488"/>
      <c r="V232" s="488"/>
      <c r="W232" s="488"/>
      <c r="X232" s="488"/>
      <c r="Y232" s="488"/>
      <c r="Z232" s="488"/>
      <c r="AA232" s="488"/>
      <c r="AB232" s="488"/>
      <c r="AC232" s="488"/>
      <c r="AD232" s="488"/>
      <c r="AE232" s="488"/>
      <c r="AF232" s="488"/>
      <c r="AG232" s="488"/>
      <c r="AH232" s="488"/>
      <c r="AI232" s="488"/>
      <c r="AJ232" s="488"/>
    </row>
    <row r="233" spans="1:36" s="496" customFormat="1">
      <c r="A233" s="493"/>
      <c r="B233" s="522"/>
      <c r="C233" s="493"/>
      <c r="D233" s="493"/>
      <c r="E233" s="493"/>
      <c r="F233" s="493"/>
      <c r="G233" s="493"/>
      <c r="H233" s="493"/>
      <c r="I233" s="493"/>
      <c r="J233" s="488"/>
      <c r="K233" s="488"/>
      <c r="L233" s="488"/>
      <c r="M233" s="488"/>
      <c r="N233" s="488"/>
      <c r="O233" s="488"/>
      <c r="P233" s="488"/>
      <c r="Q233" s="488"/>
      <c r="R233" s="488"/>
      <c r="S233" s="488"/>
      <c r="T233" s="488"/>
      <c r="U233" s="488"/>
      <c r="V233" s="488"/>
      <c r="W233" s="488"/>
      <c r="X233" s="488"/>
      <c r="Y233" s="488"/>
      <c r="Z233" s="488"/>
      <c r="AA233" s="488"/>
      <c r="AB233" s="488"/>
      <c r="AC233" s="488"/>
      <c r="AD233" s="488"/>
      <c r="AE233" s="488"/>
      <c r="AF233" s="488"/>
      <c r="AG233" s="488"/>
      <c r="AH233" s="488"/>
      <c r="AI233" s="488"/>
      <c r="AJ233" s="488"/>
    </row>
    <row r="234" spans="1:36" s="496" customFormat="1">
      <c r="A234" s="493"/>
      <c r="B234" s="522"/>
      <c r="C234" s="493"/>
      <c r="D234" s="493"/>
      <c r="E234" s="493"/>
      <c r="F234" s="493"/>
      <c r="G234" s="493"/>
      <c r="H234" s="493"/>
      <c r="I234" s="493"/>
      <c r="J234" s="488"/>
      <c r="K234" s="488"/>
      <c r="L234" s="488"/>
      <c r="M234" s="488"/>
      <c r="N234" s="488"/>
      <c r="O234" s="488"/>
      <c r="P234" s="488"/>
      <c r="Q234" s="488"/>
      <c r="R234" s="488"/>
      <c r="S234" s="488"/>
      <c r="T234" s="488"/>
      <c r="U234" s="488"/>
      <c r="V234" s="488"/>
      <c r="W234" s="488"/>
      <c r="X234" s="488"/>
      <c r="Y234" s="488"/>
      <c r="Z234" s="488"/>
      <c r="AA234" s="488"/>
      <c r="AB234" s="488"/>
      <c r="AC234" s="488"/>
      <c r="AD234" s="488"/>
      <c r="AE234" s="488"/>
      <c r="AF234" s="488"/>
      <c r="AG234" s="488"/>
      <c r="AH234" s="488"/>
      <c r="AI234" s="488"/>
      <c r="AJ234" s="488"/>
    </row>
    <row r="235" spans="1:36" s="496" customFormat="1">
      <c r="A235" s="493"/>
      <c r="B235" s="522"/>
      <c r="C235" s="493"/>
      <c r="D235" s="493"/>
      <c r="E235" s="493"/>
      <c r="F235" s="493"/>
      <c r="G235" s="493"/>
      <c r="H235" s="493"/>
      <c r="I235" s="493"/>
      <c r="J235" s="488"/>
      <c r="K235" s="488"/>
      <c r="L235" s="488"/>
      <c r="M235" s="488"/>
      <c r="N235" s="488"/>
      <c r="O235" s="488"/>
      <c r="P235" s="488"/>
      <c r="Q235" s="488"/>
      <c r="R235" s="488"/>
      <c r="S235" s="488"/>
      <c r="T235" s="488"/>
      <c r="U235" s="488"/>
      <c r="V235" s="488"/>
      <c r="W235" s="488"/>
      <c r="X235" s="488"/>
      <c r="Y235" s="488"/>
      <c r="Z235" s="488"/>
      <c r="AA235" s="488"/>
      <c r="AB235" s="488"/>
      <c r="AC235" s="488"/>
      <c r="AD235" s="488"/>
      <c r="AE235" s="488"/>
      <c r="AF235" s="488"/>
      <c r="AG235" s="488"/>
      <c r="AH235" s="488"/>
      <c r="AI235" s="488"/>
      <c r="AJ235" s="488"/>
    </row>
    <row r="236" spans="1:36" s="496" customFormat="1">
      <c r="A236" s="493"/>
      <c r="B236" s="522"/>
      <c r="C236" s="493"/>
      <c r="D236" s="493"/>
      <c r="E236" s="493"/>
      <c r="F236" s="493"/>
      <c r="G236" s="493"/>
      <c r="H236" s="493"/>
      <c r="I236" s="493"/>
      <c r="J236" s="488"/>
      <c r="K236" s="488"/>
      <c r="L236" s="488"/>
      <c r="M236" s="488"/>
      <c r="N236" s="488"/>
      <c r="O236" s="488"/>
      <c r="P236" s="488"/>
      <c r="Q236" s="488"/>
      <c r="R236" s="488"/>
      <c r="S236" s="488"/>
      <c r="T236" s="488"/>
      <c r="U236" s="488"/>
      <c r="V236" s="488"/>
      <c r="W236" s="488"/>
      <c r="X236" s="488"/>
      <c r="Y236" s="488"/>
      <c r="Z236" s="488"/>
      <c r="AA236" s="488"/>
      <c r="AB236" s="488"/>
      <c r="AC236" s="488"/>
      <c r="AD236" s="488"/>
      <c r="AE236" s="488"/>
      <c r="AF236" s="488"/>
      <c r="AG236" s="488"/>
      <c r="AH236" s="488"/>
      <c r="AI236" s="488"/>
      <c r="AJ236" s="488"/>
    </row>
    <row r="237" spans="1:36" s="496" customFormat="1">
      <c r="A237" s="493"/>
      <c r="B237" s="522"/>
      <c r="C237" s="493"/>
      <c r="D237" s="493"/>
      <c r="E237" s="493"/>
      <c r="F237" s="493"/>
      <c r="G237" s="493"/>
      <c r="H237" s="493"/>
      <c r="I237" s="493"/>
      <c r="J237" s="488"/>
      <c r="K237" s="488"/>
      <c r="L237" s="488"/>
      <c r="M237" s="488"/>
      <c r="N237" s="488"/>
      <c r="O237" s="488"/>
      <c r="P237" s="488"/>
      <c r="Q237" s="488"/>
      <c r="R237" s="488"/>
      <c r="S237" s="488"/>
      <c r="T237" s="488"/>
      <c r="U237" s="488"/>
      <c r="V237" s="488"/>
      <c r="W237" s="488"/>
      <c r="X237" s="488"/>
      <c r="Y237" s="488"/>
      <c r="Z237" s="488"/>
      <c r="AA237" s="488"/>
      <c r="AB237" s="488"/>
      <c r="AC237" s="488"/>
      <c r="AD237" s="488"/>
      <c r="AE237" s="488"/>
      <c r="AF237" s="488"/>
      <c r="AG237" s="488"/>
      <c r="AH237" s="488"/>
      <c r="AI237" s="488"/>
      <c r="AJ237" s="488"/>
    </row>
    <row r="238" spans="1:36" s="496" customFormat="1">
      <c r="A238" s="493"/>
      <c r="B238" s="522"/>
      <c r="C238" s="493"/>
      <c r="D238" s="493"/>
      <c r="E238" s="493"/>
      <c r="F238" s="493"/>
      <c r="G238" s="493"/>
      <c r="H238" s="493"/>
      <c r="I238" s="493"/>
      <c r="J238" s="488"/>
      <c r="K238" s="488"/>
      <c r="L238" s="488"/>
      <c r="M238" s="488"/>
      <c r="N238" s="488"/>
      <c r="O238" s="488"/>
      <c r="P238" s="488"/>
      <c r="Q238" s="488"/>
      <c r="R238" s="488"/>
      <c r="S238" s="488"/>
      <c r="T238" s="488"/>
      <c r="U238" s="488"/>
      <c r="V238" s="488"/>
      <c r="W238" s="488"/>
      <c r="X238" s="488"/>
      <c r="Y238" s="488"/>
      <c r="Z238" s="488"/>
      <c r="AA238" s="488"/>
      <c r="AB238" s="488"/>
      <c r="AC238" s="488"/>
      <c r="AD238" s="488"/>
      <c r="AE238" s="488"/>
      <c r="AF238" s="488"/>
      <c r="AG238" s="488"/>
      <c r="AH238" s="488"/>
      <c r="AI238" s="488"/>
      <c r="AJ238" s="488"/>
    </row>
    <row r="239" spans="1:36" s="496" customFormat="1">
      <c r="A239" s="493"/>
      <c r="B239" s="522"/>
      <c r="C239" s="493"/>
      <c r="D239" s="493"/>
      <c r="E239" s="493"/>
      <c r="F239" s="493"/>
      <c r="G239" s="493"/>
      <c r="H239" s="493"/>
      <c r="I239" s="493"/>
      <c r="J239" s="488"/>
      <c r="K239" s="488"/>
      <c r="L239" s="488"/>
      <c r="M239" s="488"/>
      <c r="N239" s="488"/>
      <c r="O239" s="488"/>
      <c r="P239" s="488"/>
      <c r="Q239" s="488"/>
      <c r="R239" s="488"/>
      <c r="S239" s="488"/>
      <c r="T239" s="488"/>
      <c r="U239" s="488"/>
      <c r="V239" s="488"/>
      <c r="W239" s="488"/>
      <c r="X239" s="488"/>
      <c r="Y239" s="488"/>
      <c r="Z239" s="488"/>
      <c r="AA239" s="488"/>
      <c r="AB239" s="488"/>
      <c r="AC239" s="488"/>
      <c r="AD239" s="488"/>
      <c r="AE239" s="488"/>
      <c r="AF239" s="488"/>
      <c r="AG239" s="488"/>
      <c r="AH239" s="488"/>
      <c r="AI239" s="488"/>
      <c r="AJ239" s="488"/>
    </row>
    <row r="240" spans="1:36" s="496" customFormat="1">
      <c r="A240" s="493"/>
      <c r="B240" s="522"/>
      <c r="C240" s="493"/>
      <c r="D240" s="493"/>
      <c r="E240" s="493"/>
      <c r="F240" s="493"/>
      <c r="G240" s="493"/>
      <c r="H240" s="493"/>
      <c r="I240" s="493"/>
      <c r="J240" s="488"/>
      <c r="K240" s="488"/>
      <c r="L240" s="488"/>
      <c r="M240" s="488"/>
      <c r="N240" s="488"/>
      <c r="O240" s="488"/>
      <c r="P240" s="488"/>
      <c r="Q240" s="488"/>
      <c r="R240" s="488"/>
      <c r="S240" s="488"/>
      <c r="T240" s="488"/>
      <c r="U240" s="488"/>
      <c r="V240" s="488"/>
      <c r="W240" s="488"/>
      <c r="X240" s="488"/>
      <c r="Y240" s="488"/>
      <c r="Z240" s="488"/>
      <c r="AA240" s="488"/>
      <c r="AB240" s="488"/>
      <c r="AC240" s="488"/>
      <c r="AD240" s="488"/>
      <c r="AE240" s="488"/>
      <c r="AF240" s="488"/>
      <c r="AG240" s="488"/>
      <c r="AH240" s="488"/>
      <c r="AI240" s="488"/>
      <c r="AJ240" s="488"/>
    </row>
    <row r="241" spans="1:36" s="496" customFormat="1">
      <c r="A241" s="493"/>
      <c r="B241" s="522"/>
      <c r="C241" s="493"/>
      <c r="D241" s="493"/>
      <c r="E241" s="493"/>
      <c r="F241" s="493"/>
      <c r="G241" s="493"/>
      <c r="H241" s="493"/>
      <c r="I241" s="493"/>
      <c r="J241" s="488"/>
      <c r="K241" s="488"/>
      <c r="L241" s="488"/>
      <c r="M241" s="488"/>
      <c r="N241" s="488"/>
      <c r="O241" s="488"/>
      <c r="P241" s="488"/>
      <c r="Q241" s="488"/>
      <c r="R241" s="488"/>
      <c r="S241" s="488"/>
      <c r="T241" s="488"/>
      <c r="U241" s="488"/>
      <c r="V241" s="488"/>
      <c r="W241" s="488"/>
      <c r="X241" s="488"/>
      <c r="Y241" s="488"/>
      <c r="Z241" s="488"/>
      <c r="AA241" s="488"/>
      <c r="AB241" s="488"/>
      <c r="AC241" s="488"/>
      <c r="AD241" s="488"/>
      <c r="AE241" s="488"/>
      <c r="AF241" s="488"/>
      <c r="AG241" s="488"/>
      <c r="AH241" s="488"/>
      <c r="AI241" s="488"/>
      <c r="AJ241" s="488"/>
    </row>
    <row r="242" spans="1:36" s="496" customFormat="1">
      <c r="A242" s="493"/>
      <c r="B242" s="522"/>
      <c r="C242" s="493"/>
      <c r="D242" s="493"/>
      <c r="E242" s="493"/>
      <c r="F242" s="493"/>
      <c r="G242" s="493"/>
      <c r="H242" s="493"/>
      <c r="I242" s="493"/>
      <c r="J242" s="488"/>
      <c r="K242" s="488"/>
      <c r="L242" s="488"/>
      <c r="M242" s="488"/>
      <c r="N242" s="488"/>
      <c r="O242" s="488"/>
      <c r="P242" s="488"/>
      <c r="Q242" s="488"/>
      <c r="R242" s="488"/>
      <c r="S242" s="488"/>
      <c r="T242" s="488"/>
      <c r="U242" s="488"/>
      <c r="V242" s="488"/>
      <c r="W242" s="488"/>
      <c r="X242" s="488"/>
      <c r="Y242" s="488"/>
      <c r="Z242" s="488"/>
      <c r="AA242" s="488"/>
      <c r="AB242" s="488"/>
      <c r="AC242" s="488"/>
      <c r="AD242" s="488"/>
      <c r="AE242" s="488"/>
      <c r="AF242" s="488"/>
      <c r="AG242" s="488"/>
      <c r="AH242" s="488"/>
      <c r="AI242" s="488"/>
      <c r="AJ242" s="488"/>
    </row>
    <row r="243" spans="1:36" s="496" customFormat="1">
      <c r="A243" s="493"/>
      <c r="B243" s="522"/>
      <c r="C243" s="493"/>
      <c r="D243" s="493"/>
      <c r="E243" s="493"/>
      <c r="F243" s="493"/>
      <c r="G243" s="493"/>
      <c r="H243" s="493"/>
      <c r="I243" s="493"/>
      <c r="J243" s="488"/>
      <c r="K243" s="488"/>
      <c r="L243" s="488"/>
      <c r="M243" s="488"/>
      <c r="N243" s="488"/>
      <c r="O243" s="488"/>
      <c r="P243" s="488"/>
      <c r="Q243" s="488"/>
      <c r="R243" s="488"/>
      <c r="S243" s="488"/>
      <c r="T243" s="488"/>
      <c r="U243" s="488"/>
      <c r="V243" s="488"/>
      <c r="W243" s="488"/>
      <c r="X243" s="488"/>
      <c r="Y243" s="488"/>
      <c r="Z243" s="488"/>
      <c r="AA243" s="488"/>
      <c r="AB243" s="488"/>
      <c r="AC243" s="488"/>
      <c r="AD243" s="488"/>
      <c r="AE243" s="488"/>
      <c r="AF243" s="488"/>
      <c r="AG243" s="488"/>
      <c r="AH243" s="488"/>
      <c r="AI243" s="488"/>
      <c r="AJ243" s="488"/>
    </row>
    <row r="244" spans="1:36" s="496" customFormat="1">
      <c r="A244" s="493"/>
      <c r="B244" s="522"/>
      <c r="C244" s="493"/>
      <c r="D244" s="493"/>
      <c r="E244" s="493"/>
      <c r="F244" s="493"/>
      <c r="G244" s="493"/>
      <c r="H244" s="493"/>
      <c r="I244" s="493"/>
      <c r="J244" s="488"/>
      <c r="K244" s="488"/>
      <c r="L244" s="488"/>
      <c r="M244" s="488"/>
      <c r="N244" s="488"/>
      <c r="O244" s="488"/>
      <c r="P244" s="488"/>
      <c r="Q244" s="488"/>
      <c r="R244" s="488"/>
      <c r="S244" s="488"/>
      <c r="T244" s="488"/>
      <c r="U244" s="488"/>
      <c r="V244" s="488"/>
      <c r="W244" s="488"/>
      <c r="X244" s="488"/>
      <c r="Y244" s="488"/>
      <c r="Z244" s="488"/>
      <c r="AA244" s="488"/>
      <c r="AB244" s="488"/>
      <c r="AC244" s="488"/>
      <c r="AD244" s="488"/>
      <c r="AE244" s="488"/>
      <c r="AF244" s="488"/>
      <c r="AG244" s="488"/>
      <c r="AH244" s="488"/>
      <c r="AI244" s="488"/>
      <c r="AJ244" s="488"/>
    </row>
    <row r="245" spans="1:36" s="496" customFormat="1">
      <c r="A245" s="493"/>
      <c r="B245" s="522"/>
      <c r="C245" s="493"/>
      <c r="D245" s="493"/>
      <c r="E245" s="493"/>
      <c r="F245" s="493"/>
      <c r="G245" s="493"/>
      <c r="H245" s="493"/>
      <c r="I245" s="493"/>
      <c r="J245" s="488"/>
      <c r="K245" s="488"/>
      <c r="L245" s="488"/>
      <c r="M245" s="488"/>
      <c r="N245" s="488"/>
      <c r="O245" s="488"/>
      <c r="P245" s="488"/>
      <c r="Q245" s="488"/>
      <c r="R245" s="488"/>
      <c r="S245" s="488"/>
      <c r="T245" s="488"/>
      <c r="U245" s="488"/>
      <c r="V245" s="488"/>
      <c r="W245" s="488"/>
      <c r="X245" s="488"/>
      <c r="Y245" s="488"/>
      <c r="Z245" s="488"/>
      <c r="AA245" s="488"/>
      <c r="AB245" s="488"/>
      <c r="AC245" s="488"/>
      <c r="AD245" s="488"/>
      <c r="AE245" s="488"/>
      <c r="AF245" s="488"/>
      <c r="AG245" s="488"/>
      <c r="AH245" s="488"/>
      <c r="AI245" s="488"/>
      <c r="AJ245" s="488"/>
    </row>
    <row r="246" spans="1:36" s="496" customFormat="1">
      <c r="A246" s="493"/>
      <c r="B246" s="522"/>
      <c r="C246" s="493"/>
      <c r="D246" s="493"/>
      <c r="E246" s="493"/>
      <c r="F246" s="493"/>
      <c r="G246" s="493"/>
      <c r="H246" s="493"/>
      <c r="I246" s="493"/>
      <c r="J246" s="488"/>
      <c r="K246" s="488"/>
      <c r="L246" s="488"/>
      <c r="M246" s="488"/>
      <c r="N246" s="488"/>
      <c r="O246" s="488"/>
      <c r="P246" s="488"/>
      <c r="Q246" s="488"/>
      <c r="R246" s="488"/>
      <c r="S246" s="488"/>
      <c r="T246" s="488"/>
      <c r="U246" s="488"/>
      <c r="V246" s="488"/>
      <c r="W246" s="488"/>
      <c r="X246" s="488"/>
      <c r="Y246" s="488"/>
      <c r="Z246" s="488"/>
      <c r="AA246" s="488"/>
      <c r="AB246" s="488"/>
      <c r="AC246" s="488"/>
      <c r="AD246" s="488"/>
      <c r="AE246" s="488"/>
      <c r="AF246" s="488"/>
      <c r="AG246" s="488"/>
      <c r="AH246" s="488"/>
      <c r="AI246" s="488"/>
      <c r="AJ246" s="488"/>
    </row>
    <row r="247" spans="1:36" s="496" customFormat="1">
      <c r="A247" s="493"/>
      <c r="B247" s="522"/>
      <c r="C247" s="493"/>
      <c r="D247" s="493"/>
      <c r="E247" s="493"/>
      <c r="F247" s="493"/>
      <c r="G247" s="493"/>
      <c r="H247" s="493"/>
      <c r="I247" s="493"/>
      <c r="J247" s="488"/>
      <c r="K247" s="488"/>
      <c r="L247" s="488"/>
      <c r="M247" s="488"/>
      <c r="N247" s="488"/>
      <c r="O247" s="488"/>
      <c r="P247" s="488"/>
      <c r="Q247" s="488"/>
      <c r="R247" s="488"/>
      <c r="S247" s="488"/>
      <c r="T247" s="488"/>
      <c r="U247" s="488"/>
      <c r="V247" s="488"/>
      <c r="W247" s="488"/>
      <c r="X247" s="488"/>
      <c r="Y247" s="488"/>
      <c r="Z247" s="488"/>
      <c r="AA247" s="488"/>
      <c r="AB247" s="488"/>
      <c r="AC247" s="488"/>
      <c r="AD247" s="488"/>
      <c r="AE247" s="488"/>
      <c r="AF247" s="488"/>
      <c r="AG247" s="488"/>
      <c r="AH247" s="488"/>
      <c r="AI247" s="488"/>
      <c r="AJ247" s="488"/>
    </row>
    <row r="248" spans="1:36" s="496" customFormat="1">
      <c r="A248" s="493"/>
      <c r="B248" s="522"/>
      <c r="C248" s="493"/>
      <c r="D248" s="493"/>
      <c r="E248" s="493"/>
      <c r="F248" s="493"/>
      <c r="G248" s="493"/>
      <c r="H248" s="493"/>
      <c r="I248" s="493"/>
      <c r="J248" s="488"/>
      <c r="K248" s="488"/>
      <c r="L248" s="488"/>
      <c r="M248" s="488"/>
      <c r="N248" s="488"/>
      <c r="O248" s="488"/>
      <c r="P248" s="488"/>
      <c r="Q248" s="488"/>
      <c r="R248" s="488"/>
      <c r="S248" s="488"/>
      <c r="T248" s="488"/>
      <c r="U248" s="488"/>
      <c r="V248" s="488"/>
      <c r="W248" s="488"/>
      <c r="X248" s="488"/>
      <c r="Y248" s="488"/>
      <c r="Z248" s="488"/>
      <c r="AA248" s="488"/>
      <c r="AB248" s="488"/>
      <c r="AC248" s="488"/>
      <c r="AD248" s="488"/>
      <c r="AE248" s="488"/>
      <c r="AF248" s="488"/>
      <c r="AG248" s="488"/>
      <c r="AH248" s="488"/>
      <c r="AI248" s="488"/>
      <c r="AJ248" s="488"/>
    </row>
    <row r="249" spans="1:36" s="496" customFormat="1">
      <c r="A249" s="493"/>
      <c r="B249" s="522"/>
      <c r="C249" s="493"/>
      <c r="D249" s="493"/>
      <c r="E249" s="493"/>
      <c r="F249" s="493"/>
      <c r="G249" s="493"/>
      <c r="H249" s="493"/>
      <c r="I249" s="493"/>
      <c r="J249" s="488"/>
      <c r="K249" s="488"/>
      <c r="L249" s="488"/>
      <c r="M249" s="488"/>
      <c r="N249" s="488"/>
      <c r="O249" s="488"/>
      <c r="P249" s="488"/>
      <c r="Q249" s="488"/>
      <c r="R249" s="488"/>
      <c r="S249" s="488"/>
      <c r="T249" s="488"/>
      <c r="U249" s="488"/>
      <c r="V249" s="488"/>
      <c r="W249" s="488"/>
      <c r="X249" s="488"/>
      <c r="Y249" s="488"/>
      <c r="Z249" s="488"/>
      <c r="AA249" s="488"/>
      <c r="AB249" s="488"/>
      <c r="AC249" s="488"/>
      <c r="AD249" s="488"/>
      <c r="AE249" s="488"/>
      <c r="AF249" s="488"/>
      <c r="AG249" s="488"/>
      <c r="AH249" s="488"/>
      <c r="AI249" s="488"/>
      <c r="AJ249" s="488"/>
    </row>
    <row r="250" spans="1:36" s="496" customFormat="1">
      <c r="A250" s="493"/>
      <c r="B250" s="522"/>
      <c r="C250" s="493"/>
      <c r="D250" s="493"/>
      <c r="E250" s="493"/>
      <c r="F250" s="493"/>
      <c r="G250" s="493"/>
      <c r="H250" s="493"/>
      <c r="I250" s="493"/>
      <c r="J250" s="488"/>
      <c r="K250" s="488"/>
      <c r="L250" s="488"/>
      <c r="M250" s="488"/>
      <c r="N250" s="488"/>
      <c r="O250" s="488"/>
      <c r="P250" s="488"/>
      <c r="Q250" s="488"/>
      <c r="R250" s="488"/>
      <c r="S250" s="488"/>
      <c r="T250" s="488"/>
      <c r="U250" s="488"/>
      <c r="V250" s="488"/>
      <c r="W250" s="488"/>
      <c r="X250" s="488"/>
      <c r="Y250" s="488"/>
      <c r="Z250" s="488"/>
      <c r="AA250" s="488"/>
      <c r="AB250" s="488"/>
      <c r="AC250" s="488"/>
      <c r="AD250" s="488"/>
      <c r="AE250" s="488"/>
      <c r="AF250" s="488"/>
      <c r="AG250" s="488"/>
      <c r="AH250" s="488"/>
      <c r="AI250" s="488"/>
      <c r="AJ250" s="488"/>
    </row>
    <row r="251" spans="1:36" s="496" customFormat="1">
      <c r="A251" s="493"/>
      <c r="B251" s="522"/>
      <c r="C251" s="493"/>
      <c r="D251" s="493"/>
      <c r="E251" s="493"/>
      <c r="F251" s="493"/>
      <c r="G251" s="493"/>
      <c r="H251" s="493"/>
      <c r="I251" s="493"/>
      <c r="J251" s="488"/>
      <c r="K251" s="488"/>
      <c r="L251" s="488"/>
      <c r="M251" s="488"/>
      <c r="N251" s="488"/>
      <c r="O251" s="488"/>
      <c r="P251" s="488"/>
      <c r="Q251" s="488"/>
      <c r="R251" s="488"/>
      <c r="S251" s="488"/>
      <c r="T251" s="488"/>
      <c r="U251" s="488"/>
      <c r="V251" s="488"/>
      <c r="W251" s="488"/>
      <c r="X251" s="488"/>
      <c r="Y251" s="488"/>
      <c r="Z251" s="488"/>
      <c r="AA251" s="488"/>
      <c r="AB251" s="488"/>
      <c r="AC251" s="488"/>
      <c r="AD251" s="488"/>
      <c r="AE251" s="488"/>
      <c r="AF251" s="488"/>
      <c r="AG251" s="488"/>
      <c r="AH251" s="488"/>
      <c r="AI251" s="488"/>
      <c r="AJ251" s="488"/>
    </row>
    <row r="252" spans="1:36" s="496" customFormat="1">
      <c r="A252" s="493"/>
      <c r="B252" s="522"/>
      <c r="C252" s="493"/>
      <c r="D252" s="493"/>
      <c r="E252" s="493"/>
      <c r="F252" s="493"/>
      <c r="G252" s="493"/>
      <c r="H252" s="493"/>
      <c r="I252" s="493"/>
      <c r="J252" s="488"/>
      <c r="K252" s="488"/>
      <c r="L252" s="488"/>
      <c r="M252" s="488"/>
      <c r="N252" s="488"/>
      <c r="O252" s="488"/>
      <c r="P252" s="488"/>
      <c r="Q252" s="488"/>
      <c r="R252" s="488"/>
      <c r="S252" s="488"/>
      <c r="T252" s="488"/>
      <c r="U252" s="488"/>
      <c r="V252" s="488"/>
      <c r="W252" s="488"/>
      <c r="X252" s="488"/>
      <c r="Y252" s="488"/>
      <c r="Z252" s="488"/>
      <c r="AA252" s="488"/>
      <c r="AB252" s="488"/>
      <c r="AC252" s="488"/>
      <c r="AD252" s="488"/>
      <c r="AE252" s="488"/>
      <c r="AF252" s="488"/>
      <c r="AG252" s="488"/>
      <c r="AH252" s="488"/>
      <c r="AI252" s="488"/>
      <c r="AJ252" s="488"/>
    </row>
    <row r="253" spans="1:36" s="496" customFormat="1">
      <c r="A253" s="493"/>
      <c r="B253" s="522"/>
      <c r="C253" s="493"/>
      <c r="D253" s="493"/>
      <c r="E253" s="493"/>
      <c r="F253" s="493"/>
      <c r="G253" s="493"/>
      <c r="H253" s="493"/>
      <c r="I253" s="493"/>
      <c r="J253" s="488"/>
      <c r="K253" s="488"/>
      <c r="L253" s="488"/>
      <c r="M253" s="488"/>
      <c r="N253" s="488"/>
      <c r="O253" s="488"/>
      <c r="P253" s="488"/>
      <c r="Q253" s="488"/>
      <c r="R253" s="488"/>
      <c r="S253" s="488"/>
      <c r="T253" s="488"/>
      <c r="U253" s="488"/>
      <c r="V253" s="488"/>
      <c r="W253" s="488"/>
      <c r="X253" s="488"/>
      <c r="Y253" s="488"/>
      <c r="Z253" s="488"/>
      <c r="AA253" s="488"/>
      <c r="AB253" s="488"/>
      <c r="AC253" s="488"/>
      <c r="AD253" s="488"/>
      <c r="AE253" s="488"/>
      <c r="AF253" s="488"/>
      <c r="AG253" s="488"/>
      <c r="AH253" s="488"/>
      <c r="AI253" s="488"/>
      <c r="AJ253" s="488"/>
    </row>
    <row r="254" spans="1:36" s="496" customFormat="1">
      <c r="A254" s="493"/>
      <c r="B254" s="522"/>
      <c r="C254" s="493"/>
      <c r="D254" s="493"/>
      <c r="E254" s="493"/>
      <c r="F254" s="493"/>
      <c r="G254" s="493"/>
      <c r="H254" s="493"/>
      <c r="I254" s="493"/>
      <c r="J254" s="488"/>
      <c r="K254" s="488"/>
      <c r="L254" s="488"/>
      <c r="M254" s="488"/>
      <c r="N254" s="488"/>
      <c r="O254" s="488"/>
      <c r="P254" s="488"/>
      <c r="Q254" s="488"/>
      <c r="R254" s="488"/>
      <c r="S254" s="488"/>
      <c r="T254" s="488"/>
      <c r="U254" s="488"/>
      <c r="V254" s="488"/>
      <c r="W254" s="488"/>
      <c r="X254" s="488"/>
      <c r="Y254" s="488"/>
      <c r="Z254" s="488"/>
      <c r="AA254" s="488"/>
      <c r="AB254" s="488"/>
      <c r="AC254" s="488"/>
      <c r="AD254" s="488"/>
      <c r="AE254" s="488"/>
      <c r="AF254" s="488"/>
      <c r="AG254" s="488"/>
      <c r="AH254" s="488"/>
      <c r="AI254" s="488"/>
      <c r="AJ254" s="488"/>
    </row>
    <row r="255" spans="1:36" s="496" customFormat="1">
      <c r="A255" s="493"/>
      <c r="B255" s="522"/>
      <c r="C255" s="493"/>
      <c r="D255" s="493"/>
      <c r="E255" s="493"/>
      <c r="F255" s="493"/>
      <c r="G255" s="493"/>
      <c r="H255" s="493"/>
      <c r="I255" s="493"/>
      <c r="J255" s="488"/>
      <c r="K255" s="488"/>
      <c r="L255" s="488"/>
      <c r="M255" s="488"/>
      <c r="N255" s="488"/>
      <c r="O255" s="488"/>
      <c r="P255" s="488"/>
      <c r="Q255" s="488"/>
      <c r="R255" s="488"/>
      <c r="S255" s="488"/>
      <c r="T255" s="488"/>
      <c r="U255" s="488"/>
      <c r="V255" s="488"/>
      <c r="W255" s="488"/>
      <c r="X255" s="488"/>
      <c r="Y255" s="488"/>
      <c r="Z255" s="488"/>
      <c r="AA255" s="488"/>
      <c r="AB255" s="488"/>
      <c r="AC255" s="488"/>
      <c r="AD255" s="488"/>
      <c r="AE255" s="488"/>
      <c r="AF255" s="488"/>
      <c r="AG255" s="488"/>
      <c r="AH255" s="488"/>
      <c r="AI255" s="488"/>
      <c r="AJ255" s="488"/>
    </row>
    <row r="256" spans="1:36" s="496" customFormat="1">
      <c r="A256" s="493"/>
      <c r="B256" s="522"/>
      <c r="C256" s="493"/>
      <c r="D256" s="493"/>
      <c r="E256" s="493"/>
      <c r="F256" s="493"/>
      <c r="G256" s="493"/>
      <c r="H256" s="493"/>
      <c r="I256" s="493"/>
      <c r="J256" s="488"/>
      <c r="K256" s="488"/>
      <c r="L256" s="488"/>
      <c r="M256" s="488"/>
      <c r="N256" s="488"/>
      <c r="O256" s="488"/>
      <c r="P256" s="488"/>
      <c r="Q256" s="488"/>
      <c r="R256" s="488"/>
      <c r="S256" s="488"/>
      <c r="T256" s="488"/>
      <c r="U256" s="488"/>
      <c r="V256" s="488"/>
      <c r="W256" s="488"/>
      <c r="X256" s="488"/>
      <c r="Y256" s="488"/>
      <c r="Z256" s="488"/>
      <c r="AA256" s="488"/>
      <c r="AB256" s="488"/>
      <c r="AC256" s="488"/>
      <c r="AD256" s="488"/>
      <c r="AE256" s="488"/>
      <c r="AF256" s="488"/>
      <c r="AG256" s="488"/>
      <c r="AH256" s="488"/>
      <c r="AI256" s="488"/>
      <c r="AJ256" s="488"/>
    </row>
    <row r="257" spans="1:36" s="496" customFormat="1">
      <c r="A257" s="493"/>
      <c r="B257" s="522"/>
      <c r="C257" s="493"/>
      <c r="D257" s="493"/>
      <c r="E257" s="493"/>
      <c r="F257" s="493"/>
      <c r="G257" s="493"/>
      <c r="H257" s="493"/>
      <c r="I257" s="493"/>
      <c r="J257" s="488"/>
      <c r="K257" s="488"/>
      <c r="L257" s="488"/>
      <c r="M257" s="488"/>
      <c r="N257" s="488"/>
      <c r="O257" s="488"/>
      <c r="P257" s="488"/>
      <c r="Q257" s="488"/>
      <c r="R257" s="488"/>
      <c r="S257" s="488"/>
      <c r="T257" s="488"/>
      <c r="U257" s="488"/>
      <c r="V257" s="488"/>
      <c r="W257" s="488"/>
      <c r="X257" s="488"/>
      <c r="Y257" s="488"/>
      <c r="Z257" s="488"/>
      <c r="AA257" s="488"/>
      <c r="AB257" s="488"/>
      <c r="AC257" s="488"/>
      <c r="AD257" s="488"/>
      <c r="AE257" s="488"/>
      <c r="AF257" s="488"/>
      <c r="AG257" s="488"/>
      <c r="AH257" s="488"/>
      <c r="AI257" s="488"/>
      <c r="AJ257" s="488"/>
    </row>
    <row r="258" spans="1:36" s="496" customFormat="1">
      <c r="A258" s="493"/>
      <c r="B258" s="522"/>
      <c r="C258" s="493"/>
      <c r="D258" s="493"/>
      <c r="E258" s="493"/>
      <c r="F258" s="493"/>
      <c r="G258" s="493"/>
      <c r="H258" s="493"/>
      <c r="I258" s="493"/>
      <c r="J258" s="488"/>
      <c r="K258" s="488"/>
      <c r="L258" s="488"/>
      <c r="M258" s="488"/>
      <c r="N258" s="488"/>
      <c r="O258" s="488"/>
      <c r="P258" s="488"/>
      <c r="Q258" s="488"/>
      <c r="R258" s="488"/>
      <c r="S258" s="488"/>
      <c r="T258" s="488"/>
      <c r="U258" s="488"/>
      <c r="V258" s="488"/>
      <c r="W258" s="488"/>
      <c r="X258" s="488"/>
      <c r="Y258" s="488"/>
      <c r="Z258" s="488"/>
      <c r="AA258" s="488"/>
      <c r="AB258" s="488"/>
      <c r="AC258" s="488"/>
      <c r="AD258" s="488"/>
      <c r="AE258" s="488"/>
      <c r="AF258" s="488"/>
      <c r="AG258" s="488"/>
      <c r="AH258" s="488"/>
      <c r="AI258" s="488"/>
      <c r="AJ258" s="488"/>
    </row>
    <row r="259" spans="1:36" s="496" customFormat="1">
      <c r="A259" s="493"/>
      <c r="B259" s="522"/>
      <c r="C259" s="493"/>
      <c r="D259" s="493"/>
      <c r="E259" s="493"/>
      <c r="F259" s="493"/>
      <c r="G259" s="493"/>
      <c r="H259" s="493"/>
      <c r="I259" s="493"/>
      <c r="J259" s="488"/>
      <c r="K259" s="488"/>
      <c r="L259" s="488"/>
      <c r="M259" s="488"/>
      <c r="N259" s="488"/>
      <c r="O259" s="488"/>
      <c r="P259" s="488"/>
      <c r="Q259" s="488"/>
      <c r="R259" s="488"/>
      <c r="S259" s="488"/>
      <c r="T259" s="488"/>
      <c r="U259" s="488"/>
      <c r="V259" s="488"/>
      <c r="W259" s="488"/>
      <c r="X259" s="488"/>
      <c r="Y259" s="488"/>
      <c r="Z259" s="488"/>
      <c r="AA259" s="488"/>
      <c r="AB259" s="488"/>
      <c r="AC259" s="488"/>
      <c r="AD259" s="488"/>
      <c r="AE259" s="488"/>
      <c r="AF259" s="488"/>
      <c r="AG259" s="488"/>
      <c r="AH259" s="488"/>
      <c r="AI259" s="488"/>
      <c r="AJ259" s="488"/>
    </row>
    <row r="260" spans="1:36" s="496" customFormat="1">
      <c r="A260" s="493"/>
      <c r="B260" s="522"/>
      <c r="C260" s="493"/>
      <c r="D260" s="493"/>
      <c r="E260" s="493"/>
      <c r="F260" s="493"/>
      <c r="G260" s="493"/>
      <c r="H260" s="493"/>
      <c r="I260" s="493"/>
      <c r="J260" s="488"/>
      <c r="K260" s="488"/>
      <c r="L260" s="488"/>
      <c r="M260" s="488"/>
      <c r="N260" s="488"/>
      <c r="O260" s="488"/>
      <c r="P260" s="488"/>
      <c r="Q260" s="488"/>
      <c r="R260" s="488"/>
      <c r="S260" s="488"/>
      <c r="T260" s="488"/>
      <c r="U260" s="488"/>
      <c r="V260" s="488"/>
      <c r="W260" s="488"/>
      <c r="X260" s="488"/>
      <c r="Y260" s="488"/>
      <c r="Z260" s="488"/>
      <c r="AA260" s="488"/>
      <c r="AB260" s="488"/>
      <c r="AC260" s="488"/>
      <c r="AD260" s="488"/>
      <c r="AE260" s="488"/>
      <c r="AF260" s="488"/>
      <c r="AG260" s="488"/>
      <c r="AH260" s="488"/>
      <c r="AI260" s="488"/>
      <c r="AJ260" s="488"/>
    </row>
    <row r="261" spans="1:36" s="496" customFormat="1">
      <c r="A261" s="493"/>
      <c r="B261" s="522"/>
      <c r="C261" s="493"/>
      <c r="D261" s="493"/>
      <c r="E261" s="493"/>
      <c r="F261" s="493"/>
      <c r="G261" s="493"/>
      <c r="H261" s="493"/>
      <c r="I261" s="493"/>
      <c r="J261" s="488"/>
      <c r="K261" s="488"/>
      <c r="L261" s="488"/>
      <c r="M261" s="488"/>
      <c r="N261" s="488"/>
      <c r="O261" s="488"/>
      <c r="P261" s="488"/>
      <c r="Q261" s="488"/>
      <c r="R261" s="488"/>
      <c r="S261" s="488"/>
      <c r="T261" s="488"/>
      <c r="U261" s="488"/>
      <c r="V261" s="488"/>
      <c r="W261" s="488"/>
      <c r="X261" s="488"/>
      <c r="Y261" s="488"/>
      <c r="Z261" s="488"/>
      <c r="AA261" s="488"/>
      <c r="AB261" s="488"/>
      <c r="AC261" s="488"/>
      <c r="AD261" s="488"/>
      <c r="AE261" s="488"/>
      <c r="AF261" s="488"/>
      <c r="AG261" s="488"/>
      <c r="AH261" s="488"/>
      <c r="AI261" s="488"/>
      <c r="AJ261" s="488"/>
    </row>
    <row r="262" spans="1:36" s="496" customFormat="1">
      <c r="A262" s="493"/>
      <c r="B262" s="522"/>
      <c r="C262" s="493"/>
      <c r="D262" s="493"/>
      <c r="E262" s="493"/>
      <c r="F262" s="493"/>
      <c r="G262" s="493"/>
      <c r="H262" s="493"/>
      <c r="I262" s="493"/>
      <c r="J262" s="488"/>
      <c r="K262" s="488"/>
      <c r="L262" s="488"/>
      <c r="M262" s="488"/>
      <c r="N262" s="488"/>
      <c r="O262" s="488"/>
      <c r="P262" s="488"/>
      <c r="Q262" s="488"/>
      <c r="R262" s="488"/>
      <c r="S262" s="488"/>
      <c r="T262" s="488"/>
      <c r="U262" s="488"/>
      <c r="V262" s="488"/>
      <c r="W262" s="488"/>
      <c r="X262" s="488"/>
      <c r="Y262" s="488"/>
      <c r="Z262" s="488"/>
      <c r="AA262" s="488"/>
      <c r="AB262" s="488"/>
      <c r="AC262" s="488"/>
      <c r="AD262" s="488"/>
      <c r="AE262" s="488"/>
      <c r="AF262" s="488"/>
      <c r="AG262" s="488"/>
      <c r="AH262" s="488"/>
      <c r="AI262" s="488"/>
      <c r="AJ262" s="488"/>
    </row>
    <row r="263" spans="1:36" s="496" customFormat="1">
      <c r="A263" s="493"/>
      <c r="B263" s="522"/>
      <c r="C263" s="493"/>
      <c r="D263" s="493"/>
      <c r="E263" s="493"/>
      <c r="F263" s="493"/>
      <c r="G263" s="493"/>
      <c r="H263" s="493"/>
      <c r="I263" s="493"/>
      <c r="J263" s="488"/>
      <c r="K263" s="488"/>
      <c r="L263" s="488"/>
      <c r="M263" s="488"/>
      <c r="N263" s="488"/>
      <c r="O263" s="488"/>
      <c r="P263" s="488"/>
      <c r="Q263" s="488"/>
      <c r="R263" s="488"/>
      <c r="S263" s="488"/>
      <c r="T263" s="488"/>
      <c r="U263" s="488"/>
      <c r="V263" s="488"/>
      <c r="W263" s="488"/>
      <c r="X263" s="488"/>
      <c r="Y263" s="488"/>
      <c r="Z263" s="488"/>
      <c r="AA263" s="488"/>
      <c r="AB263" s="488"/>
      <c r="AC263" s="488"/>
      <c r="AD263" s="488"/>
      <c r="AE263" s="488"/>
      <c r="AF263" s="488"/>
      <c r="AG263" s="488"/>
      <c r="AH263" s="488"/>
      <c r="AI263" s="488"/>
      <c r="AJ263" s="488"/>
    </row>
    <row r="264" spans="1:36" s="496" customFormat="1">
      <c r="A264" s="493"/>
      <c r="B264" s="522"/>
      <c r="C264" s="493"/>
      <c r="D264" s="493"/>
      <c r="E264" s="493"/>
      <c r="F264" s="493"/>
      <c r="G264" s="493"/>
      <c r="H264" s="493"/>
      <c r="I264" s="493"/>
      <c r="J264" s="488"/>
      <c r="K264" s="488"/>
      <c r="L264" s="488"/>
      <c r="M264" s="488"/>
      <c r="N264" s="488"/>
      <c r="O264" s="488"/>
      <c r="P264" s="488"/>
      <c r="Q264" s="488"/>
      <c r="R264" s="488"/>
      <c r="S264" s="488"/>
      <c r="T264" s="488"/>
      <c r="U264" s="488"/>
      <c r="V264" s="488"/>
      <c r="W264" s="488"/>
      <c r="X264" s="488"/>
      <c r="Y264" s="488"/>
      <c r="Z264" s="488"/>
      <c r="AA264" s="488"/>
      <c r="AB264" s="488"/>
      <c r="AC264" s="488"/>
      <c r="AD264" s="488"/>
      <c r="AE264" s="488"/>
      <c r="AF264" s="488"/>
      <c r="AG264" s="488"/>
      <c r="AH264" s="488"/>
      <c r="AI264" s="488"/>
      <c r="AJ264" s="488"/>
    </row>
    <row r="265" spans="1:36" s="496" customFormat="1">
      <c r="A265" s="493"/>
      <c r="B265" s="522"/>
      <c r="C265" s="493"/>
      <c r="D265" s="493"/>
      <c r="E265" s="493"/>
      <c r="F265" s="493"/>
      <c r="G265" s="493"/>
      <c r="H265" s="493"/>
      <c r="I265" s="493"/>
      <c r="J265" s="488"/>
      <c r="K265" s="488"/>
      <c r="L265" s="488"/>
      <c r="M265" s="488"/>
      <c r="N265" s="488"/>
      <c r="O265" s="488"/>
      <c r="P265" s="488"/>
      <c r="Q265" s="488"/>
      <c r="R265" s="488"/>
      <c r="S265" s="488"/>
      <c r="T265" s="488"/>
      <c r="U265" s="488"/>
      <c r="V265" s="488"/>
      <c r="W265" s="488"/>
      <c r="X265" s="488"/>
      <c r="Y265" s="488"/>
      <c r="Z265" s="488"/>
      <c r="AA265" s="488"/>
      <c r="AB265" s="488"/>
      <c r="AC265" s="488"/>
      <c r="AD265" s="488"/>
      <c r="AE265" s="488"/>
      <c r="AF265" s="488"/>
      <c r="AG265" s="488"/>
      <c r="AH265" s="488"/>
      <c r="AI265" s="488"/>
      <c r="AJ265" s="488"/>
    </row>
    <row r="266" spans="1:36" s="496" customFormat="1">
      <c r="A266" s="493"/>
      <c r="B266" s="522"/>
      <c r="C266" s="493"/>
      <c r="D266" s="493"/>
      <c r="E266" s="493"/>
      <c r="F266" s="493"/>
      <c r="G266" s="493"/>
      <c r="H266" s="493"/>
      <c r="I266" s="493"/>
      <c r="J266" s="488"/>
      <c r="K266" s="488"/>
      <c r="L266" s="488"/>
      <c r="M266" s="488"/>
      <c r="N266" s="488"/>
      <c r="O266" s="488"/>
      <c r="P266" s="488"/>
      <c r="Q266" s="488"/>
      <c r="R266" s="488"/>
      <c r="S266" s="488"/>
      <c r="T266" s="488"/>
      <c r="U266" s="488"/>
      <c r="V266" s="488"/>
      <c r="W266" s="488"/>
      <c r="X266" s="488"/>
      <c r="Y266" s="488"/>
      <c r="Z266" s="488"/>
      <c r="AA266" s="488"/>
      <c r="AB266" s="488"/>
      <c r="AC266" s="488"/>
      <c r="AD266" s="488"/>
      <c r="AE266" s="488"/>
      <c r="AF266" s="488"/>
      <c r="AG266" s="488"/>
      <c r="AH266" s="488"/>
      <c r="AI266" s="488"/>
      <c r="AJ266" s="488"/>
    </row>
    <row r="267" spans="1:36" s="496" customFormat="1">
      <c r="A267" s="493"/>
      <c r="B267" s="522"/>
      <c r="C267" s="493"/>
      <c r="D267" s="493"/>
      <c r="E267" s="493"/>
      <c r="F267" s="493"/>
      <c r="G267" s="493"/>
      <c r="H267" s="493"/>
      <c r="I267" s="493"/>
      <c r="J267" s="488"/>
      <c r="K267" s="488"/>
      <c r="L267" s="488"/>
      <c r="M267" s="488"/>
      <c r="N267" s="488"/>
      <c r="O267" s="488"/>
      <c r="P267" s="488"/>
      <c r="Q267" s="488"/>
      <c r="R267" s="488"/>
      <c r="S267" s="488"/>
      <c r="T267" s="488"/>
      <c r="U267" s="488"/>
      <c r="V267" s="488"/>
      <c r="W267" s="488"/>
      <c r="X267" s="488"/>
      <c r="Y267" s="488"/>
      <c r="Z267" s="488"/>
      <c r="AA267" s="488"/>
      <c r="AB267" s="488"/>
      <c r="AC267" s="488"/>
      <c r="AD267" s="488"/>
      <c r="AE267" s="488"/>
      <c r="AF267" s="488"/>
      <c r="AG267" s="488"/>
      <c r="AH267" s="488"/>
      <c r="AI267" s="488"/>
      <c r="AJ267" s="488"/>
    </row>
    <row r="268" spans="1:36" s="496" customFormat="1">
      <c r="A268" s="493"/>
      <c r="B268" s="522"/>
      <c r="C268" s="493"/>
      <c r="D268" s="493"/>
      <c r="E268" s="493"/>
      <c r="F268" s="493"/>
      <c r="G268" s="493"/>
      <c r="H268" s="493"/>
      <c r="I268" s="493"/>
      <c r="J268" s="488"/>
      <c r="K268" s="488"/>
      <c r="L268" s="488"/>
      <c r="M268" s="488"/>
      <c r="N268" s="488"/>
      <c r="O268" s="488"/>
      <c r="P268" s="488"/>
      <c r="Q268" s="488"/>
      <c r="R268" s="488"/>
      <c r="S268" s="488"/>
      <c r="T268" s="488"/>
      <c r="U268" s="488"/>
      <c r="V268" s="488"/>
      <c r="W268" s="488"/>
      <c r="X268" s="488"/>
      <c r="Y268" s="488"/>
      <c r="Z268" s="488"/>
      <c r="AA268" s="488"/>
      <c r="AB268" s="488"/>
      <c r="AC268" s="488"/>
      <c r="AD268" s="488"/>
      <c r="AE268" s="488"/>
      <c r="AF268" s="488"/>
      <c r="AG268" s="488"/>
      <c r="AH268" s="488"/>
      <c r="AI268" s="488"/>
      <c r="AJ268" s="488"/>
    </row>
    <row r="269" spans="1:36" s="496" customFormat="1">
      <c r="A269" s="493"/>
      <c r="B269" s="522"/>
      <c r="C269" s="493"/>
      <c r="D269" s="493"/>
      <c r="E269" s="493"/>
      <c r="F269" s="493"/>
      <c r="G269" s="493"/>
      <c r="H269" s="493"/>
      <c r="I269" s="493"/>
      <c r="J269" s="488"/>
      <c r="K269" s="488"/>
      <c r="L269" s="488"/>
      <c r="M269" s="488"/>
      <c r="N269" s="488"/>
      <c r="O269" s="488"/>
      <c r="P269" s="488"/>
      <c r="Q269" s="488"/>
      <c r="R269" s="488"/>
      <c r="S269" s="488"/>
      <c r="T269" s="488"/>
      <c r="U269" s="488"/>
      <c r="V269" s="488"/>
      <c r="W269" s="488"/>
      <c r="X269" s="488"/>
      <c r="Y269" s="488"/>
      <c r="Z269" s="488"/>
      <c r="AA269" s="488"/>
      <c r="AB269" s="488"/>
      <c r="AC269" s="488"/>
      <c r="AD269" s="488"/>
      <c r="AE269" s="488"/>
      <c r="AF269" s="488"/>
      <c r="AG269" s="488"/>
      <c r="AH269" s="488"/>
      <c r="AI269" s="488"/>
      <c r="AJ269" s="488"/>
    </row>
    <row r="270" spans="1:36" s="496" customFormat="1">
      <c r="A270" s="493"/>
      <c r="B270" s="522"/>
      <c r="C270" s="493"/>
      <c r="D270" s="493"/>
      <c r="E270" s="493"/>
      <c r="F270" s="493"/>
      <c r="G270" s="493"/>
      <c r="H270" s="493"/>
      <c r="I270" s="493"/>
      <c r="J270" s="488"/>
      <c r="K270" s="488"/>
      <c r="L270" s="488"/>
      <c r="M270" s="488"/>
      <c r="N270" s="488"/>
      <c r="O270" s="488"/>
      <c r="P270" s="488"/>
      <c r="Q270" s="488"/>
      <c r="R270" s="488"/>
      <c r="S270" s="488"/>
      <c r="T270" s="488"/>
      <c r="U270" s="488"/>
      <c r="V270" s="488"/>
      <c r="W270" s="488"/>
      <c r="X270" s="488"/>
      <c r="Y270" s="488"/>
      <c r="Z270" s="488"/>
      <c r="AA270" s="488"/>
      <c r="AB270" s="488"/>
      <c r="AC270" s="488"/>
      <c r="AD270" s="488"/>
      <c r="AE270" s="488"/>
      <c r="AF270" s="488"/>
      <c r="AG270" s="488"/>
      <c r="AH270" s="488"/>
      <c r="AI270" s="488"/>
      <c r="AJ270" s="488"/>
    </row>
    <row r="271" spans="1:36" s="496" customFormat="1">
      <c r="A271" s="493"/>
      <c r="B271" s="522"/>
      <c r="C271" s="493"/>
      <c r="D271" s="493"/>
      <c r="E271" s="493"/>
      <c r="F271" s="493"/>
      <c r="G271" s="493"/>
      <c r="H271" s="493"/>
      <c r="I271" s="493"/>
      <c r="J271" s="488"/>
      <c r="K271" s="488"/>
      <c r="L271" s="488"/>
      <c r="M271" s="488"/>
      <c r="N271" s="488"/>
      <c r="O271" s="488"/>
      <c r="P271" s="488"/>
      <c r="Q271" s="488"/>
      <c r="R271" s="488"/>
      <c r="S271" s="488"/>
      <c r="T271" s="488"/>
      <c r="U271" s="488"/>
      <c r="V271" s="488"/>
      <c r="W271" s="488"/>
      <c r="X271" s="488"/>
      <c r="Y271" s="488"/>
      <c r="Z271" s="488"/>
      <c r="AA271" s="488"/>
      <c r="AB271" s="488"/>
      <c r="AC271" s="488"/>
      <c r="AD271" s="488"/>
      <c r="AE271" s="488"/>
      <c r="AF271" s="488"/>
      <c r="AG271" s="488"/>
      <c r="AH271" s="488"/>
      <c r="AI271" s="488"/>
      <c r="AJ271" s="488"/>
    </row>
    <row r="272" spans="1:36" s="496" customFormat="1">
      <c r="A272" s="493"/>
      <c r="B272" s="522"/>
      <c r="C272" s="493"/>
      <c r="D272" s="493"/>
      <c r="E272" s="493"/>
      <c r="F272" s="493"/>
      <c r="G272" s="493"/>
      <c r="H272" s="493"/>
      <c r="I272" s="493"/>
      <c r="J272" s="488"/>
      <c r="K272" s="488"/>
      <c r="L272" s="488"/>
      <c r="M272" s="488"/>
      <c r="N272" s="488"/>
      <c r="O272" s="488"/>
      <c r="P272" s="488"/>
      <c r="Q272" s="488"/>
      <c r="R272" s="488"/>
      <c r="S272" s="488"/>
      <c r="T272" s="488"/>
      <c r="U272" s="488"/>
      <c r="V272" s="488"/>
      <c r="W272" s="488"/>
      <c r="X272" s="488"/>
      <c r="Y272" s="488"/>
      <c r="Z272" s="488"/>
      <c r="AA272" s="488"/>
      <c r="AB272" s="488"/>
      <c r="AC272" s="488"/>
      <c r="AD272" s="488"/>
      <c r="AE272" s="488"/>
      <c r="AF272" s="488"/>
      <c r="AG272" s="488"/>
      <c r="AH272" s="488"/>
      <c r="AI272" s="488"/>
      <c r="AJ272" s="488"/>
    </row>
    <row r="273" spans="1:36" s="496" customFormat="1">
      <c r="A273" s="493"/>
      <c r="B273" s="522"/>
      <c r="C273" s="493"/>
      <c r="D273" s="493"/>
      <c r="E273" s="493"/>
      <c r="F273" s="493"/>
      <c r="G273" s="493"/>
      <c r="H273" s="493"/>
      <c r="I273" s="493"/>
      <c r="J273" s="488"/>
      <c r="K273" s="488"/>
      <c r="L273" s="488"/>
      <c r="M273" s="488"/>
      <c r="N273" s="488"/>
      <c r="O273" s="488"/>
      <c r="P273" s="488"/>
      <c r="Q273" s="488"/>
      <c r="R273" s="488"/>
      <c r="S273" s="488"/>
      <c r="T273" s="488"/>
      <c r="U273" s="488"/>
      <c r="V273" s="488"/>
      <c r="W273" s="488"/>
      <c r="X273" s="488"/>
      <c r="Y273" s="488"/>
      <c r="Z273" s="488"/>
      <c r="AA273" s="488"/>
      <c r="AB273" s="488"/>
      <c r="AC273" s="488"/>
      <c r="AD273" s="488"/>
      <c r="AE273" s="488"/>
      <c r="AF273" s="488"/>
      <c r="AG273" s="488"/>
      <c r="AH273" s="488"/>
      <c r="AI273" s="488"/>
      <c r="AJ273" s="488"/>
    </row>
    <row r="274" spans="1:36" s="496" customFormat="1">
      <c r="A274" s="493"/>
      <c r="B274" s="522"/>
      <c r="C274" s="493"/>
      <c r="D274" s="493"/>
      <c r="E274" s="493"/>
      <c r="F274" s="493"/>
      <c r="G274" s="493"/>
      <c r="H274" s="493"/>
      <c r="I274" s="493"/>
      <c r="J274" s="488"/>
      <c r="K274" s="488"/>
      <c r="L274" s="488"/>
      <c r="M274" s="488"/>
      <c r="N274" s="488"/>
      <c r="O274" s="488"/>
      <c r="P274" s="488"/>
      <c r="Q274" s="488"/>
      <c r="R274" s="488"/>
      <c r="S274" s="488"/>
      <c r="T274" s="488"/>
      <c r="U274" s="488"/>
      <c r="V274" s="488"/>
      <c r="W274" s="488"/>
      <c r="X274" s="488"/>
      <c r="Y274" s="488"/>
      <c r="Z274" s="488"/>
      <c r="AA274" s="488"/>
      <c r="AB274" s="488"/>
      <c r="AC274" s="488"/>
      <c r="AD274" s="488"/>
      <c r="AE274" s="488"/>
      <c r="AF274" s="488"/>
      <c r="AG274" s="488"/>
      <c r="AH274" s="488"/>
      <c r="AI274" s="488"/>
      <c r="AJ274" s="488"/>
    </row>
    <row r="275" spans="1:36" s="496" customFormat="1">
      <c r="A275" s="493"/>
      <c r="B275" s="522"/>
      <c r="C275" s="493"/>
      <c r="D275" s="493"/>
      <c r="E275" s="493"/>
      <c r="F275" s="493"/>
      <c r="G275" s="493"/>
      <c r="H275" s="493"/>
      <c r="I275" s="493"/>
      <c r="J275" s="488"/>
      <c r="K275" s="488"/>
      <c r="L275" s="488"/>
      <c r="M275" s="488"/>
      <c r="N275" s="488"/>
      <c r="O275" s="488"/>
      <c r="P275" s="488"/>
      <c r="Q275" s="488"/>
      <c r="R275" s="488"/>
      <c r="S275" s="488"/>
      <c r="T275" s="488"/>
      <c r="U275" s="488"/>
      <c r="V275" s="488"/>
      <c r="W275" s="488"/>
      <c r="X275" s="488"/>
      <c r="Y275" s="488"/>
      <c r="Z275" s="488"/>
      <c r="AA275" s="488"/>
      <c r="AB275" s="488"/>
      <c r="AC275" s="488"/>
      <c r="AD275" s="488"/>
      <c r="AE275" s="488"/>
      <c r="AF275" s="488"/>
      <c r="AG275" s="488"/>
      <c r="AH275" s="488"/>
      <c r="AI275" s="488"/>
      <c r="AJ275" s="488"/>
    </row>
    <row r="276" spans="1:36" s="496" customFormat="1">
      <c r="A276" s="493"/>
      <c r="B276" s="522"/>
      <c r="C276" s="493"/>
      <c r="D276" s="493"/>
      <c r="E276" s="493"/>
      <c r="F276" s="493"/>
      <c r="G276" s="493"/>
      <c r="H276" s="493"/>
      <c r="I276" s="493"/>
      <c r="J276" s="488"/>
      <c r="K276" s="488"/>
      <c r="L276" s="488"/>
      <c r="M276" s="488"/>
      <c r="N276" s="488"/>
      <c r="O276" s="488"/>
      <c r="P276" s="488"/>
      <c r="Q276" s="488"/>
      <c r="R276" s="488"/>
      <c r="S276" s="488"/>
      <c r="T276" s="488"/>
      <c r="U276" s="488"/>
      <c r="V276" s="488"/>
      <c r="W276" s="488"/>
      <c r="X276" s="488"/>
      <c r="Y276" s="488"/>
      <c r="Z276" s="488"/>
      <c r="AA276" s="488"/>
      <c r="AB276" s="488"/>
      <c r="AC276" s="488"/>
      <c r="AD276" s="488"/>
      <c r="AE276" s="488"/>
      <c r="AF276" s="488"/>
      <c r="AG276" s="488"/>
      <c r="AH276" s="488"/>
      <c r="AI276" s="488"/>
      <c r="AJ276" s="488"/>
    </row>
    <row r="277" spans="1:36" s="496" customFormat="1">
      <c r="A277" s="493"/>
      <c r="B277" s="522"/>
      <c r="C277" s="493"/>
      <c r="D277" s="493"/>
      <c r="E277" s="493"/>
      <c r="F277" s="493"/>
      <c r="G277" s="493"/>
      <c r="H277" s="493"/>
      <c r="I277" s="493"/>
      <c r="J277" s="488"/>
      <c r="K277" s="488"/>
      <c r="L277" s="488"/>
      <c r="M277" s="488"/>
      <c r="N277" s="488"/>
      <c r="O277" s="488"/>
      <c r="P277" s="488"/>
      <c r="Q277" s="488"/>
      <c r="R277" s="488"/>
      <c r="S277" s="488"/>
      <c r="T277" s="488"/>
      <c r="U277" s="488"/>
      <c r="V277" s="488"/>
      <c r="W277" s="488"/>
      <c r="X277" s="488"/>
      <c r="Y277" s="488"/>
      <c r="Z277" s="488"/>
      <c r="AA277" s="488"/>
      <c r="AB277" s="488"/>
      <c r="AC277" s="488"/>
      <c r="AD277" s="488"/>
      <c r="AE277" s="488"/>
      <c r="AF277" s="488"/>
      <c r="AG277" s="488"/>
      <c r="AH277" s="488"/>
      <c r="AI277" s="488"/>
      <c r="AJ277" s="488"/>
    </row>
    <row r="278" spans="1:36" s="496" customFormat="1">
      <c r="A278" s="493"/>
      <c r="B278" s="522"/>
      <c r="C278" s="493"/>
      <c r="D278" s="493"/>
      <c r="E278" s="493"/>
      <c r="F278" s="493"/>
      <c r="G278" s="493"/>
      <c r="H278" s="493"/>
      <c r="I278" s="493"/>
      <c r="J278" s="488"/>
      <c r="K278" s="488"/>
      <c r="L278" s="488"/>
      <c r="M278" s="488"/>
      <c r="N278" s="488"/>
      <c r="O278" s="488"/>
      <c r="P278" s="488"/>
      <c r="Q278" s="488"/>
      <c r="R278" s="488"/>
      <c r="S278" s="488"/>
      <c r="T278" s="488"/>
      <c r="U278" s="488"/>
      <c r="V278" s="488"/>
      <c r="W278" s="488"/>
      <c r="X278" s="488"/>
      <c r="Y278" s="488"/>
      <c r="Z278" s="488"/>
      <c r="AA278" s="488"/>
      <c r="AB278" s="488"/>
      <c r="AC278" s="488"/>
      <c r="AD278" s="488"/>
      <c r="AE278" s="488"/>
      <c r="AF278" s="488"/>
      <c r="AG278" s="488"/>
      <c r="AH278" s="488"/>
      <c r="AI278" s="488"/>
      <c r="AJ278" s="488"/>
    </row>
    <row r="279" spans="1:36" s="496" customFormat="1">
      <c r="A279" s="493"/>
      <c r="B279" s="522"/>
      <c r="C279" s="493"/>
      <c r="D279" s="493"/>
      <c r="E279" s="493"/>
      <c r="F279" s="493"/>
      <c r="G279" s="493"/>
      <c r="H279" s="493"/>
      <c r="I279" s="493"/>
      <c r="J279" s="488"/>
      <c r="K279" s="488"/>
      <c r="L279" s="488"/>
      <c r="M279" s="488"/>
      <c r="N279" s="488"/>
      <c r="O279" s="488"/>
      <c r="P279" s="488"/>
      <c r="Q279" s="488"/>
      <c r="R279" s="488"/>
      <c r="S279" s="488"/>
      <c r="T279" s="488"/>
      <c r="U279" s="488"/>
      <c r="V279" s="488"/>
      <c r="W279" s="488"/>
      <c r="X279" s="488"/>
      <c r="Y279" s="488"/>
      <c r="Z279" s="488"/>
      <c r="AA279" s="488"/>
      <c r="AB279" s="488"/>
      <c r="AC279" s="488"/>
      <c r="AD279" s="488"/>
      <c r="AE279" s="488"/>
      <c r="AF279" s="488"/>
      <c r="AG279" s="488"/>
      <c r="AH279" s="488"/>
      <c r="AI279" s="488"/>
      <c r="AJ279" s="488"/>
    </row>
    <row r="280" spans="1:36" s="496" customFormat="1">
      <c r="A280" s="493"/>
      <c r="B280" s="522"/>
      <c r="C280" s="493"/>
      <c r="D280" s="493"/>
      <c r="E280" s="493"/>
      <c r="F280" s="493"/>
      <c r="G280" s="493"/>
      <c r="H280" s="493"/>
      <c r="I280" s="493"/>
      <c r="J280" s="488"/>
      <c r="K280" s="488"/>
      <c r="L280" s="488"/>
      <c r="M280" s="488"/>
      <c r="N280" s="488"/>
      <c r="O280" s="488"/>
      <c r="P280" s="488"/>
      <c r="Q280" s="488"/>
      <c r="R280" s="488"/>
      <c r="S280" s="488"/>
      <c r="T280" s="488"/>
      <c r="U280" s="488"/>
      <c r="V280" s="488"/>
      <c r="W280" s="488"/>
      <c r="X280" s="488"/>
      <c r="Y280" s="488"/>
      <c r="Z280" s="488"/>
      <c r="AA280" s="488"/>
      <c r="AB280" s="488"/>
      <c r="AC280" s="488"/>
      <c r="AD280" s="488"/>
      <c r="AE280" s="488"/>
      <c r="AF280" s="488"/>
      <c r="AG280" s="488"/>
      <c r="AH280" s="488"/>
      <c r="AI280" s="488"/>
      <c r="AJ280" s="488"/>
    </row>
    <row r="281" spans="1:36" s="496" customFormat="1">
      <c r="A281" s="493"/>
      <c r="B281" s="522"/>
      <c r="C281" s="493"/>
      <c r="D281" s="493"/>
      <c r="E281" s="493"/>
      <c r="F281" s="493"/>
      <c r="G281" s="493"/>
      <c r="H281" s="493"/>
      <c r="I281" s="493"/>
      <c r="J281" s="488"/>
      <c r="K281" s="488"/>
      <c r="L281" s="488"/>
      <c r="M281" s="488"/>
      <c r="N281" s="488"/>
      <c r="O281" s="488"/>
      <c r="P281" s="488"/>
      <c r="Q281" s="488"/>
      <c r="R281" s="488"/>
      <c r="S281" s="488"/>
      <c r="T281" s="488"/>
      <c r="U281" s="488"/>
      <c r="V281" s="488"/>
      <c r="W281" s="488"/>
      <c r="X281" s="488"/>
      <c r="Y281" s="488"/>
      <c r="Z281" s="488"/>
      <c r="AA281" s="488"/>
      <c r="AB281" s="488"/>
      <c r="AC281" s="488"/>
      <c r="AD281" s="488"/>
      <c r="AE281" s="488"/>
      <c r="AF281" s="488"/>
      <c r="AG281" s="488"/>
      <c r="AH281" s="488"/>
      <c r="AI281" s="488"/>
      <c r="AJ281" s="488"/>
    </row>
    <row r="282" spans="1:36" s="496" customFormat="1">
      <c r="A282" s="493"/>
      <c r="B282" s="522"/>
      <c r="C282" s="493"/>
      <c r="D282" s="493"/>
      <c r="E282" s="493"/>
      <c r="F282" s="493"/>
      <c r="G282" s="493"/>
      <c r="H282" s="493"/>
      <c r="I282" s="493"/>
      <c r="J282" s="488"/>
      <c r="K282" s="488"/>
      <c r="L282" s="488"/>
      <c r="M282" s="488"/>
      <c r="N282" s="488"/>
      <c r="O282" s="488"/>
      <c r="P282" s="488"/>
      <c r="Q282" s="488"/>
      <c r="R282" s="488"/>
      <c r="S282" s="488"/>
      <c r="T282" s="488"/>
      <c r="U282" s="488"/>
      <c r="V282" s="488"/>
      <c r="W282" s="488"/>
      <c r="X282" s="488"/>
      <c r="Y282" s="488"/>
      <c r="Z282" s="488"/>
      <c r="AA282" s="488"/>
      <c r="AB282" s="488"/>
      <c r="AC282" s="488"/>
      <c r="AD282" s="488"/>
      <c r="AE282" s="488"/>
      <c r="AF282" s="488"/>
      <c r="AG282" s="488"/>
      <c r="AH282" s="488"/>
      <c r="AI282" s="488"/>
      <c r="AJ282" s="488"/>
    </row>
    <row r="283" spans="1:36" s="496" customFormat="1">
      <c r="A283" s="488"/>
      <c r="C283" s="488"/>
      <c r="D283" s="488"/>
      <c r="E283" s="488"/>
      <c r="F283" s="488"/>
      <c r="G283" s="488"/>
      <c r="H283" s="488"/>
      <c r="I283" s="493"/>
      <c r="J283" s="488"/>
      <c r="K283" s="488"/>
      <c r="L283" s="488"/>
      <c r="M283" s="488"/>
      <c r="N283" s="488"/>
      <c r="O283" s="488"/>
      <c r="P283" s="488"/>
      <c r="Q283" s="488"/>
      <c r="R283" s="488"/>
      <c r="S283" s="488"/>
      <c r="T283" s="488"/>
      <c r="U283" s="488"/>
      <c r="V283" s="488"/>
      <c r="W283" s="488"/>
      <c r="X283" s="488"/>
      <c r="Y283" s="488"/>
      <c r="Z283" s="488"/>
      <c r="AA283" s="488"/>
      <c r="AB283" s="488"/>
      <c r="AC283" s="488"/>
      <c r="AD283" s="488"/>
      <c r="AE283" s="488"/>
      <c r="AF283" s="488"/>
      <c r="AG283" s="488"/>
      <c r="AH283" s="488"/>
      <c r="AI283" s="488"/>
      <c r="AJ283" s="488"/>
    </row>
    <row r="284" spans="1:36" s="496" customFormat="1">
      <c r="A284" s="488"/>
      <c r="C284" s="488"/>
      <c r="D284" s="488"/>
      <c r="E284" s="488"/>
      <c r="F284" s="488"/>
      <c r="G284" s="488"/>
      <c r="H284" s="488"/>
      <c r="I284" s="493"/>
      <c r="J284" s="488"/>
      <c r="K284" s="488"/>
      <c r="L284" s="488"/>
      <c r="M284" s="488"/>
      <c r="N284" s="488"/>
      <c r="O284" s="488"/>
      <c r="P284" s="488"/>
      <c r="Q284" s="488"/>
      <c r="R284" s="488"/>
      <c r="S284" s="488"/>
      <c r="T284" s="488"/>
      <c r="U284" s="488"/>
      <c r="V284" s="488"/>
      <c r="W284" s="488"/>
      <c r="X284" s="488"/>
      <c r="Y284" s="488"/>
      <c r="Z284" s="488"/>
      <c r="AA284" s="488"/>
      <c r="AB284" s="488"/>
      <c r="AC284" s="488"/>
      <c r="AD284" s="488"/>
      <c r="AE284" s="488"/>
      <c r="AF284" s="488"/>
      <c r="AG284" s="488"/>
      <c r="AH284" s="488"/>
      <c r="AI284" s="488"/>
      <c r="AJ284" s="488"/>
    </row>
    <row r="285" spans="1:36" s="496" customFormat="1">
      <c r="A285" s="488"/>
      <c r="C285" s="488"/>
      <c r="D285" s="488"/>
      <c r="E285" s="488"/>
      <c r="F285" s="488"/>
      <c r="G285" s="488"/>
      <c r="H285" s="488"/>
      <c r="I285" s="493"/>
      <c r="J285" s="488"/>
      <c r="K285" s="488"/>
      <c r="L285" s="488"/>
      <c r="M285" s="488"/>
      <c r="N285" s="488"/>
      <c r="O285" s="488"/>
      <c r="P285" s="488"/>
      <c r="Q285" s="488"/>
      <c r="R285" s="488"/>
      <c r="S285" s="488"/>
      <c r="T285" s="488"/>
      <c r="U285" s="488"/>
      <c r="V285" s="488"/>
      <c r="W285" s="488"/>
      <c r="X285" s="488"/>
      <c r="Y285" s="488"/>
      <c r="Z285" s="488"/>
      <c r="AA285" s="488"/>
      <c r="AB285" s="488"/>
      <c r="AC285" s="488"/>
      <c r="AD285" s="488"/>
      <c r="AE285" s="488"/>
      <c r="AF285" s="488"/>
      <c r="AG285" s="488"/>
      <c r="AH285" s="488"/>
      <c r="AI285" s="488"/>
      <c r="AJ285" s="488"/>
    </row>
    <row r="286" spans="1:36" s="496" customFormat="1">
      <c r="A286" s="488"/>
      <c r="C286" s="488"/>
      <c r="D286" s="488"/>
      <c r="E286" s="488"/>
      <c r="F286" s="488"/>
      <c r="G286" s="488"/>
      <c r="H286" s="488"/>
      <c r="I286" s="493"/>
      <c r="J286" s="488"/>
      <c r="K286" s="488"/>
      <c r="L286" s="488"/>
      <c r="M286" s="488"/>
      <c r="N286" s="488"/>
      <c r="O286" s="488"/>
      <c r="P286" s="488"/>
      <c r="Q286" s="488"/>
      <c r="R286" s="488"/>
      <c r="S286" s="488"/>
      <c r="T286" s="488"/>
      <c r="U286" s="488"/>
      <c r="V286" s="488"/>
      <c r="W286" s="488"/>
      <c r="X286" s="488"/>
      <c r="Y286" s="488"/>
      <c r="Z286" s="488"/>
      <c r="AA286" s="488"/>
      <c r="AB286" s="488"/>
      <c r="AC286" s="488"/>
      <c r="AD286" s="488"/>
      <c r="AE286" s="488"/>
      <c r="AF286" s="488"/>
      <c r="AG286" s="488"/>
      <c r="AH286" s="488"/>
      <c r="AI286" s="488"/>
      <c r="AJ286" s="488"/>
    </row>
    <row r="287" spans="1:36" s="496" customFormat="1">
      <c r="A287" s="488"/>
      <c r="C287" s="488"/>
      <c r="D287" s="488"/>
      <c r="E287" s="488"/>
      <c r="F287" s="488"/>
      <c r="G287" s="488"/>
      <c r="H287" s="488"/>
      <c r="I287" s="493"/>
      <c r="J287" s="488"/>
      <c r="K287" s="488"/>
      <c r="L287" s="488"/>
      <c r="M287" s="488"/>
      <c r="N287" s="488"/>
      <c r="O287" s="488"/>
      <c r="P287" s="488"/>
      <c r="Q287" s="488"/>
      <c r="R287" s="488"/>
      <c r="S287" s="488"/>
      <c r="T287" s="488"/>
      <c r="U287" s="488"/>
      <c r="V287" s="488"/>
      <c r="W287" s="488"/>
      <c r="X287" s="488"/>
      <c r="Y287" s="488"/>
      <c r="Z287" s="488"/>
      <c r="AA287" s="488"/>
      <c r="AB287" s="488"/>
      <c r="AC287" s="488"/>
      <c r="AD287" s="488"/>
      <c r="AE287" s="488"/>
      <c r="AF287" s="488"/>
      <c r="AG287" s="488"/>
      <c r="AH287" s="488"/>
      <c r="AI287" s="488"/>
      <c r="AJ287" s="488"/>
    </row>
    <row r="288" spans="1:36" s="496" customFormat="1">
      <c r="A288" s="488"/>
      <c r="C288" s="488"/>
      <c r="D288" s="488"/>
      <c r="E288" s="488"/>
      <c r="F288" s="488"/>
      <c r="G288" s="488"/>
      <c r="H288" s="488"/>
      <c r="I288" s="493"/>
      <c r="J288" s="488"/>
      <c r="K288" s="488"/>
      <c r="L288" s="488"/>
      <c r="M288" s="488"/>
      <c r="N288" s="488"/>
      <c r="O288" s="488"/>
      <c r="P288" s="488"/>
      <c r="Q288" s="488"/>
      <c r="R288" s="488"/>
      <c r="S288" s="488"/>
      <c r="T288" s="488"/>
      <c r="U288" s="488"/>
      <c r="V288" s="488"/>
      <c r="W288" s="488"/>
      <c r="X288" s="488"/>
      <c r="Y288" s="488"/>
      <c r="Z288" s="488"/>
      <c r="AA288" s="488"/>
      <c r="AB288" s="488"/>
      <c r="AC288" s="488"/>
      <c r="AD288" s="488"/>
      <c r="AE288" s="488"/>
      <c r="AF288" s="488"/>
      <c r="AG288" s="488"/>
      <c r="AH288" s="488"/>
      <c r="AI288" s="488"/>
      <c r="AJ288" s="488"/>
    </row>
    <row r="289" spans="1:36" s="496" customFormat="1">
      <c r="A289" s="488"/>
      <c r="C289" s="488"/>
      <c r="D289" s="488"/>
      <c r="E289" s="488"/>
      <c r="F289" s="488"/>
      <c r="G289" s="488"/>
      <c r="H289" s="488"/>
      <c r="I289" s="493"/>
      <c r="J289" s="488"/>
      <c r="K289" s="488"/>
      <c r="L289" s="488"/>
      <c r="M289" s="488"/>
      <c r="N289" s="488"/>
      <c r="O289" s="488"/>
      <c r="P289" s="488"/>
      <c r="Q289" s="488"/>
      <c r="R289" s="488"/>
      <c r="S289" s="488"/>
      <c r="T289" s="488"/>
      <c r="U289" s="488"/>
      <c r="V289" s="488"/>
      <c r="W289" s="488"/>
      <c r="X289" s="488"/>
      <c r="Y289" s="488"/>
      <c r="Z289" s="488"/>
      <c r="AA289" s="488"/>
      <c r="AB289" s="488"/>
      <c r="AC289" s="488"/>
      <c r="AD289" s="488"/>
      <c r="AE289" s="488"/>
      <c r="AF289" s="488"/>
      <c r="AG289" s="488"/>
      <c r="AH289" s="488"/>
      <c r="AI289" s="488"/>
      <c r="AJ289" s="488"/>
    </row>
    <row r="290" spans="1:36" s="496" customFormat="1">
      <c r="A290" s="488"/>
      <c r="C290" s="488"/>
      <c r="D290" s="488"/>
      <c r="E290" s="488"/>
      <c r="F290" s="488"/>
      <c r="G290" s="488"/>
      <c r="H290" s="488"/>
      <c r="I290" s="493"/>
      <c r="J290" s="488"/>
      <c r="K290" s="488"/>
      <c r="L290" s="488"/>
      <c r="M290" s="488"/>
      <c r="N290" s="488"/>
      <c r="O290" s="488"/>
      <c r="P290" s="488"/>
      <c r="Q290" s="488"/>
      <c r="R290" s="488"/>
      <c r="S290" s="488"/>
      <c r="T290" s="488"/>
      <c r="U290" s="488"/>
      <c r="V290" s="488"/>
      <c r="W290" s="488"/>
      <c r="X290" s="488"/>
      <c r="Y290" s="488"/>
      <c r="Z290" s="488"/>
      <c r="AA290" s="488"/>
      <c r="AB290" s="488"/>
      <c r="AC290" s="488"/>
      <c r="AD290" s="488"/>
      <c r="AE290" s="488"/>
      <c r="AF290" s="488"/>
      <c r="AG290" s="488"/>
      <c r="AH290" s="488"/>
      <c r="AI290" s="488"/>
      <c r="AJ290" s="488"/>
    </row>
    <row r="291" spans="1:36" s="496" customFormat="1">
      <c r="A291" s="488"/>
      <c r="C291" s="488"/>
      <c r="D291" s="488"/>
      <c r="E291" s="488"/>
      <c r="F291" s="488"/>
      <c r="G291" s="488"/>
      <c r="H291" s="488"/>
      <c r="I291" s="493"/>
      <c r="J291" s="488"/>
      <c r="K291" s="488"/>
      <c r="L291" s="488"/>
      <c r="M291" s="488"/>
      <c r="N291" s="488"/>
      <c r="O291" s="488"/>
      <c r="P291" s="488"/>
      <c r="Q291" s="488"/>
      <c r="R291" s="488"/>
      <c r="S291" s="488"/>
      <c r="T291" s="488"/>
      <c r="U291" s="488"/>
      <c r="V291" s="488"/>
      <c r="W291" s="488"/>
      <c r="X291" s="488"/>
      <c r="Y291" s="488"/>
      <c r="Z291" s="488"/>
      <c r="AA291" s="488"/>
      <c r="AB291" s="488"/>
      <c r="AC291" s="488"/>
      <c r="AD291" s="488"/>
      <c r="AE291" s="488"/>
      <c r="AF291" s="488"/>
      <c r="AG291" s="488"/>
      <c r="AH291" s="488"/>
      <c r="AI291" s="488"/>
      <c r="AJ291" s="488"/>
    </row>
    <row r="292" spans="1:36" s="496" customFormat="1">
      <c r="A292" s="488"/>
      <c r="C292" s="488"/>
      <c r="D292" s="488"/>
      <c r="E292" s="488"/>
      <c r="F292" s="488"/>
      <c r="G292" s="488"/>
      <c r="H292" s="488"/>
      <c r="I292" s="493"/>
      <c r="J292" s="488"/>
      <c r="K292" s="488"/>
      <c r="L292" s="488"/>
      <c r="M292" s="488"/>
      <c r="N292" s="488"/>
      <c r="O292" s="488"/>
      <c r="P292" s="488"/>
      <c r="Q292" s="488"/>
      <c r="R292" s="488"/>
      <c r="S292" s="488"/>
      <c r="T292" s="488"/>
      <c r="U292" s="488"/>
      <c r="V292" s="488"/>
      <c r="W292" s="488"/>
      <c r="X292" s="488"/>
      <c r="Y292" s="488"/>
      <c r="Z292" s="488"/>
      <c r="AA292" s="488"/>
      <c r="AB292" s="488"/>
      <c r="AC292" s="488"/>
      <c r="AD292" s="488"/>
      <c r="AE292" s="488"/>
      <c r="AF292" s="488"/>
      <c r="AG292" s="488"/>
      <c r="AH292" s="488"/>
      <c r="AI292" s="488"/>
      <c r="AJ292" s="488"/>
    </row>
    <row r="293" spans="1:36" s="496" customFormat="1">
      <c r="A293" s="488"/>
      <c r="C293" s="488"/>
      <c r="D293" s="488"/>
      <c r="E293" s="488"/>
      <c r="F293" s="488"/>
      <c r="G293" s="488"/>
      <c r="H293" s="488"/>
      <c r="I293" s="493"/>
      <c r="J293" s="488"/>
      <c r="K293" s="488"/>
      <c r="L293" s="488"/>
      <c r="M293" s="488"/>
      <c r="N293" s="488"/>
      <c r="O293" s="488"/>
      <c r="P293" s="488"/>
      <c r="Q293" s="488"/>
      <c r="R293" s="488"/>
      <c r="S293" s="488"/>
      <c r="T293" s="488"/>
      <c r="U293" s="488"/>
      <c r="V293" s="488"/>
      <c r="W293" s="488"/>
      <c r="X293" s="488"/>
      <c r="Y293" s="488"/>
      <c r="Z293" s="488"/>
      <c r="AA293" s="488"/>
      <c r="AB293" s="488"/>
      <c r="AC293" s="488"/>
      <c r="AD293" s="488"/>
      <c r="AE293" s="488"/>
      <c r="AF293" s="488"/>
      <c r="AG293" s="488"/>
      <c r="AH293" s="488"/>
      <c r="AI293" s="488"/>
      <c r="AJ293" s="488"/>
    </row>
    <row r="294" spans="1:36" s="496" customFormat="1">
      <c r="A294" s="488"/>
      <c r="C294" s="488"/>
      <c r="D294" s="488"/>
      <c r="E294" s="488"/>
      <c r="F294" s="488"/>
      <c r="G294" s="488"/>
      <c r="H294" s="488"/>
      <c r="I294" s="493"/>
      <c r="J294" s="488"/>
      <c r="K294" s="488"/>
      <c r="L294" s="488"/>
      <c r="M294" s="488"/>
      <c r="N294" s="488"/>
      <c r="O294" s="488"/>
      <c r="P294" s="488"/>
      <c r="Q294" s="488"/>
      <c r="R294" s="488"/>
      <c r="S294" s="488"/>
      <c r="T294" s="488"/>
      <c r="U294" s="488"/>
      <c r="V294" s="488"/>
      <c r="W294" s="488"/>
      <c r="X294" s="488"/>
      <c r="Y294" s="488"/>
      <c r="Z294" s="488"/>
      <c r="AA294" s="488"/>
      <c r="AB294" s="488"/>
      <c r="AC294" s="488"/>
      <c r="AD294" s="488"/>
      <c r="AE294" s="488"/>
      <c r="AF294" s="488"/>
      <c r="AG294" s="488"/>
      <c r="AH294" s="488"/>
      <c r="AI294" s="488"/>
      <c r="AJ294" s="488"/>
    </row>
    <row r="295" spans="1:36" s="496" customFormat="1">
      <c r="A295" s="488"/>
      <c r="C295" s="488"/>
      <c r="D295" s="488"/>
      <c r="E295" s="488"/>
      <c r="F295" s="488"/>
      <c r="G295" s="488"/>
      <c r="H295" s="488"/>
      <c r="I295" s="493"/>
      <c r="J295" s="488"/>
      <c r="K295" s="488"/>
      <c r="L295" s="488"/>
      <c r="M295" s="488"/>
      <c r="N295" s="488"/>
      <c r="O295" s="488"/>
      <c r="P295" s="488"/>
      <c r="Q295" s="488"/>
      <c r="R295" s="488"/>
      <c r="S295" s="488"/>
      <c r="T295" s="488"/>
      <c r="U295" s="488"/>
      <c r="V295" s="488"/>
      <c r="W295" s="488"/>
      <c r="X295" s="488"/>
      <c r="Y295" s="488"/>
      <c r="Z295" s="488"/>
      <c r="AA295" s="488"/>
      <c r="AB295" s="488"/>
      <c r="AC295" s="488"/>
      <c r="AD295" s="488"/>
      <c r="AE295" s="488"/>
      <c r="AF295" s="488"/>
      <c r="AG295" s="488"/>
      <c r="AH295" s="488"/>
      <c r="AI295" s="488"/>
      <c r="AJ295" s="488"/>
    </row>
    <row r="296" spans="1:36" s="496" customFormat="1">
      <c r="A296" s="488"/>
      <c r="C296" s="488"/>
      <c r="D296" s="488"/>
      <c r="E296" s="488"/>
      <c r="F296" s="488"/>
      <c r="G296" s="488"/>
      <c r="H296" s="488"/>
      <c r="I296" s="493"/>
      <c r="J296" s="488"/>
      <c r="K296" s="488"/>
      <c r="L296" s="488"/>
      <c r="M296" s="488"/>
      <c r="N296" s="488"/>
      <c r="O296" s="488"/>
      <c r="P296" s="488"/>
      <c r="Q296" s="488"/>
      <c r="R296" s="488"/>
      <c r="S296" s="488"/>
      <c r="T296" s="488"/>
      <c r="U296" s="488"/>
      <c r="V296" s="488"/>
      <c r="W296" s="488"/>
      <c r="X296" s="488"/>
      <c r="Y296" s="488"/>
      <c r="Z296" s="488"/>
      <c r="AA296" s="488"/>
      <c r="AB296" s="488"/>
      <c r="AC296" s="488"/>
      <c r="AD296" s="488"/>
      <c r="AE296" s="488"/>
      <c r="AF296" s="488"/>
      <c r="AG296" s="488"/>
      <c r="AH296" s="488"/>
      <c r="AI296" s="488"/>
      <c r="AJ296" s="488"/>
    </row>
    <row r="297" spans="1:36" s="496" customFormat="1">
      <c r="A297" s="488"/>
      <c r="C297" s="488"/>
      <c r="D297" s="488"/>
      <c r="E297" s="488"/>
      <c r="F297" s="488"/>
      <c r="G297" s="488"/>
      <c r="H297" s="488"/>
      <c r="I297" s="493"/>
      <c r="J297" s="488"/>
      <c r="K297" s="488"/>
      <c r="L297" s="488"/>
      <c r="M297" s="488"/>
      <c r="N297" s="488"/>
      <c r="O297" s="488"/>
      <c r="P297" s="488"/>
      <c r="Q297" s="488"/>
      <c r="R297" s="488"/>
      <c r="S297" s="488"/>
      <c r="T297" s="488"/>
      <c r="U297" s="488"/>
      <c r="V297" s="488"/>
      <c r="W297" s="488"/>
      <c r="X297" s="488"/>
      <c r="Y297" s="488"/>
      <c r="Z297" s="488"/>
      <c r="AA297" s="488"/>
      <c r="AB297" s="488"/>
      <c r="AC297" s="488"/>
      <c r="AD297" s="488"/>
      <c r="AE297" s="488"/>
      <c r="AF297" s="488"/>
      <c r="AG297" s="488"/>
      <c r="AH297" s="488"/>
      <c r="AI297" s="488"/>
      <c r="AJ297" s="488"/>
    </row>
    <row r="298" spans="1:36" s="496" customFormat="1">
      <c r="A298" s="488"/>
      <c r="C298" s="488"/>
      <c r="D298" s="488"/>
      <c r="E298" s="488"/>
      <c r="F298" s="488"/>
      <c r="G298" s="488"/>
      <c r="H298" s="488"/>
      <c r="I298" s="493"/>
      <c r="J298" s="488"/>
      <c r="K298" s="488"/>
      <c r="L298" s="488"/>
      <c r="M298" s="488"/>
      <c r="N298" s="488"/>
      <c r="O298" s="488"/>
      <c r="P298" s="488"/>
      <c r="Q298" s="488"/>
      <c r="R298" s="488"/>
      <c r="S298" s="488"/>
      <c r="T298" s="488"/>
      <c r="U298" s="488"/>
      <c r="V298" s="488"/>
      <c r="W298" s="488"/>
      <c r="X298" s="488"/>
      <c r="Y298" s="488"/>
      <c r="Z298" s="488"/>
      <c r="AA298" s="488"/>
      <c r="AB298" s="488"/>
      <c r="AC298" s="488"/>
      <c r="AD298" s="488"/>
      <c r="AE298" s="488"/>
      <c r="AF298" s="488"/>
      <c r="AG298" s="488"/>
      <c r="AH298" s="488"/>
      <c r="AI298" s="488"/>
      <c r="AJ298" s="488"/>
    </row>
    <row r="299" spans="1:36" s="496" customFormat="1">
      <c r="A299" s="488"/>
      <c r="C299" s="488"/>
      <c r="D299" s="488"/>
      <c r="E299" s="488"/>
      <c r="F299" s="488"/>
      <c r="G299" s="488"/>
      <c r="H299" s="488"/>
      <c r="I299" s="493"/>
      <c r="J299" s="488"/>
      <c r="K299" s="488"/>
      <c r="L299" s="488"/>
      <c r="M299" s="488"/>
      <c r="N299" s="488"/>
      <c r="O299" s="488"/>
      <c r="P299" s="488"/>
      <c r="Q299" s="488"/>
      <c r="R299" s="488"/>
      <c r="S299" s="488"/>
      <c r="T299" s="488"/>
      <c r="U299" s="488"/>
      <c r="V299" s="488"/>
      <c r="W299" s="488"/>
      <c r="X299" s="488"/>
      <c r="Y299" s="488"/>
      <c r="Z299" s="488"/>
      <c r="AA299" s="488"/>
      <c r="AB299" s="488"/>
      <c r="AC299" s="488"/>
      <c r="AD299" s="488"/>
      <c r="AE299" s="488"/>
      <c r="AF299" s="488"/>
      <c r="AG299" s="488"/>
      <c r="AH299" s="488"/>
      <c r="AI299" s="488"/>
      <c r="AJ299" s="488"/>
    </row>
    <row r="300" spans="1:36" s="496" customFormat="1">
      <c r="A300" s="488"/>
      <c r="C300" s="488"/>
      <c r="D300" s="488"/>
      <c r="E300" s="488"/>
      <c r="F300" s="488"/>
      <c r="G300" s="488"/>
      <c r="H300" s="488"/>
      <c r="I300" s="493"/>
      <c r="J300" s="488"/>
      <c r="K300" s="488"/>
      <c r="L300" s="488"/>
      <c r="M300" s="488"/>
      <c r="N300" s="488"/>
      <c r="O300" s="488"/>
      <c r="P300" s="488"/>
      <c r="Q300" s="488"/>
      <c r="R300" s="488"/>
      <c r="S300" s="488"/>
      <c r="T300" s="488"/>
      <c r="U300" s="488"/>
      <c r="V300" s="488"/>
      <c r="W300" s="488"/>
      <c r="X300" s="488"/>
      <c r="Y300" s="488"/>
      <c r="Z300" s="488"/>
      <c r="AA300" s="488"/>
      <c r="AB300" s="488"/>
      <c r="AC300" s="488"/>
      <c r="AD300" s="488"/>
      <c r="AE300" s="488"/>
      <c r="AF300" s="488"/>
      <c r="AG300" s="488"/>
      <c r="AH300" s="488"/>
      <c r="AI300" s="488"/>
      <c r="AJ300" s="488"/>
    </row>
    <row r="301" spans="1:36" s="496" customFormat="1">
      <c r="A301" s="488"/>
      <c r="C301" s="488"/>
      <c r="D301" s="488"/>
      <c r="E301" s="488"/>
      <c r="F301" s="488"/>
      <c r="G301" s="488"/>
      <c r="H301" s="488"/>
      <c r="I301" s="493"/>
      <c r="J301" s="488"/>
      <c r="K301" s="488"/>
      <c r="L301" s="488"/>
      <c r="M301" s="488"/>
      <c r="N301" s="488"/>
      <c r="O301" s="488"/>
      <c r="P301" s="488"/>
      <c r="Q301" s="488"/>
      <c r="R301" s="488"/>
      <c r="S301" s="488"/>
      <c r="T301" s="488"/>
      <c r="U301" s="488"/>
      <c r="V301" s="488"/>
      <c r="W301" s="488"/>
      <c r="X301" s="488"/>
      <c r="Y301" s="488"/>
      <c r="Z301" s="488"/>
      <c r="AA301" s="488"/>
      <c r="AB301" s="488"/>
      <c r="AC301" s="488"/>
      <c r="AD301" s="488"/>
      <c r="AE301" s="488"/>
      <c r="AF301" s="488"/>
      <c r="AG301" s="488"/>
      <c r="AH301" s="488"/>
      <c r="AI301" s="488"/>
      <c r="AJ301" s="488"/>
    </row>
    <row r="302" spans="1:36" s="496" customFormat="1">
      <c r="A302" s="488"/>
      <c r="C302" s="488"/>
      <c r="D302" s="488"/>
      <c r="E302" s="488"/>
      <c r="F302" s="488"/>
      <c r="G302" s="488"/>
      <c r="H302" s="488"/>
      <c r="I302" s="493"/>
      <c r="J302" s="488"/>
      <c r="K302" s="488"/>
      <c r="L302" s="488"/>
      <c r="M302" s="488"/>
      <c r="N302" s="488"/>
      <c r="O302" s="488"/>
      <c r="P302" s="488"/>
      <c r="Q302" s="488"/>
      <c r="R302" s="488"/>
      <c r="S302" s="488"/>
      <c r="T302" s="488"/>
      <c r="U302" s="488"/>
      <c r="V302" s="488"/>
      <c r="W302" s="488"/>
      <c r="X302" s="488"/>
      <c r="Y302" s="488"/>
      <c r="Z302" s="488"/>
      <c r="AA302" s="488"/>
      <c r="AB302" s="488"/>
      <c r="AC302" s="488"/>
      <c r="AD302" s="488"/>
      <c r="AE302" s="488"/>
      <c r="AF302" s="488"/>
      <c r="AG302" s="488"/>
      <c r="AH302" s="488"/>
      <c r="AI302" s="488"/>
      <c r="AJ302" s="488"/>
    </row>
    <row r="303" spans="1:36" s="496" customFormat="1">
      <c r="A303" s="488"/>
      <c r="C303" s="488"/>
      <c r="D303" s="488"/>
      <c r="E303" s="488"/>
      <c r="F303" s="488"/>
      <c r="G303" s="488"/>
      <c r="H303" s="488"/>
      <c r="I303" s="493"/>
      <c r="J303" s="488"/>
      <c r="K303" s="488"/>
      <c r="L303" s="488"/>
      <c r="M303" s="488"/>
      <c r="N303" s="488"/>
      <c r="O303" s="488"/>
      <c r="P303" s="488"/>
      <c r="Q303" s="488"/>
      <c r="R303" s="488"/>
      <c r="S303" s="488"/>
      <c r="T303" s="488"/>
      <c r="U303" s="488"/>
      <c r="V303" s="488"/>
      <c r="W303" s="488"/>
      <c r="X303" s="488"/>
      <c r="Y303" s="488"/>
      <c r="Z303" s="488"/>
      <c r="AA303" s="488"/>
      <c r="AB303" s="488"/>
      <c r="AC303" s="488"/>
      <c r="AD303" s="488"/>
      <c r="AE303" s="488"/>
      <c r="AF303" s="488"/>
      <c r="AG303" s="488"/>
      <c r="AH303" s="488"/>
      <c r="AI303" s="488"/>
      <c r="AJ303" s="488"/>
    </row>
    <row r="304" spans="1:36" s="496" customFormat="1">
      <c r="A304" s="488"/>
      <c r="C304" s="488"/>
      <c r="D304" s="488"/>
      <c r="E304" s="488"/>
      <c r="F304" s="488"/>
      <c r="G304" s="488"/>
      <c r="H304" s="488"/>
      <c r="I304" s="493"/>
      <c r="J304" s="488"/>
      <c r="K304" s="488"/>
      <c r="L304" s="488"/>
      <c r="M304" s="488"/>
      <c r="N304" s="488"/>
      <c r="O304" s="488"/>
      <c r="P304" s="488"/>
      <c r="Q304" s="488"/>
      <c r="R304" s="488"/>
      <c r="S304" s="488"/>
      <c r="T304" s="488"/>
      <c r="U304" s="488"/>
      <c r="V304" s="488"/>
      <c r="W304" s="488"/>
      <c r="X304" s="488"/>
      <c r="Y304" s="488"/>
      <c r="Z304" s="488"/>
      <c r="AA304" s="488"/>
      <c r="AB304" s="488"/>
      <c r="AC304" s="488"/>
      <c r="AD304" s="488"/>
      <c r="AE304" s="488"/>
      <c r="AF304" s="488"/>
      <c r="AG304" s="488"/>
      <c r="AH304" s="488"/>
      <c r="AI304" s="488"/>
      <c r="AJ304" s="488"/>
    </row>
    <row r="305" spans="1:36" s="496" customFormat="1">
      <c r="A305" s="488"/>
      <c r="C305" s="488"/>
      <c r="D305" s="488"/>
      <c r="E305" s="488"/>
      <c r="F305" s="488"/>
      <c r="G305" s="488"/>
      <c r="H305" s="488"/>
      <c r="I305" s="493"/>
      <c r="J305" s="488"/>
      <c r="K305" s="488"/>
      <c r="L305" s="488"/>
      <c r="M305" s="488"/>
      <c r="N305" s="488"/>
      <c r="O305" s="488"/>
      <c r="P305" s="488"/>
      <c r="Q305" s="488"/>
      <c r="R305" s="488"/>
      <c r="S305" s="488"/>
      <c r="T305" s="488"/>
      <c r="U305" s="488"/>
      <c r="V305" s="488"/>
      <c r="W305" s="488"/>
      <c r="X305" s="488"/>
      <c r="Y305" s="488"/>
      <c r="Z305" s="488"/>
      <c r="AA305" s="488"/>
      <c r="AB305" s="488"/>
      <c r="AC305" s="488"/>
      <c r="AD305" s="488"/>
      <c r="AE305" s="488"/>
      <c r="AF305" s="488"/>
      <c r="AG305" s="488"/>
      <c r="AH305" s="488"/>
      <c r="AI305" s="488"/>
      <c r="AJ305" s="488"/>
    </row>
    <row r="306" spans="1:36" s="496" customFormat="1">
      <c r="A306" s="488"/>
      <c r="C306" s="488"/>
      <c r="D306" s="488"/>
      <c r="E306" s="488"/>
      <c r="F306" s="488"/>
      <c r="G306" s="488"/>
      <c r="H306" s="488"/>
      <c r="I306" s="493"/>
      <c r="J306" s="488"/>
      <c r="K306" s="488"/>
      <c r="L306" s="488"/>
      <c r="M306" s="488"/>
      <c r="N306" s="488"/>
      <c r="O306" s="488"/>
      <c r="P306" s="488"/>
      <c r="Q306" s="488"/>
      <c r="R306" s="488"/>
      <c r="S306" s="488"/>
      <c r="T306" s="488"/>
      <c r="U306" s="488"/>
      <c r="V306" s="488"/>
      <c r="W306" s="488"/>
      <c r="X306" s="488"/>
      <c r="Y306" s="488"/>
      <c r="Z306" s="488"/>
      <c r="AA306" s="488"/>
      <c r="AB306" s="488"/>
      <c r="AC306" s="488"/>
      <c r="AD306" s="488"/>
      <c r="AE306" s="488"/>
      <c r="AF306" s="488"/>
      <c r="AG306" s="488"/>
      <c r="AH306" s="488"/>
      <c r="AI306" s="488"/>
      <c r="AJ306" s="488"/>
    </row>
    <row r="307" spans="1:36" s="496" customFormat="1">
      <c r="A307" s="488"/>
      <c r="C307" s="488"/>
      <c r="D307" s="488"/>
      <c r="E307" s="488"/>
      <c r="F307" s="488"/>
      <c r="G307" s="488"/>
      <c r="H307" s="488"/>
      <c r="I307" s="493"/>
      <c r="J307" s="488"/>
      <c r="K307" s="488"/>
      <c r="L307" s="488"/>
      <c r="M307" s="488"/>
      <c r="N307" s="488"/>
      <c r="O307" s="488"/>
      <c r="P307" s="488"/>
      <c r="Q307" s="488"/>
      <c r="R307" s="488"/>
      <c r="S307" s="488"/>
      <c r="T307" s="488"/>
      <c r="U307" s="488"/>
      <c r="V307" s="488"/>
      <c r="W307" s="488"/>
      <c r="X307" s="488"/>
      <c r="Y307" s="488"/>
      <c r="Z307" s="488"/>
      <c r="AA307" s="488"/>
      <c r="AB307" s="488"/>
      <c r="AC307" s="488"/>
      <c r="AD307" s="488"/>
      <c r="AE307" s="488"/>
      <c r="AF307" s="488"/>
      <c r="AG307" s="488"/>
      <c r="AH307" s="488"/>
      <c r="AI307" s="488"/>
      <c r="AJ307" s="488"/>
    </row>
    <row r="308" spans="1:36" s="496" customFormat="1">
      <c r="A308" s="488"/>
      <c r="C308" s="488"/>
      <c r="D308" s="488"/>
      <c r="E308" s="488"/>
      <c r="F308" s="488"/>
      <c r="G308" s="488"/>
      <c r="H308" s="488"/>
      <c r="I308" s="493"/>
      <c r="J308" s="488"/>
      <c r="K308" s="488"/>
      <c r="L308" s="488"/>
      <c r="M308" s="488"/>
      <c r="N308" s="488"/>
      <c r="O308" s="488"/>
      <c r="P308" s="488"/>
      <c r="Q308" s="488"/>
      <c r="R308" s="488"/>
      <c r="S308" s="488"/>
      <c r="T308" s="488"/>
      <c r="U308" s="488"/>
      <c r="V308" s="488"/>
      <c r="W308" s="488"/>
      <c r="X308" s="488"/>
      <c r="Y308" s="488"/>
      <c r="Z308" s="488"/>
      <c r="AA308" s="488"/>
      <c r="AB308" s="488"/>
      <c r="AC308" s="488"/>
      <c r="AD308" s="488"/>
      <c r="AE308" s="488"/>
      <c r="AF308" s="488"/>
      <c r="AG308" s="488"/>
      <c r="AH308" s="488"/>
      <c r="AI308" s="488"/>
      <c r="AJ308" s="488"/>
    </row>
    <row r="309" spans="1:36" s="496" customFormat="1">
      <c r="A309" s="488"/>
      <c r="C309" s="488"/>
      <c r="D309" s="488"/>
      <c r="E309" s="488"/>
      <c r="F309" s="488"/>
      <c r="G309" s="488"/>
      <c r="H309" s="488"/>
      <c r="I309" s="493"/>
      <c r="J309" s="488"/>
      <c r="K309" s="488"/>
      <c r="L309" s="488"/>
      <c r="M309" s="488"/>
      <c r="N309" s="488"/>
      <c r="O309" s="488"/>
      <c r="P309" s="488"/>
      <c r="Q309" s="488"/>
      <c r="R309" s="488"/>
      <c r="S309" s="488"/>
      <c r="T309" s="488"/>
      <c r="U309" s="488"/>
      <c r="V309" s="488"/>
      <c r="W309" s="488"/>
      <c r="X309" s="488"/>
      <c r="Y309" s="488"/>
      <c r="Z309" s="488"/>
      <c r="AA309" s="488"/>
      <c r="AB309" s="488"/>
      <c r="AC309" s="488"/>
      <c r="AD309" s="488"/>
      <c r="AE309" s="488"/>
      <c r="AF309" s="488"/>
      <c r="AG309" s="488"/>
      <c r="AH309" s="488"/>
      <c r="AI309" s="488"/>
      <c r="AJ309" s="488"/>
    </row>
    <row r="310" spans="1:36" s="496" customFormat="1">
      <c r="A310" s="488"/>
      <c r="C310" s="488"/>
      <c r="D310" s="488"/>
      <c r="E310" s="488"/>
      <c r="F310" s="488"/>
      <c r="G310" s="488"/>
      <c r="H310" s="488"/>
      <c r="I310" s="493"/>
      <c r="J310" s="488"/>
      <c r="K310" s="488"/>
      <c r="L310" s="488"/>
      <c r="M310" s="488"/>
      <c r="N310" s="488"/>
      <c r="O310" s="488"/>
      <c r="P310" s="488"/>
      <c r="Q310" s="488"/>
      <c r="R310" s="488"/>
      <c r="S310" s="488"/>
      <c r="T310" s="488"/>
      <c r="U310" s="488"/>
      <c r="V310" s="488"/>
      <c r="W310" s="488"/>
      <c r="X310" s="488"/>
      <c r="Y310" s="488"/>
      <c r="Z310" s="488"/>
      <c r="AA310" s="488"/>
      <c r="AB310" s="488"/>
      <c r="AC310" s="488"/>
      <c r="AD310" s="488"/>
      <c r="AE310" s="488"/>
      <c r="AF310" s="488"/>
      <c r="AG310" s="488"/>
      <c r="AH310" s="488"/>
      <c r="AI310" s="488"/>
      <c r="AJ310" s="488"/>
    </row>
    <row r="311" spans="1:36" s="496" customFormat="1">
      <c r="A311" s="488"/>
      <c r="C311" s="488"/>
      <c r="D311" s="488"/>
      <c r="E311" s="488"/>
      <c r="F311" s="488"/>
      <c r="G311" s="488"/>
      <c r="H311" s="488"/>
      <c r="I311" s="493"/>
      <c r="J311" s="488"/>
      <c r="K311" s="488"/>
      <c r="L311" s="488"/>
      <c r="M311" s="488"/>
      <c r="N311" s="488"/>
      <c r="O311" s="488"/>
      <c r="P311" s="488"/>
      <c r="Q311" s="488"/>
      <c r="R311" s="488"/>
      <c r="S311" s="488"/>
      <c r="T311" s="488"/>
      <c r="U311" s="488"/>
      <c r="V311" s="488"/>
      <c r="W311" s="488"/>
      <c r="X311" s="488"/>
      <c r="Y311" s="488"/>
      <c r="Z311" s="488"/>
      <c r="AA311" s="488"/>
      <c r="AB311" s="488"/>
      <c r="AC311" s="488"/>
      <c r="AD311" s="488"/>
      <c r="AE311" s="488"/>
      <c r="AF311" s="488"/>
      <c r="AG311" s="488"/>
      <c r="AH311" s="488"/>
      <c r="AI311" s="488"/>
      <c r="AJ311" s="488"/>
    </row>
    <row r="312" spans="1:36" s="496" customFormat="1">
      <c r="A312" s="488"/>
      <c r="C312" s="488"/>
      <c r="D312" s="488"/>
      <c r="E312" s="488"/>
      <c r="F312" s="488"/>
      <c r="G312" s="488"/>
      <c r="H312" s="488"/>
      <c r="I312" s="493"/>
      <c r="J312" s="488"/>
      <c r="K312" s="488"/>
      <c r="L312" s="488"/>
      <c r="M312" s="488"/>
      <c r="N312" s="488"/>
      <c r="O312" s="488"/>
      <c r="P312" s="488"/>
      <c r="Q312" s="488"/>
      <c r="R312" s="488"/>
      <c r="S312" s="488"/>
      <c r="T312" s="488"/>
      <c r="U312" s="488"/>
      <c r="V312" s="488"/>
      <c r="W312" s="488"/>
      <c r="X312" s="488"/>
      <c r="Y312" s="488"/>
      <c r="Z312" s="488"/>
      <c r="AA312" s="488"/>
      <c r="AB312" s="488"/>
      <c r="AC312" s="488"/>
      <c r="AD312" s="488"/>
      <c r="AE312" s="488"/>
      <c r="AF312" s="488"/>
      <c r="AG312" s="488"/>
      <c r="AH312" s="488"/>
      <c r="AI312" s="488"/>
      <c r="AJ312" s="488"/>
    </row>
    <row r="313" spans="1:36" s="496" customFormat="1">
      <c r="A313" s="488"/>
      <c r="C313" s="488"/>
      <c r="D313" s="488"/>
      <c r="E313" s="488"/>
      <c r="F313" s="488"/>
      <c r="G313" s="488"/>
      <c r="H313" s="488"/>
      <c r="I313" s="493"/>
      <c r="J313" s="488"/>
      <c r="K313" s="488"/>
      <c r="L313" s="488"/>
      <c r="M313" s="488"/>
      <c r="N313" s="488"/>
      <c r="O313" s="488"/>
      <c r="P313" s="488"/>
      <c r="Q313" s="488"/>
      <c r="R313" s="488"/>
      <c r="S313" s="488"/>
      <c r="T313" s="488"/>
      <c r="U313" s="488"/>
      <c r="V313" s="488"/>
      <c r="W313" s="488"/>
      <c r="X313" s="488"/>
      <c r="Y313" s="488"/>
      <c r="Z313" s="488"/>
      <c r="AA313" s="488"/>
      <c r="AB313" s="488"/>
      <c r="AC313" s="488"/>
      <c r="AD313" s="488"/>
      <c r="AE313" s="488"/>
      <c r="AF313" s="488"/>
      <c r="AG313" s="488"/>
      <c r="AH313" s="488"/>
      <c r="AI313" s="488"/>
      <c r="AJ313" s="488"/>
    </row>
    <row r="314" spans="1:36" s="496" customFormat="1">
      <c r="A314" s="488"/>
      <c r="C314" s="488"/>
      <c r="D314" s="488"/>
      <c r="E314" s="488"/>
      <c r="F314" s="488"/>
      <c r="G314" s="488"/>
      <c r="H314" s="488"/>
      <c r="I314" s="493"/>
      <c r="J314" s="488"/>
      <c r="K314" s="488"/>
      <c r="L314" s="488"/>
      <c r="M314" s="488"/>
      <c r="N314" s="488"/>
      <c r="O314" s="488"/>
      <c r="P314" s="488"/>
      <c r="Q314" s="488"/>
      <c r="R314" s="488"/>
      <c r="S314" s="488"/>
      <c r="T314" s="488"/>
      <c r="U314" s="488"/>
      <c r="V314" s="488"/>
      <c r="W314" s="488"/>
      <c r="X314" s="488"/>
      <c r="Y314" s="488"/>
      <c r="Z314" s="488"/>
      <c r="AA314" s="488"/>
      <c r="AB314" s="488"/>
      <c r="AC314" s="488"/>
      <c r="AD314" s="488"/>
      <c r="AE314" s="488"/>
      <c r="AF314" s="488"/>
      <c r="AG314" s="488"/>
      <c r="AH314" s="488"/>
      <c r="AI314" s="488"/>
      <c r="AJ314" s="488"/>
    </row>
    <row r="315" spans="1:36" s="496" customFormat="1">
      <c r="A315" s="488"/>
      <c r="C315" s="488"/>
      <c r="D315" s="488"/>
      <c r="E315" s="488"/>
      <c r="F315" s="488"/>
      <c r="G315" s="488"/>
      <c r="H315" s="488"/>
      <c r="I315" s="488"/>
      <c r="J315" s="488"/>
      <c r="K315" s="488"/>
      <c r="L315" s="488"/>
      <c r="M315" s="488"/>
      <c r="N315" s="488"/>
      <c r="O315" s="488"/>
      <c r="P315" s="488"/>
      <c r="Q315" s="488"/>
      <c r="R315" s="488"/>
      <c r="S315" s="488"/>
      <c r="T315" s="488"/>
      <c r="U315" s="488"/>
      <c r="V315" s="488"/>
      <c r="W315" s="488"/>
      <c r="X315" s="488"/>
      <c r="Y315" s="488"/>
      <c r="Z315" s="488"/>
      <c r="AA315" s="488"/>
      <c r="AB315" s="488"/>
      <c r="AC315" s="488"/>
      <c r="AD315" s="488"/>
      <c r="AE315" s="488"/>
      <c r="AF315" s="488"/>
      <c r="AG315" s="488"/>
      <c r="AH315" s="488"/>
      <c r="AI315" s="488"/>
      <c r="AJ315" s="488"/>
    </row>
    <row r="316" spans="1:36" s="496" customFormat="1">
      <c r="A316" s="488"/>
      <c r="C316" s="488"/>
      <c r="D316" s="488"/>
      <c r="E316" s="488"/>
      <c r="F316" s="488"/>
      <c r="G316" s="488"/>
      <c r="H316" s="488"/>
      <c r="I316" s="488"/>
      <c r="J316" s="488"/>
      <c r="K316" s="488"/>
      <c r="L316" s="488"/>
      <c r="M316" s="488"/>
      <c r="N316" s="488"/>
      <c r="O316" s="488"/>
      <c r="P316" s="488"/>
      <c r="Q316" s="488"/>
      <c r="R316" s="488"/>
      <c r="S316" s="488"/>
      <c r="T316" s="488"/>
      <c r="U316" s="488"/>
      <c r="V316" s="488"/>
      <c r="W316" s="488"/>
      <c r="X316" s="488"/>
      <c r="Y316" s="488"/>
      <c r="Z316" s="488"/>
      <c r="AA316" s="488"/>
      <c r="AB316" s="488"/>
      <c r="AC316" s="488"/>
      <c r="AD316" s="488"/>
      <c r="AE316" s="488"/>
      <c r="AF316" s="488"/>
      <c r="AG316" s="488"/>
      <c r="AH316" s="488"/>
      <c r="AI316" s="488"/>
      <c r="AJ316" s="488"/>
    </row>
    <row r="317" spans="1:36" s="496" customFormat="1">
      <c r="A317" s="488"/>
      <c r="C317" s="488"/>
      <c r="D317" s="488"/>
      <c r="E317" s="488"/>
      <c r="F317" s="488"/>
      <c r="G317" s="488"/>
      <c r="H317" s="488"/>
      <c r="I317" s="488"/>
      <c r="J317" s="488"/>
      <c r="K317" s="488"/>
      <c r="L317" s="488"/>
      <c r="M317" s="488"/>
      <c r="N317" s="488"/>
      <c r="O317" s="488"/>
      <c r="P317" s="488"/>
      <c r="Q317" s="488"/>
      <c r="R317" s="488"/>
      <c r="S317" s="488"/>
      <c r="T317" s="488"/>
      <c r="U317" s="488"/>
      <c r="V317" s="488"/>
      <c r="W317" s="488"/>
      <c r="X317" s="488"/>
      <c r="Y317" s="488"/>
      <c r="Z317" s="488"/>
      <c r="AA317" s="488"/>
      <c r="AB317" s="488"/>
      <c r="AC317" s="488"/>
      <c r="AD317" s="488"/>
      <c r="AE317" s="488"/>
      <c r="AF317" s="488"/>
      <c r="AG317" s="488"/>
      <c r="AH317" s="488"/>
      <c r="AI317" s="488"/>
      <c r="AJ317" s="488"/>
    </row>
    <row r="318" spans="1:36" s="496" customFormat="1">
      <c r="A318" s="488"/>
      <c r="C318" s="488"/>
      <c r="D318" s="488"/>
      <c r="E318" s="488"/>
      <c r="F318" s="488"/>
      <c r="G318" s="488"/>
      <c r="H318" s="488"/>
      <c r="I318" s="488"/>
      <c r="J318" s="488"/>
      <c r="K318" s="488"/>
      <c r="L318" s="488"/>
      <c r="M318" s="488"/>
      <c r="N318" s="488"/>
      <c r="O318" s="488"/>
      <c r="P318" s="488"/>
      <c r="Q318" s="488"/>
      <c r="R318" s="488"/>
      <c r="S318" s="488"/>
      <c r="T318" s="488"/>
      <c r="U318" s="488"/>
      <c r="V318" s="488"/>
      <c r="W318" s="488"/>
      <c r="X318" s="488"/>
      <c r="Y318" s="488"/>
      <c r="Z318" s="488"/>
      <c r="AA318" s="488"/>
      <c r="AB318" s="488"/>
      <c r="AC318" s="488"/>
      <c r="AD318" s="488"/>
      <c r="AE318" s="488"/>
      <c r="AF318" s="488"/>
      <c r="AG318" s="488"/>
      <c r="AH318" s="488"/>
      <c r="AI318" s="488"/>
      <c r="AJ318" s="488"/>
    </row>
    <row r="319" spans="1:36" s="496" customFormat="1">
      <c r="A319" s="488"/>
      <c r="C319" s="488"/>
      <c r="D319" s="488"/>
      <c r="E319" s="488"/>
      <c r="F319" s="488"/>
      <c r="G319" s="488"/>
      <c r="H319" s="488"/>
      <c r="I319" s="488"/>
      <c r="J319" s="488"/>
      <c r="K319" s="488"/>
      <c r="L319" s="488"/>
      <c r="M319" s="488"/>
      <c r="N319" s="488"/>
      <c r="O319" s="488"/>
      <c r="P319" s="488"/>
      <c r="Q319" s="488"/>
      <c r="R319" s="488"/>
      <c r="S319" s="488"/>
      <c r="T319" s="488"/>
      <c r="U319" s="488"/>
      <c r="V319" s="488"/>
      <c r="W319" s="488"/>
      <c r="X319" s="488"/>
      <c r="Y319" s="488"/>
      <c r="Z319" s="488"/>
      <c r="AA319" s="488"/>
      <c r="AB319" s="488"/>
      <c r="AC319" s="488"/>
      <c r="AD319" s="488"/>
      <c r="AE319" s="488"/>
      <c r="AF319" s="488"/>
      <c r="AG319" s="488"/>
      <c r="AH319" s="488"/>
      <c r="AI319" s="488"/>
      <c r="AJ319" s="488"/>
    </row>
    <row r="320" spans="1:36" s="496" customFormat="1">
      <c r="A320" s="488"/>
      <c r="C320" s="488"/>
      <c r="D320" s="488"/>
      <c r="E320" s="488"/>
      <c r="F320" s="488"/>
      <c r="G320" s="488"/>
      <c r="H320" s="488"/>
      <c r="I320" s="488"/>
      <c r="J320" s="488"/>
      <c r="K320" s="488"/>
      <c r="L320" s="488"/>
      <c r="M320" s="488"/>
      <c r="N320" s="488"/>
      <c r="O320" s="488"/>
      <c r="P320" s="488"/>
      <c r="Q320" s="488"/>
      <c r="R320" s="488"/>
      <c r="S320" s="488"/>
      <c r="T320" s="488"/>
      <c r="U320" s="488"/>
      <c r="V320" s="488"/>
      <c r="W320" s="488"/>
      <c r="X320" s="488"/>
      <c r="Y320" s="488"/>
      <c r="Z320" s="488"/>
      <c r="AA320" s="488"/>
      <c r="AB320" s="488"/>
      <c r="AC320" s="488"/>
      <c r="AD320" s="488"/>
      <c r="AE320" s="488"/>
      <c r="AF320" s="488"/>
      <c r="AG320" s="488"/>
      <c r="AH320" s="488"/>
      <c r="AI320" s="488"/>
      <c r="AJ320" s="488"/>
    </row>
    <row r="321" spans="1:36" s="496" customFormat="1">
      <c r="A321" s="488"/>
      <c r="C321" s="488"/>
      <c r="D321" s="488"/>
      <c r="E321" s="488"/>
      <c r="F321" s="488"/>
      <c r="G321" s="488"/>
      <c r="H321" s="488"/>
      <c r="I321" s="488"/>
      <c r="J321" s="488"/>
      <c r="K321" s="488"/>
      <c r="L321" s="488"/>
      <c r="M321" s="488"/>
      <c r="N321" s="488"/>
      <c r="O321" s="488"/>
      <c r="P321" s="488"/>
      <c r="Q321" s="488"/>
      <c r="R321" s="488"/>
      <c r="S321" s="488"/>
      <c r="T321" s="488"/>
      <c r="U321" s="488"/>
      <c r="V321" s="488"/>
      <c r="W321" s="488"/>
      <c r="X321" s="488"/>
      <c r="Y321" s="488"/>
      <c r="Z321" s="488"/>
      <c r="AA321" s="488"/>
      <c r="AB321" s="488"/>
      <c r="AC321" s="488"/>
      <c r="AD321" s="488"/>
      <c r="AE321" s="488"/>
      <c r="AF321" s="488"/>
      <c r="AG321" s="488"/>
      <c r="AH321" s="488"/>
      <c r="AI321" s="488"/>
      <c r="AJ321" s="488"/>
    </row>
    <row r="322" spans="1:36" s="496" customFormat="1">
      <c r="A322" s="488"/>
      <c r="C322" s="488"/>
      <c r="D322" s="488"/>
      <c r="E322" s="488"/>
      <c r="F322" s="488"/>
      <c r="G322" s="488"/>
      <c r="H322" s="488"/>
      <c r="I322" s="488"/>
      <c r="J322" s="488"/>
      <c r="K322" s="488"/>
      <c r="L322" s="488"/>
      <c r="M322" s="488"/>
      <c r="N322" s="488"/>
      <c r="O322" s="488"/>
      <c r="P322" s="488"/>
      <c r="Q322" s="488"/>
      <c r="R322" s="488"/>
      <c r="S322" s="488"/>
      <c r="T322" s="488"/>
      <c r="U322" s="488"/>
      <c r="V322" s="488"/>
      <c r="W322" s="488"/>
      <c r="X322" s="488"/>
      <c r="Y322" s="488"/>
      <c r="Z322" s="488"/>
      <c r="AA322" s="488"/>
      <c r="AB322" s="488"/>
      <c r="AC322" s="488"/>
      <c r="AD322" s="488"/>
      <c r="AE322" s="488"/>
      <c r="AF322" s="488"/>
      <c r="AG322" s="488"/>
      <c r="AH322" s="488"/>
      <c r="AI322" s="488"/>
      <c r="AJ322" s="488"/>
    </row>
    <row r="323" spans="1:36" s="496" customFormat="1">
      <c r="A323" s="488"/>
      <c r="C323" s="488"/>
      <c r="D323" s="488"/>
      <c r="E323" s="488"/>
      <c r="F323" s="488"/>
      <c r="G323" s="488"/>
      <c r="H323" s="488"/>
      <c r="I323" s="488"/>
      <c r="J323" s="488"/>
      <c r="K323" s="488"/>
      <c r="L323" s="488"/>
      <c r="M323" s="488"/>
      <c r="N323" s="488"/>
      <c r="O323" s="488"/>
      <c r="P323" s="488"/>
      <c r="Q323" s="488"/>
      <c r="R323" s="488"/>
      <c r="S323" s="488"/>
      <c r="T323" s="488"/>
      <c r="U323" s="488"/>
      <c r="V323" s="488"/>
      <c r="W323" s="488"/>
      <c r="X323" s="488"/>
      <c r="Y323" s="488"/>
      <c r="Z323" s="488"/>
      <c r="AA323" s="488"/>
      <c r="AB323" s="488"/>
      <c r="AC323" s="488"/>
      <c r="AD323" s="488"/>
      <c r="AE323" s="488"/>
      <c r="AF323" s="488"/>
      <c r="AG323" s="488"/>
      <c r="AH323" s="488"/>
      <c r="AI323" s="488"/>
      <c r="AJ323" s="488"/>
    </row>
    <row r="324" spans="1:36" s="496" customFormat="1">
      <c r="A324" s="488"/>
      <c r="C324" s="488"/>
      <c r="D324" s="488"/>
      <c r="E324" s="488"/>
      <c r="F324" s="488"/>
      <c r="G324" s="488"/>
      <c r="H324" s="488"/>
      <c r="I324" s="488"/>
      <c r="J324" s="488"/>
      <c r="K324" s="488"/>
      <c r="L324" s="488"/>
      <c r="M324" s="488"/>
      <c r="N324" s="488"/>
      <c r="O324" s="488"/>
      <c r="P324" s="488"/>
      <c r="Q324" s="488"/>
      <c r="R324" s="488"/>
      <c r="S324" s="488"/>
      <c r="T324" s="488"/>
      <c r="U324" s="488"/>
      <c r="V324" s="488"/>
      <c r="W324" s="488"/>
      <c r="X324" s="488"/>
      <c r="Y324" s="488"/>
      <c r="Z324" s="488"/>
      <c r="AA324" s="488"/>
      <c r="AB324" s="488"/>
      <c r="AC324" s="488"/>
      <c r="AD324" s="488"/>
      <c r="AE324" s="488"/>
      <c r="AF324" s="488"/>
      <c r="AG324" s="488"/>
      <c r="AH324" s="488"/>
      <c r="AI324" s="488"/>
      <c r="AJ324" s="488"/>
    </row>
    <row r="325" spans="1:36" s="496" customFormat="1">
      <c r="A325" s="488"/>
      <c r="C325" s="488"/>
      <c r="D325" s="488"/>
      <c r="E325" s="488"/>
      <c r="F325" s="488"/>
      <c r="G325" s="488"/>
      <c r="H325" s="488"/>
      <c r="I325" s="488"/>
      <c r="J325" s="488"/>
      <c r="K325" s="488"/>
      <c r="L325" s="488"/>
      <c r="M325" s="488"/>
      <c r="N325" s="488"/>
      <c r="O325" s="488"/>
      <c r="P325" s="488"/>
      <c r="Q325" s="488"/>
      <c r="R325" s="488"/>
      <c r="S325" s="488"/>
      <c r="T325" s="488"/>
      <c r="U325" s="488"/>
      <c r="V325" s="488"/>
      <c r="W325" s="488"/>
      <c r="X325" s="488"/>
      <c r="Y325" s="488"/>
      <c r="Z325" s="488"/>
      <c r="AA325" s="488"/>
      <c r="AB325" s="488"/>
      <c r="AC325" s="488"/>
      <c r="AD325" s="488"/>
      <c r="AE325" s="488"/>
      <c r="AF325" s="488"/>
      <c r="AG325" s="488"/>
      <c r="AH325" s="488"/>
      <c r="AI325" s="488"/>
      <c r="AJ325" s="488"/>
    </row>
    <row r="326" spans="1:36" s="496" customFormat="1">
      <c r="A326" s="488"/>
      <c r="C326" s="488"/>
      <c r="D326" s="488"/>
      <c r="E326" s="488"/>
      <c r="F326" s="488"/>
      <c r="G326" s="488"/>
      <c r="H326" s="488"/>
      <c r="I326" s="488"/>
      <c r="J326" s="488"/>
      <c r="K326" s="488"/>
      <c r="L326" s="488"/>
      <c r="M326" s="488"/>
      <c r="N326" s="488"/>
      <c r="O326" s="488"/>
      <c r="P326" s="488"/>
      <c r="Q326" s="488"/>
      <c r="R326" s="488"/>
      <c r="S326" s="488"/>
      <c r="T326" s="488"/>
      <c r="U326" s="488"/>
      <c r="V326" s="488"/>
      <c r="W326" s="488"/>
      <c r="X326" s="488"/>
      <c r="Y326" s="488"/>
      <c r="Z326" s="488"/>
      <c r="AA326" s="488"/>
      <c r="AB326" s="488"/>
      <c r="AC326" s="488"/>
      <c r="AD326" s="488"/>
      <c r="AE326" s="488"/>
      <c r="AF326" s="488"/>
      <c r="AG326" s="488"/>
      <c r="AH326" s="488"/>
      <c r="AI326" s="488"/>
      <c r="AJ326" s="488"/>
    </row>
    <row r="327" spans="1:36" s="496" customFormat="1">
      <c r="A327" s="488"/>
      <c r="C327" s="488"/>
      <c r="D327" s="488"/>
      <c r="E327" s="488"/>
      <c r="F327" s="488"/>
      <c r="G327" s="488"/>
      <c r="H327" s="488"/>
      <c r="I327" s="488"/>
      <c r="J327" s="488"/>
      <c r="K327" s="488"/>
      <c r="L327" s="488"/>
      <c r="M327" s="488"/>
      <c r="N327" s="488"/>
      <c r="O327" s="488"/>
      <c r="P327" s="488"/>
      <c r="Q327" s="488"/>
      <c r="R327" s="488"/>
      <c r="S327" s="488"/>
      <c r="T327" s="488"/>
      <c r="U327" s="488"/>
      <c r="V327" s="488"/>
      <c r="W327" s="488"/>
      <c r="X327" s="488"/>
      <c r="Y327" s="488"/>
      <c r="Z327" s="488"/>
      <c r="AA327" s="488"/>
      <c r="AB327" s="488"/>
      <c r="AC327" s="488"/>
      <c r="AD327" s="488"/>
      <c r="AE327" s="488"/>
      <c r="AF327" s="488"/>
      <c r="AG327" s="488"/>
      <c r="AH327" s="488"/>
      <c r="AI327" s="488"/>
      <c r="AJ327" s="488"/>
    </row>
    <row r="328" spans="1:36" s="496" customFormat="1">
      <c r="A328" s="488"/>
      <c r="C328" s="488"/>
      <c r="D328" s="488"/>
      <c r="E328" s="488"/>
      <c r="F328" s="488"/>
      <c r="G328" s="488"/>
      <c r="H328" s="488"/>
      <c r="I328" s="488"/>
      <c r="J328" s="488"/>
      <c r="K328" s="488"/>
      <c r="L328" s="488"/>
      <c r="M328" s="488"/>
      <c r="N328" s="488"/>
      <c r="O328" s="488"/>
      <c r="P328" s="488"/>
      <c r="Q328" s="488"/>
      <c r="R328" s="488"/>
      <c r="S328" s="488"/>
      <c r="T328" s="488"/>
      <c r="U328" s="488"/>
      <c r="V328" s="488"/>
      <c r="W328" s="488"/>
      <c r="X328" s="488"/>
      <c r="Y328" s="488"/>
      <c r="Z328" s="488"/>
      <c r="AA328" s="488"/>
      <c r="AB328" s="488"/>
      <c r="AC328" s="488"/>
      <c r="AD328" s="488"/>
      <c r="AE328" s="488"/>
      <c r="AF328" s="488"/>
      <c r="AG328" s="488"/>
      <c r="AH328" s="488"/>
      <c r="AI328" s="488"/>
      <c r="AJ328" s="488"/>
    </row>
    <row r="329" spans="1:36" s="496" customFormat="1">
      <c r="A329" s="488"/>
      <c r="C329" s="488"/>
      <c r="D329" s="488"/>
      <c r="E329" s="488"/>
      <c r="F329" s="488"/>
      <c r="G329" s="488"/>
      <c r="H329" s="488"/>
      <c r="I329" s="488"/>
      <c r="J329" s="488"/>
      <c r="K329" s="488"/>
      <c r="L329" s="488"/>
      <c r="M329" s="488"/>
      <c r="N329" s="488"/>
      <c r="O329" s="488"/>
      <c r="P329" s="488"/>
      <c r="Q329" s="488"/>
      <c r="R329" s="488"/>
      <c r="S329" s="488"/>
      <c r="T329" s="488"/>
      <c r="U329" s="488"/>
      <c r="V329" s="488"/>
      <c r="W329" s="488"/>
      <c r="X329" s="488"/>
      <c r="Y329" s="488"/>
      <c r="Z329" s="488"/>
      <c r="AA329" s="488"/>
      <c r="AB329" s="488"/>
      <c r="AC329" s="488"/>
      <c r="AD329" s="488"/>
      <c r="AE329" s="488"/>
      <c r="AF329" s="488"/>
      <c r="AG329" s="488"/>
      <c r="AH329" s="488"/>
      <c r="AI329" s="488"/>
      <c r="AJ329" s="488"/>
    </row>
    <row r="330" spans="1:36" s="496" customFormat="1">
      <c r="A330" s="488"/>
      <c r="C330" s="488"/>
      <c r="D330" s="488"/>
      <c r="E330" s="488"/>
      <c r="F330" s="488"/>
      <c r="G330" s="488"/>
      <c r="H330" s="488"/>
      <c r="I330" s="488"/>
      <c r="J330" s="488"/>
      <c r="K330" s="488"/>
      <c r="L330" s="488"/>
      <c r="M330" s="488"/>
      <c r="N330" s="488"/>
      <c r="O330" s="488"/>
      <c r="P330" s="488"/>
      <c r="Q330" s="488"/>
      <c r="R330" s="488"/>
      <c r="S330" s="488"/>
      <c r="T330" s="488"/>
      <c r="U330" s="488"/>
      <c r="V330" s="488"/>
      <c r="W330" s="488"/>
      <c r="X330" s="488"/>
      <c r="Y330" s="488"/>
      <c r="Z330" s="488"/>
      <c r="AA330" s="488"/>
      <c r="AB330" s="488"/>
      <c r="AC330" s="488"/>
      <c r="AD330" s="488"/>
      <c r="AE330" s="488"/>
      <c r="AF330" s="488"/>
      <c r="AG330" s="488"/>
      <c r="AH330" s="488"/>
      <c r="AI330" s="488"/>
      <c r="AJ330" s="488"/>
    </row>
    <row r="331" spans="1:36" s="496" customFormat="1">
      <c r="A331" s="488"/>
      <c r="C331" s="488"/>
      <c r="D331" s="488"/>
      <c r="E331" s="488"/>
      <c r="F331" s="488"/>
      <c r="G331" s="488"/>
      <c r="H331" s="488"/>
      <c r="I331" s="488"/>
      <c r="J331" s="488"/>
      <c r="K331" s="488"/>
      <c r="L331" s="488"/>
      <c r="M331" s="488"/>
      <c r="N331" s="488"/>
      <c r="O331" s="488"/>
      <c r="P331" s="488"/>
      <c r="Q331" s="488"/>
      <c r="R331" s="488"/>
      <c r="S331" s="488"/>
      <c r="T331" s="488"/>
      <c r="U331" s="488"/>
      <c r="V331" s="488"/>
      <c r="W331" s="488"/>
      <c r="X331" s="488"/>
      <c r="Y331" s="488"/>
      <c r="Z331" s="488"/>
      <c r="AA331" s="488"/>
      <c r="AB331" s="488"/>
      <c r="AC331" s="488"/>
      <c r="AD331" s="488"/>
      <c r="AE331" s="488"/>
      <c r="AF331" s="488"/>
      <c r="AG331" s="488"/>
      <c r="AH331" s="488"/>
      <c r="AI331" s="488"/>
      <c r="AJ331" s="488"/>
    </row>
    <row r="332" spans="1:36" s="496" customFormat="1">
      <c r="A332" s="488"/>
      <c r="C332" s="488"/>
      <c r="D332" s="488"/>
      <c r="E332" s="488"/>
      <c r="F332" s="488"/>
      <c r="G332" s="488"/>
      <c r="H332" s="488"/>
      <c r="I332" s="488"/>
      <c r="J332" s="488"/>
      <c r="K332" s="488"/>
      <c r="L332" s="488"/>
      <c r="M332" s="488"/>
      <c r="N332" s="488"/>
      <c r="O332" s="488"/>
      <c r="P332" s="488"/>
      <c r="Q332" s="488"/>
      <c r="R332" s="488"/>
      <c r="S332" s="488"/>
      <c r="T332" s="488"/>
      <c r="U332" s="488"/>
      <c r="V332" s="488"/>
      <c r="W332" s="488"/>
      <c r="X332" s="488"/>
      <c r="Y332" s="488"/>
      <c r="Z332" s="488"/>
      <c r="AA332" s="488"/>
      <c r="AB332" s="488"/>
      <c r="AC332" s="488"/>
      <c r="AD332" s="488"/>
      <c r="AE332" s="488"/>
      <c r="AF332" s="488"/>
      <c r="AG332" s="488"/>
      <c r="AH332" s="488"/>
      <c r="AI332" s="488"/>
      <c r="AJ332" s="488"/>
    </row>
    <row r="333" spans="1:36" s="496" customFormat="1">
      <c r="A333" s="488"/>
      <c r="C333" s="488"/>
      <c r="D333" s="488"/>
      <c r="E333" s="488"/>
      <c r="F333" s="488"/>
      <c r="G333" s="488"/>
      <c r="H333" s="488"/>
      <c r="I333" s="488"/>
      <c r="J333" s="488"/>
      <c r="K333" s="488"/>
      <c r="L333" s="488"/>
      <c r="M333" s="488"/>
      <c r="N333" s="488"/>
      <c r="O333" s="488"/>
      <c r="P333" s="488"/>
      <c r="Q333" s="488"/>
      <c r="R333" s="488"/>
      <c r="S333" s="488"/>
      <c r="T333" s="488"/>
      <c r="U333" s="488"/>
      <c r="V333" s="488"/>
      <c r="W333" s="488"/>
      <c r="X333" s="488"/>
      <c r="Y333" s="488"/>
      <c r="Z333" s="488"/>
      <c r="AA333" s="488"/>
      <c r="AB333" s="488"/>
      <c r="AC333" s="488"/>
      <c r="AD333" s="488"/>
      <c r="AE333" s="488"/>
      <c r="AF333" s="488"/>
      <c r="AG333" s="488"/>
      <c r="AH333" s="488"/>
      <c r="AI333" s="488"/>
      <c r="AJ333" s="488"/>
    </row>
    <row r="334" spans="1:36" s="496" customFormat="1">
      <c r="A334" s="488"/>
      <c r="C334" s="488"/>
      <c r="D334" s="488"/>
      <c r="E334" s="488"/>
      <c r="F334" s="488"/>
      <c r="G334" s="488"/>
      <c r="H334" s="488"/>
      <c r="I334" s="488"/>
      <c r="J334" s="488"/>
      <c r="K334" s="488"/>
      <c r="L334" s="488"/>
      <c r="M334" s="488"/>
      <c r="N334" s="488"/>
      <c r="O334" s="488"/>
      <c r="P334" s="488"/>
      <c r="Q334" s="488"/>
      <c r="R334" s="488"/>
      <c r="S334" s="488"/>
      <c r="T334" s="488"/>
      <c r="U334" s="488"/>
      <c r="V334" s="488"/>
      <c r="W334" s="488"/>
      <c r="X334" s="488"/>
      <c r="Y334" s="488"/>
      <c r="Z334" s="488"/>
      <c r="AA334" s="488"/>
      <c r="AB334" s="488"/>
      <c r="AC334" s="488"/>
      <c r="AD334" s="488"/>
      <c r="AE334" s="488"/>
      <c r="AF334" s="488"/>
      <c r="AG334" s="488"/>
      <c r="AH334" s="488"/>
      <c r="AI334" s="488"/>
      <c r="AJ334" s="488"/>
    </row>
    <row r="335" spans="1:36" s="496" customFormat="1">
      <c r="A335" s="488"/>
      <c r="C335" s="488"/>
      <c r="D335" s="488"/>
      <c r="E335" s="488"/>
      <c r="F335" s="488"/>
      <c r="G335" s="488"/>
      <c r="H335" s="488"/>
      <c r="I335" s="488"/>
      <c r="J335" s="488"/>
      <c r="K335" s="488"/>
      <c r="L335" s="488"/>
      <c r="M335" s="488"/>
      <c r="N335" s="488"/>
      <c r="O335" s="488"/>
      <c r="P335" s="488"/>
      <c r="Q335" s="488"/>
      <c r="R335" s="488"/>
      <c r="S335" s="488"/>
      <c r="T335" s="488"/>
      <c r="U335" s="488"/>
      <c r="V335" s="488"/>
      <c r="W335" s="488"/>
      <c r="X335" s="488"/>
      <c r="Y335" s="488"/>
      <c r="Z335" s="488"/>
      <c r="AA335" s="488"/>
      <c r="AB335" s="488"/>
      <c r="AC335" s="488"/>
      <c r="AD335" s="488"/>
      <c r="AE335" s="488"/>
      <c r="AF335" s="488"/>
      <c r="AG335" s="488"/>
      <c r="AH335" s="488"/>
      <c r="AI335" s="488"/>
      <c r="AJ335" s="488"/>
    </row>
    <row r="336" spans="1:36" s="496" customFormat="1">
      <c r="A336" s="488"/>
      <c r="C336" s="488"/>
      <c r="D336" s="488"/>
      <c r="E336" s="488"/>
      <c r="F336" s="488"/>
      <c r="G336" s="488"/>
      <c r="H336" s="488"/>
      <c r="I336" s="488"/>
      <c r="J336" s="488"/>
      <c r="K336" s="488"/>
      <c r="L336" s="488"/>
      <c r="M336" s="488"/>
      <c r="N336" s="488"/>
      <c r="O336" s="488"/>
      <c r="P336" s="488"/>
      <c r="Q336" s="488"/>
      <c r="R336" s="488"/>
      <c r="S336" s="488"/>
      <c r="T336" s="488"/>
      <c r="U336" s="488"/>
      <c r="V336" s="488"/>
      <c r="W336" s="488"/>
      <c r="X336" s="488"/>
      <c r="Y336" s="488"/>
      <c r="Z336" s="488"/>
      <c r="AA336" s="488"/>
      <c r="AB336" s="488"/>
      <c r="AC336" s="488"/>
      <c r="AD336" s="488"/>
      <c r="AE336" s="488"/>
      <c r="AF336" s="488"/>
      <c r="AG336" s="488"/>
      <c r="AH336" s="488"/>
      <c r="AI336" s="488"/>
      <c r="AJ336" s="488"/>
    </row>
    <row r="337" spans="1:36" s="496" customFormat="1">
      <c r="A337" s="488"/>
      <c r="C337" s="488"/>
      <c r="D337" s="488"/>
      <c r="E337" s="488"/>
      <c r="F337" s="488"/>
      <c r="G337" s="488"/>
      <c r="H337" s="488"/>
      <c r="I337" s="488"/>
      <c r="J337" s="488"/>
      <c r="K337" s="488"/>
      <c r="L337" s="488"/>
      <c r="M337" s="488"/>
      <c r="N337" s="488"/>
      <c r="O337" s="488"/>
      <c r="P337" s="488"/>
      <c r="Q337" s="488"/>
      <c r="R337" s="488"/>
      <c r="S337" s="488"/>
      <c r="T337" s="488"/>
      <c r="U337" s="488"/>
      <c r="V337" s="488"/>
      <c r="W337" s="488"/>
      <c r="X337" s="488"/>
      <c r="Y337" s="488"/>
      <c r="Z337" s="488"/>
      <c r="AA337" s="488"/>
      <c r="AB337" s="488"/>
      <c r="AC337" s="488"/>
      <c r="AD337" s="488"/>
      <c r="AE337" s="488"/>
      <c r="AF337" s="488"/>
      <c r="AG337" s="488"/>
      <c r="AH337" s="488"/>
      <c r="AI337" s="488"/>
      <c r="AJ337" s="488"/>
    </row>
    <row r="338" spans="1:36" s="496" customFormat="1">
      <c r="A338" s="488"/>
      <c r="C338" s="488"/>
      <c r="D338" s="488"/>
      <c r="E338" s="488"/>
      <c r="F338" s="488"/>
      <c r="G338" s="488"/>
      <c r="H338" s="488"/>
      <c r="I338" s="488"/>
      <c r="J338" s="488"/>
      <c r="K338" s="488"/>
      <c r="L338" s="488"/>
      <c r="M338" s="488"/>
      <c r="N338" s="488"/>
      <c r="O338" s="488"/>
      <c r="P338" s="488"/>
      <c r="Q338" s="488"/>
      <c r="R338" s="488"/>
      <c r="S338" s="488"/>
      <c r="T338" s="488"/>
      <c r="U338" s="488"/>
      <c r="V338" s="488"/>
      <c r="W338" s="488"/>
      <c r="X338" s="488"/>
      <c r="Y338" s="488"/>
      <c r="Z338" s="488"/>
      <c r="AA338" s="488"/>
      <c r="AB338" s="488"/>
      <c r="AC338" s="488"/>
      <c r="AD338" s="488"/>
      <c r="AE338" s="488"/>
      <c r="AF338" s="488"/>
      <c r="AG338" s="488"/>
      <c r="AH338" s="488"/>
      <c r="AI338" s="488"/>
      <c r="AJ338" s="488"/>
    </row>
    <row r="339" spans="1:36" s="496" customFormat="1">
      <c r="A339" s="488"/>
      <c r="C339" s="488"/>
      <c r="D339" s="488"/>
      <c r="E339" s="488"/>
      <c r="F339" s="488"/>
      <c r="G339" s="488"/>
      <c r="H339" s="488"/>
      <c r="I339" s="488"/>
      <c r="J339" s="488"/>
      <c r="K339" s="488"/>
      <c r="L339" s="488"/>
      <c r="M339" s="488"/>
      <c r="N339" s="488"/>
      <c r="O339" s="488"/>
      <c r="P339" s="488"/>
      <c r="Q339" s="488"/>
      <c r="R339" s="488"/>
      <c r="S339" s="488"/>
      <c r="T339" s="488"/>
      <c r="U339" s="488"/>
      <c r="V339" s="488"/>
      <c r="W339" s="488"/>
      <c r="X339" s="488"/>
      <c r="Y339" s="488"/>
      <c r="Z339" s="488"/>
      <c r="AA339" s="488"/>
      <c r="AB339" s="488"/>
      <c r="AC339" s="488"/>
      <c r="AD339" s="488"/>
      <c r="AE339" s="488"/>
      <c r="AF339" s="488"/>
      <c r="AG339" s="488"/>
      <c r="AH339" s="488"/>
      <c r="AI339" s="488"/>
      <c r="AJ339" s="488"/>
    </row>
    <row r="340" spans="1:36" s="496" customFormat="1">
      <c r="A340" s="488"/>
      <c r="C340" s="488"/>
      <c r="D340" s="488"/>
      <c r="E340" s="488"/>
      <c r="F340" s="488"/>
      <c r="G340" s="488"/>
      <c r="H340" s="488"/>
      <c r="I340" s="488"/>
      <c r="J340" s="488"/>
      <c r="K340" s="488"/>
      <c r="L340" s="488"/>
      <c r="M340" s="488"/>
      <c r="N340" s="488"/>
      <c r="O340" s="488"/>
      <c r="P340" s="488"/>
      <c r="Q340" s="488"/>
      <c r="R340" s="488"/>
      <c r="S340" s="488"/>
      <c r="T340" s="488"/>
      <c r="U340" s="488"/>
      <c r="V340" s="488"/>
      <c r="W340" s="488"/>
      <c r="X340" s="488"/>
      <c r="Y340" s="488"/>
      <c r="Z340" s="488"/>
      <c r="AA340" s="488"/>
      <c r="AB340" s="488"/>
      <c r="AC340" s="488"/>
      <c r="AD340" s="488"/>
      <c r="AE340" s="488"/>
      <c r="AF340" s="488"/>
      <c r="AG340" s="488"/>
      <c r="AH340" s="488"/>
      <c r="AI340" s="488"/>
      <c r="AJ340" s="488"/>
    </row>
    <row r="341" spans="1:36" s="496" customFormat="1">
      <c r="A341" s="488"/>
      <c r="C341" s="488"/>
      <c r="D341" s="488"/>
      <c r="E341" s="488"/>
      <c r="F341" s="488"/>
      <c r="G341" s="488"/>
      <c r="H341" s="488"/>
      <c r="I341" s="488"/>
      <c r="J341" s="488"/>
      <c r="K341" s="488"/>
      <c r="L341" s="488"/>
      <c r="M341" s="488"/>
      <c r="N341" s="488"/>
      <c r="O341" s="488"/>
      <c r="P341" s="488"/>
      <c r="Q341" s="488"/>
      <c r="R341" s="488"/>
      <c r="S341" s="488"/>
      <c r="T341" s="488"/>
      <c r="U341" s="488"/>
      <c r="V341" s="488"/>
      <c r="W341" s="488"/>
      <c r="X341" s="488"/>
      <c r="Y341" s="488"/>
      <c r="Z341" s="488"/>
      <c r="AA341" s="488"/>
      <c r="AB341" s="488"/>
      <c r="AC341" s="488"/>
      <c r="AD341" s="488"/>
      <c r="AE341" s="488"/>
      <c r="AF341" s="488"/>
      <c r="AG341" s="488"/>
      <c r="AH341" s="488"/>
      <c r="AI341" s="488"/>
      <c r="AJ341" s="488"/>
    </row>
    <row r="342" spans="1:36" s="496" customFormat="1">
      <c r="A342" s="488"/>
      <c r="C342" s="488"/>
      <c r="D342" s="488"/>
      <c r="E342" s="488"/>
      <c r="F342" s="488"/>
      <c r="G342" s="488"/>
      <c r="H342" s="488"/>
      <c r="I342" s="488"/>
      <c r="J342" s="488"/>
      <c r="K342" s="488"/>
      <c r="L342" s="488"/>
      <c r="M342" s="488"/>
      <c r="N342" s="488"/>
      <c r="O342" s="488"/>
      <c r="P342" s="488"/>
      <c r="Q342" s="488"/>
      <c r="R342" s="488"/>
      <c r="S342" s="488"/>
      <c r="T342" s="488"/>
      <c r="U342" s="488"/>
      <c r="V342" s="488"/>
      <c r="W342" s="488"/>
      <c r="X342" s="488"/>
      <c r="Y342" s="488"/>
      <c r="Z342" s="488"/>
      <c r="AA342" s="488"/>
      <c r="AB342" s="488"/>
      <c r="AC342" s="488"/>
      <c r="AD342" s="488"/>
      <c r="AE342" s="488"/>
      <c r="AF342" s="488"/>
      <c r="AG342" s="488"/>
      <c r="AH342" s="488"/>
      <c r="AI342" s="488"/>
      <c r="AJ342" s="488"/>
    </row>
    <row r="343" spans="1:36" s="496" customFormat="1">
      <c r="A343" s="488"/>
      <c r="C343" s="488"/>
      <c r="D343" s="488"/>
      <c r="E343" s="488"/>
      <c r="F343" s="488"/>
      <c r="G343" s="488"/>
      <c r="H343" s="488"/>
      <c r="I343" s="488"/>
      <c r="J343" s="488"/>
      <c r="K343" s="488"/>
      <c r="L343" s="488"/>
      <c r="M343" s="488"/>
      <c r="N343" s="488"/>
      <c r="O343" s="488"/>
      <c r="P343" s="488"/>
      <c r="Q343" s="488"/>
      <c r="R343" s="488"/>
      <c r="S343" s="488"/>
      <c r="T343" s="488"/>
      <c r="U343" s="488"/>
      <c r="V343" s="488"/>
      <c r="W343" s="488"/>
      <c r="X343" s="488"/>
      <c r="Y343" s="488"/>
      <c r="Z343" s="488"/>
      <c r="AA343" s="488"/>
      <c r="AB343" s="488"/>
      <c r="AC343" s="488"/>
      <c r="AD343" s="488"/>
      <c r="AE343" s="488"/>
      <c r="AF343" s="488"/>
      <c r="AG343" s="488"/>
      <c r="AH343" s="488"/>
      <c r="AI343" s="488"/>
      <c r="AJ343" s="488"/>
    </row>
    <row r="344" spans="1:36" s="496" customFormat="1">
      <c r="A344" s="488"/>
      <c r="C344" s="488"/>
      <c r="D344" s="488"/>
      <c r="E344" s="488"/>
      <c r="F344" s="488"/>
      <c r="G344" s="488"/>
      <c r="H344" s="488"/>
      <c r="I344" s="488"/>
      <c r="J344" s="488"/>
      <c r="K344" s="488"/>
      <c r="L344" s="488"/>
      <c r="M344" s="488"/>
      <c r="N344" s="488"/>
      <c r="O344" s="488"/>
      <c r="P344" s="488"/>
      <c r="Q344" s="488"/>
      <c r="R344" s="488"/>
      <c r="S344" s="488"/>
      <c r="T344" s="488"/>
      <c r="U344" s="488"/>
      <c r="V344" s="488"/>
      <c r="W344" s="488"/>
      <c r="X344" s="488"/>
      <c r="Y344" s="488"/>
      <c r="Z344" s="488"/>
      <c r="AA344" s="488"/>
      <c r="AB344" s="488"/>
      <c r="AC344" s="488"/>
      <c r="AD344" s="488"/>
      <c r="AE344" s="488"/>
      <c r="AF344" s="488"/>
      <c r="AG344" s="488"/>
      <c r="AH344" s="488"/>
      <c r="AI344" s="488"/>
      <c r="AJ344" s="488"/>
    </row>
    <row r="345" spans="1:36" s="496" customFormat="1">
      <c r="A345" s="488"/>
      <c r="C345" s="488"/>
      <c r="D345" s="488"/>
      <c r="E345" s="488"/>
      <c r="F345" s="488"/>
      <c r="G345" s="488"/>
      <c r="H345" s="488"/>
      <c r="I345" s="488"/>
      <c r="J345" s="488"/>
      <c r="K345" s="488"/>
      <c r="L345" s="488"/>
      <c r="M345" s="488"/>
      <c r="N345" s="488"/>
      <c r="O345" s="488"/>
      <c r="P345" s="488"/>
      <c r="Q345" s="488"/>
      <c r="R345" s="488"/>
      <c r="S345" s="488"/>
      <c r="T345" s="488"/>
      <c r="U345" s="488"/>
      <c r="V345" s="488"/>
      <c r="W345" s="488"/>
      <c r="X345" s="488"/>
      <c r="Y345" s="488"/>
      <c r="Z345" s="488"/>
      <c r="AA345" s="488"/>
      <c r="AB345" s="488"/>
      <c r="AC345" s="488"/>
      <c r="AD345" s="488"/>
      <c r="AE345" s="488"/>
      <c r="AF345" s="488"/>
      <c r="AG345" s="488"/>
      <c r="AH345" s="488"/>
      <c r="AI345" s="488"/>
      <c r="AJ345" s="488"/>
    </row>
    <row r="346" spans="1:36" s="496" customFormat="1">
      <c r="A346" s="488"/>
      <c r="C346" s="488"/>
      <c r="D346" s="488"/>
      <c r="E346" s="488"/>
      <c r="F346" s="488"/>
      <c r="G346" s="488"/>
      <c r="H346" s="488"/>
      <c r="I346" s="488"/>
      <c r="J346" s="488"/>
      <c r="K346" s="488"/>
      <c r="L346" s="488"/>
      <c r="M346" s="488"/>
      <c r="N346" s="488"/>
      <c r="O346" s="488"/>
      <c r="P346" s="488"/>
      <c r="Q346" s="488"/>
      <c r="R346" s="488"/>
      <c r="S346" s="488"/>
      <c r="T346" s="488"/>
      <c r="U346" s="488"/>
      <c r="V346" s="488"/>
      <c r="W346" s="488"/>
      <c r="X346" s="488"/>
      <c r="Y346" s="488"/>
      <c r="Z346" s="488"/>
      <c r="AA346" s="488"/>
      <c r="AB346" s="488"/>
      <c r="AC346" s="488"/>
      <c r="AD346" s="488"/>
      <c r="AE346" s="488"/>
      <c r="AF346" s="488"/>
      <c r="AG346" s="488"/>
      <c r="AH346" s="488"/>
      <c r="AI346" s="488"/>
      <c r="AJ346" s="488"/>
    </row>
    <row r="347" spans="1:36" s="496" customFormat="1">
      <c r="A347" s="488"/>
      <c r="C347" s="488"/>
      <c r="D347" s="488"/>
      <c r="E347" s="488"/>
      <c r="F347" s="488"/>
      <c r="G347" s="488"/>
      <c r="H347" s="488"/>
      <c r="I347" s="488"/>
      <c r="J347" s="488"/>
      <c r="K347" s="488"/>
      <c r="L347" s="488"/>
      <c r="M347" s="488"/>
      <c r="N347" s="488"/>
      <c r="O347" s="488"/>
      <c r="P347" s="488"/>
      <c r="Q347" s="488"/>
      <c r="R347" s="488"/>
      <c r="S347" s="488"/>
      <c r="T347" s="488"/>
      <c r="U347" s="488"/>
      <c r="V347" s="488"/>
      <c r="W347" s="488"/>
      <c r="X347" s="488"/>
      <c r="Y347" s="488"/>
      <c r="Z347" s="488"/>
      <c r="AA347" s="488"/>
      <c r="AB347" s="488"/>
      <c r="AC347" s="488"/>
      <c r="AD347" s="488"/>
      <c r="AE347" s="488"/>
      <c r="AF347" s="488"/>
      <c r="AG347" s="488"/>
      <c r="AH347" s="488"/>
      <c r="AI347" s="488"/>
      <c r="AJ347" s="488"/>
    </row>
    <row r="348" spans="1:36" s="496" customFormat="1">
      <c r="A348" s="488"/>
      <c r="C348" s="488"/>
      <c r="D348" s="488"/>
      <c r="E348" s="488"/>
      <c r="F348" s="488"/>
      <c r="G348" s="488"/>
      <c r="H348" s="488"/>
      <c r="I348" s="488"/>
      <c r="J348" s="488"/>
      <c r="K348" s="488"/>
      <c r="L348" s="488"/>
      <c r="M348" s="488"/>
      <c r="N348" s="488"/>
      <c r="O348" s="488"/>
      <c r="P348" s="488"/>
      <c r="Q348" s="488"/>
      <c r="R348" s="488"/>
      <c r="S348" s="488"/>
      <c r="T348" s="488"/>
      <c r="U348" s="488"/>
      <c r="V348" s="488"/>
      <c r="W348" s="488"/>
      <c r="X348" s="488"/>
      <c r="Y348" s="488"/>
      <c r="Z348" s="488"/>
      <c r="AA348" s="488"/>
      <c r="AB348" s="488"/>
      <c r="AC348" s="488"/>
      <c r="AD348" s="488"/>
      <c r="AE348" s="488"/>
      <c r="AF348" s="488"/>
      <c r="AG348" s="488"/>
      <c r="AH348" s="488"/>
      <c r="AI348" s="488"/>
      <c r="AJ348" s="488"/>
    </row>
    <row r="349" spans="1:36" s="496" customFormat="1">
      <c r="A349" s="488"/>
      <c r="C349" s="488"/>
      <c r="D349" s="488"/>
      <c r="E349" s="488"/>
      <c r="F349" s="488"/>
      <c r="G349" s="488"/>
      <c r="H349" s="488"/>
      <c r="I349" s="488"/>
      <c r="J349" s="488"/>
      <c r="K349" s="488"/>
      <c r="L349" s="488"/>
      <c r="M349" s="488"/>
      <c r="N349" s="488"/>
      <c r="O349" s="488"/>
      <c r="P349" s="488"/>
      <c r="Q349" s="488"/>
      <c r="R349" s="488"/>
      <c r="S349" s="488"/>
      <c r="T349" s="488"/>
      <c r="U349" s="488"/>
      <c r="V349" s="488"/>
      <c r="W349" s="488"/>
      <c r="X349" s="488"/>
      <c r="Y349" s="488"/>
      <c r="Z349" s="488"/>
      <c r="AA349" s="488"/>
      <c r="AB349" s="488"/>
      <c r="AC349" s="488"/>
      <c r="AD349" s="488"/>
      <c r="AE349" s="488"/>
      <c r="AF349" s="488"/>
      <c r="AG349" s="488"/>
      <c r="AH349" s="488"/>
      <c r="AI349" s="488"/>
      <c r="AJ349" s="488"/>
    </row>
    <row r="350" spans="1:36" s="496" customFormat="1">
      <c r="A350" s="488"/>
      <c r="C350" s="488"/>
      <c r="D350" s="488"/>
      <c r="E350" s="488"/>
      <c r="F350" s="488"/>
      <c r="G350" s="488"/>
      <c r="H350" s="488"/>
      <c r="I350" s="488"/>
      <c r="J350" s="488"/>
      <c r="K350" s="488"/>
      <c r="L350" s="488"/>
      <c r="M350" s="488"/>
      <c r="N350" s="488"/>
      <c r="O350" s="488"/>
      <c r="P350" s="488"/>
      <c r="Q350" s="488"/>
      <c r="R350" s="488"/>
      <c r="S350" s="488"/>
      <c r="T350" s="488"/>
      <c r="U350" s="488"/>
      <c r="V350" s="488"/>
      <c r="W350" s="488"/>
      <c r="X350" s="488"/>
      <c r="Y350" s="488"/>
      <c r="Z350" s="488"/>
      <c r="AA350" s="488"/>
      <c r="AB350" s="488"/>
      <c r="AC350" s="488"/>
      <c r="AD350" s="488"/>
      <c r="AE350" s="488"/>
      <c r="AF350" s="488"/>
      <c r="AG350" s="488"/>
      <c r="AH350" s="488"/>
      <c r="AI350" s="488"/>
      <c r="AJ350" s="488"/>
    </row>
    <row r="351" spans="1:36" s="496" customFormat="1">
      <c r="A351" s="488"/>
      <c r="C351" s="488"/>
      <c r="D351" s="488"/>
      <c r="E351" s="488"/>
      <c r="F351" s="488"/>
      <c r="G351" s="488"/>
      <c r="H351" s="488"/>
      <c r="I351" s="488"/>
      <c r="J351" s="488"/>
      <c r="K351" s="488"/>
      <c r="L351" s="488"/>
      <c r="M351" s="488"/>
      <c r="N351" s="488"/>
      <c r="O351" s="488"/>
      <c r="P351" s="488"/>
      <c r="Q351" s="488"/>
      <c r="R351" s="488"/>
      <c r="S351" s="488"/>
      <c r="T351" s="488"/>
      <c r="U351" s="488"/>
      <c r="V351" s="488"/>
      <c r="W351" s="488"/>
      <c r="X351" s="488"/>
      <c r="Y351" s="488"/>
      <c r="Z351" s="488"/>
      <c r="AA351" s="488"/>
      <c r="AB351" s="488"/>
      <c r="AC351" s="488"/>
      <c r="AD351" s="488"/>
      <c r="AE351" s="488"/>
      <c r="AF351" s="488"/>
      <c r="AG351" s="488"/>
      <c r="AH351" s="488"/>
      <c r="AI351" s="488"/>
      <c r="AJ351" s="488"/>
    </row>
    <row r="352" spans="1:36" s="496" customFormat="1">
      <c r="A352" s="488"/>
      <c r="C352" s="488"/>
      <c r="D352" s="488"/>
      <c r="E352" s="488"/>
      <c r="F352" s="488"/>
      <c r="G352" s="488"/>
      <c r="H352" s="488"/>
      <c r="I352" s="488"/>
      <c r="J352" s="488"/>
      <c r="K352" s="488"/>
      <c r="L352" s="488"/>
      <c r="M352" s="488"/>
      <c r="N352" s="488"/>
      <c r="O352" s="488"/>
      <c r="P352" s="488"/>
      <c r="Q352" s="488"/>
      <c r="R352" s="488"/>
      <c r="S352" s="488"/>
      <c r="T352" s="488"/>
      <c r="U352" s="488"/>
      <c r="V352" s="488"/>
      <c r="W352" s="488"/>
      <c r="X352" s="488"/>
      <c r="Y352" s="488"/>
      <c r="Z352" s="488"/>
      <c r="AA352" s="488"/>
      <c r="AB352" s="488"/>
      <c r="AC352" s="488"/>
      <c r="AD352" s="488"/>
      <c r="AE352" s="488"/>
      <c r="AF352" s="488"/>
      <c r="AG352" s="488"/>
      <c r="AH352" s="488"/>
      <c r="AI352" s="488"/>
      <c r="AJ352" s="488"/>
    </row>
    <row r="353" spans="1:36" s="496" customFormat="1">
      <c r="A353" s="488"/>
      <c r="C353" s="488"/>
      <c r="D353" s="488"/>
      <c r="E353" s="488"/>
      <c r="F353" s="488"/>
      <c r="G353" s="488"/>
      <c r="H353" s="488"/>
      <c r="I353" s="488"/>
      <c r="J353" s="488"/>
      <c r="K353" s="488"/>
      <c r="L353" s="488"/>
      <c r="M353" s="488"/>
      <c r="N353" s="488"/>
      <c r="O353" s="488"/>
      <c r="P353" s="488"/>
      <c r="Q353" s="488"/>
      <c r="R353" s="488"/>
      <c r="S353" s="488"/>
      <c r="T353" s="488"/>
      <c r="U353" s="488"/>
      <c r="V353" s="488"/>
      <c r="W353" s="488"/>
      <c r="X353" s="488"/>
      <c r="Y353" s="488"/>
      <c r="Z353" s="488"/>
      <c r="AA353" s="488"/>
      <c r="AB353" s="488"/>
      <c r="AC353" s="488"/>
      <c r="AD353" s="488"/>
      <c r="AE353" s="488"/>
      <c r="AF353" s="488"/>
      <c r="AG353" s="488"/>
      <c r="AH353" s="488"/>
      <c r="AI353" s="488"/>
      <c r="AJ353" s="488"/>
    </row>
    <row r="354" spans="1:36" s="496" customFormat="1">
      <c r="A354" s="488"/>
      <c r="C354" s="488"/>
      <c r="D354" s="488"/>
      <c r="E354" s="488"/>
      <c r="F354" s="488"/>
      <c r="G354" s="488"/>
      <c r="H354" s="488"/>
      <c r="I354" s="488"/>
      <c r="J354" s="488"/>
      <c r="K354" s="488"/>
      <c r="L354" s="488"/>
      <c r="M354" s="488"/>
      <c r="N354" s="488"/>
      <c r="O354" s="488"/>
      <c r="P354" s="488"/>
      <c r="Q354" s="488"/>
      <c r="R354" s="488"/>
      <c r="S354" s="488"/>
      <c r="T354" s="488"/>
      <c r="U354" s="488"/>
      <c r="V354" s="488"/>
      <c r="W354" s="488"/>
      <c r="X354" s="488"/>
      <c r="Y354" s="488"/>
      <c r="Z354" s="488"/>
      <c r="AA354" s="488"/>
      <c r="AB354" s="488"/>
      <c r="AC354" s="488"/>
      <c r="AD354" s="488"/>
      <c r="AE354" s="488"/>
      <c r="AF354" s="488"/>
      <c r="AG354" s="488"/>
      <c r="AH354" s="488"/>
      <c r="AI354" s="488"/>
      <c r="AJ354" s="488"/>
    </row>
    <row r="355" spans="1:36" s="496" customFormat="1">
      <c r="A355" s="488"/>
      <c r="C355" s="488"/>
      <c r="D355" s="488"/>
      <c r="E355" s="488"/>
      <c r="F355" s="488"/>
      <c r="G355" s="488"/>
      <c r="H355" s="488"/>
      <c r="I355" s="488"/>
      <c r="J355" s="488"/>
      <c r="K355" s="488"/>
      <c r="L355" s="488"/>
      <c r="M355" s="488"/>
      <c r="N355" s="488"/>
      <c r="O355" s="488"/>
      <c r="P355" s="488"/>
      <c r="Q355" s="488"/>
      <c r="R355" s="488"/>
      <c r="S355" s="488"/>
      <c r="T355" s="488"/>
      <c r="U355" s="488"/>
      <c r="V355" s="488"/>
      <c r="W355" s="488"/>
      <c r="X355" s="488"/>
      <c r="Y355" s="488"/>
      <c r="Z355" s="488"/>
      <c r="AA355" s="488"/>
      <c r="AB355" s="488"/>
      <c r="AC355" s="488"/>
      <c r="AD355" s="488"/>
      <c r="AE355" s="488"/>
      <c r="AF355" s="488"/>
      <c r="AG355" s="488"/>
      <c r="AH355" s="488"/>
      <c r="AI355" s="488"/>
      <c r="AJ355" s="488"/>
    </row>
    <row r="356" spans="1:36" s="496" customFormat="1">
      <c r="A356" s="488"/>
      <c r="C356" s="488"/>
      <c r="D356" s="488"/>
      <c r="E356" s="488"/>
      <c r="F356" s="488"/>
      <c r="G356" s="488"/>
      <c r="H356" s="488"/>
      <c r="I356" s="488"/>
      <c r="J356" s="488"/>
      <c r="K356" s="488"/>
      <c r="L356" s="488"/>
      <c r="M356" s="488"/>
      <c r="N356" s="488"/>
      <c r="O356" s="488"/>
      <c r="P356" s="488"/>
      <c r="Q356" s="488"/>
      <c r="R356" s="488"/>
      <c r="S356" s="488"/>
      <c r="T356" s="488"/>
      <c r="U356" s="488"/>
      <c r="V356" s="488"/>
      <c r="W356" s="488"/>
      <c r="X356" s="488"/>
      <c r="Y356" s="488"/>
      <c r="Z356" s="488"/>
      <c r="AA356" s="488"/>
      <c r="AB356" s="488"/>
      <c r="AC356" s="488"/>
      <c r="AD356" s="488"/>
      <c r="AE356" s="488"/>
      <c r="AF356" s="488"/>
      <c r="AG356" s="488"/>
      <c r="AH356" s="488"/>
      <c r="AI356" s="488"/>
      <c r="AJ356" s="488"/>
    </row>
    <row r="357" spans="1:36" s="496" customFormat="1">
      <c r="A357" s="488"/>
      <c r="C357" s="488"/>
      <c r="D357" s="488"/>
      <c r="E357" s="488"/>
      <c r="F357" s="488"/>
      <c r="G357" s="488"/>
      <c r="H357" s="488"/>
      <c r="I357" s="488"/>
      <c r="J357" s="488"/>
      <c r="K357" s="488"/>
      <c r="L357" s="488"/>
      <c r="M357" s="488"/>
      <c r="N357" s="488"/>
      <c r="O357" s="488"/>
      <c r="P357" s="488"/>
      <c r="Q357" s="488"/>
      <c r="R357" s="488"/>
      <c r="S357" s="488"/>
      <c r="T357" s="488"/>
      <c r="U357" s="488"/>
      <c r="V357" s="488"/>
      <c r="W357" s="488"/>
      <c r="X357" s="488"/>
      <c r="Y357" s="488"/>
      <c r="Z357" s="488"/>
      <c r="AA357" s="488"/>
      <c r="AB357" s="488"/>
      <c r="AC357" s="488"/>
      <c r="AD357" s="488"/>
      <c r="AE357" s="488"/>
      <c r="AF357" s="488"/>
      <c r="AG357" s="488"/>
      <c r="AH357" s="488"/>
      <c r="AI357" s="488"/>
      <c r="AJ357" s="488"/>
    </row>
    <row r="358" spans="1:36" s="496" customFormat="1">
      <c r="A358" s="488"/>
      <c r="C358" s="488"/>
      <c r="D358" s="488"/>
      <c r="E358" s="488"/>
      <c r="F358" s="488"/>
      <c r="G358" s="488"/>
      <c r="H358" s="488"/>
      <c r="I358" s="488"/>
      <c r="J358" s="488"/>
      <c r="K358" s="488"/>
      <c r="L358" s="488"/>
      <c r="M358" s="488"/>
      <c r="N358" s="488"/>
      <c r="O358" s="488"/>
      <c r="P358" s="488"/>
      <c r="Q358" s="488"/>
      <c r="R358" s="488"/>
      <c r="S358" s="488"/>
      <c r="T358" s="488"/>
      <c r="U358" s="488"/>
      <c r="V358" s="488"/>
      <c r="W358" s="488"/>
      <c r="X358" s="488"/>
      <c r="Y358" s="488"/>
      <c r="Z358" s="488"/>
      <c r="AA358" s="488"/>
      <c r="AB358" s="488"/>
      <c r="AC358" s="488"/>
      <c r="AD358" s="488"/>
      <c r="AE358" s="488"/>
      <c r="AF358" s="488"/>
      <c r="AG358" s="488"/>
      <c r="AH358" s="488"/>
      <c r="AI358" s="488"/>
      <c r="AJ358" s="488"/>
    </row>
    <row r="359" spans="1:36" s="496" customFormat="1">
      <c r="A359" s="488"/>
      <c r="C359" s="488"/>
      <c r="D359" s="488"/>
      <c r="E359" s="488"/>
      <c r="F359" s="488"/>
      <c r="G359" s="488"/>
      <c r="H359" s="488"/>
      <c r="I359" s="488"/>
      <c r="J359" s="488"/>
      <c r="K359" s="488"/>
      <c r="L359" s="488"/>
      <c r="M359" s="488"/>
      <c r="N359" s="488"/>
      <c r="O359" s="488"/>
      <c r="P359" s="488"/>
      <c r="Q359" s="488"/>
      <c r="R359" s="488"/>
      <c r="S359" s="488"/>
      <c r="T359" s="488"/>
      <c r="U359" s="488"/>
      <c r="V359" s="488"/>
      <c r="W359" s="488"/>
      <c r="X359" s="488"/>
      <c r="Y359" s="488"/>
      <c r="Z359" s="488"/>
      <c r="AA359" s="488"/>
      <c r="AB359" s="488"/>
      <c r="AC359" s="488"/>
      <c r="AD359" s="488"/>
      <c r="AE359" s="488"/>
      <c r="AF359" s="488"/>
      <c r="AG359" s="488"/>
      <c r="AH359" s="488"/>
      <c r="AI359" s="488"/>
      <c r="AJ359" s="488"/>
    </row>
    <row r="360" spans="1:36" s="496" customFormat="1">
      <c r="A360" s="488"/>
      <c r="C360" s="488"/>
      <c r="D360" s="488"/>
      <c r="E360" s="488"/>
      <c r="F360" s="488"/>
      <c r="G360" s="488"/>
      <c r="H360" s="488"/>
      <c r="I360" s="488"/>
      <c r="J360" s="488"/>
      <c r="K360" s="488"/>
      <c r="L360" s="488"/>
      <c r="M360" s="488"/>
      <c r="N360" s="488"/>
      <c r="O360" s="488"/>
      <c r="P360" s="488"/>
      <c r="Q360" s="488"/>
      <c r="R360" s="488"/>
      <c r="S360" s="488"/>
      <c r="T360" s="488"/>
      <c r="U360" s="488"/>
      <c r="V360" s="488"/>
      <c r="W360" s="488"/>
      <c r="X360" s="488"/>
      <c r="Y360" s="488"/>
      <c r="Z360" s="488"/>
      <c r="AA360" s="488"/>
      <c r="AB360" s="488"/>
      <c r="AC360" s="488"/>
      <c r="AD360" s="488"/>
      <c r="AE360" s="488"/>
      <c r="AF360" s="488"/>
      <c r="AG360" s="488"/>
      <c r="AH360" s="488"/>
      <c r="AI360" s="488"/>
      <c r="AJ360" s="488"/>
    </row>
    <row r="361" spans="1:36" s="496" customFormat="1">
      <c r="A361" s="488"/>
      <c r="C361" s="488"/>
      <c r="D361" s="488"/>
      <c r="E361" s="488"/>
      <c r="F361" s="488"/>
      <c r="G361" s="488"/>
      <c r="H361" s="488"/>
      <c r="I361" s="488"/>
      <c r="J361" s="488"/>
      <c r="K361" s="488"/>
      <c r="L361" s="488"/>
      <c r="M361" s="488"/>
      <c r="N361" s="488"/>
      <c r="O361" s="488"/>
      <c r="P361" s="488"/>
      <c r="Q361" s="488"/>
      <c r="R361" s="488"/>
      <c r="S361" s="488"/>
      <c r="T361" s="488"/>
      <c r="U361" s="488"/>
      <c r="V361" s="488"/>
      <c r="W361" s="488"/>
      <c r="X361" s="488"/>
      <c r="Y361" s="488"/>
      <c r="Z361" s="488"/>
      <c r="AA361" s="488"/>
      <c r="AB361" s="488"/>
      <c r="AC361" s="488"/>
      <c r="AD361" s="488"/>
      <c r="AE361" s="488"/>
      <c r="AF361" s="488"/>
      <c r="AG361" s="488"/>
      <c r="AH361" s="488"/>
      <c r="AI361" s="488"/>
      <c r="AJ361" s="488"/>
    </row>
    <row r="362" spans="1:36" s="496" customFormat="1">
      <c r="A362" s="488"/>
      <c r="C362" s="488"/>
      <c r="D362" s="488"/>
      <c r="E362" s="488"/>
      <c r="F362" s="488"/>
      <c r="G362" s="488"/>
      <c r="H362" s="488"/>
      <c r="I362" s="488"/>
      <c r="J362" s="488"/>
      <c r="K362" s="488"/>
      <c r="L362" s="488"/>
      <c r="M362" s="488"/>
      <c r="N362" s="488"/>
      <c r="O362" s="488"/>
      <c r="P362" s="488"/>
      <c r="Q362" s="488"/>
      <c r="R362" s="488"/>
      <c r="S362" s="488"/>
      <c r="T362" s="488"/>
      <c r="U362" s="488"/>
      <c r="V362" s="488"/>
      <c r="W362" s="488"/>
      <c r="X362" s="488"/>
      <c r="Y362" s="488"/>
      <c r="Z362" s="488"/>
      <c r="AA362" s="488"/>
      <c r="AB362" s="488"/>
      <c r="AC362" s="488"/>
      <c r="AD362" s="488"/>
      <c r="AE362" s="488"/>
      <c r="AF362" s="488"/>
      <c r="AG362" s="488"/>
      <c r="AH362" s="488"/>
      <c r="AI362" s="488"/>
      <c r="AJ362" s="488"/>
    </row>
    <row r="363" spans="1:36" s="496" customFormat="1">
      <c r="A363" s="488"/>
      <c r="C363" s="488"/>
      <c r="D363" s="488"/>
      <c r="E363" s="488"/>
      <c r="F363" s="488"/>
      <c r="G363" s="488"/>
      <c r="H363" s="488"/>
      <c r="I363" s="488"/>
      <c r="J363" s="488"/>
      <c r="K363" s="488"/>
      <c r="L363" s="488"/>
      <c r="M363" s="488"/>
      <c r="N363" s="488"/>
      <c r="O363" s="488"/>
      <c r="P363" s="488"/>
      <c r="Q363" s="488"/>
      <c r="R363" s="488"/>
      <c r="S363" s="488"/>
      <c r="T363" s="488"/>
      <c r="U363" s="488"/>
      <c r="V363" s="488"/>
      <c r="W363" s="488"/>
      <c r="X363" s="488"/>
      <c r="Y363" s="488"/>
      <c r="Z363" s="488"/>
      <c r="AA363" s="488"/>
      <c r="AB363" s="488"/>
      <c r="AC363" s="488"/>
      <c r="AD363" s="488"/>
      <c r="AE363" s="488"/>
      <c r="AF363" s="488"/>
      <c r="AG363" s="488"/>
      <c r="AH363" s="488"/>
      <c r="AI363" s="488"/>
      <c r="AJ363" s="488"/>
    </row>
    <row r="364" spans="1:36" s="496" customFormat="1">
      <c r="A364" s="488"/>
      <c r="C364" s="488"/>
      <c r="D364" s="488"/>
      <c r="E364" s="488"/>
      <c r="F364" s="488"/>
      <c r="G364" s="488"/>
      <c r="H364" s="488"/>
      <c r="I364" s="488"/>
      <c r="J364" s="488"/>
      <c r="K364" s="488"/>
      <c r="L364" s="488"/>
      <c r="M364" s="488"/>
      <c r="N364" s="488"/>
      <c r="O364" s="488"/>
      <c r="P364" s="488"/>
      <c r="Q364" s="488"/>
      <c r="R364" s="488"/>
      <c r="S364" s="488"/>
      <c r="T364" s="488"/>
      <c r="U364" s="488"/>
      <c r="V364" s="488"/>
      <c r="W364" s="488"/>
      <c r="X364" s="488"/>
      <c r="Y364" s="488"/>
      <c r="Z364" s="488"/>
      <c r="AA364" s="488"/>
      <c r="AB364" s="488"/>
      <c r="AC364" s="488"/>
      <c r="AD364" s="488"/>
      <c r="AE364" s="488"/>
      <c r="AF364" s="488"/>
      <c r="AG364" s="488"/>
      <c r="AH364" s="488"/>
      <c r="AI364" s="488"/>
      <c r="AJ364" s="488"/>
    </row>
    <row r="365" spans="1:36" s="496" customFormat="1">
      <c r="A365" s="488"/>
      <c r="C365" s="488"/>
      <c r="D365" s="488"/>
      <c r="E365" s="488"/>
      <c r="F365" s="488"/>
      <c r="G365" s="488"/>
      <c r="H365" s="488"/>
      <c r="I365" s="488"/>
      <c r="J365" s="488"/>
      <c r="K365" s="488"/>
      <c r="L365" s="488"/>
      <c r="M365" s="488"/>
      <c r="N365" s="488"/>
      <c r="O365" s="488"/>
      <c r="P365" s="488"/>
      <c r="Q365" s="488"/>
      <c r="R365" s="488"/>
      <c r="S365" s="488"/>
      <c r="T365" s="488"/>
      <c r="U365" s="488"/>
      <c r="V365" s="488"/>
      <c r="W365" s="488"/>
      <c r="X365" s="488"/>
      <c r="Y365" s="488"/>
      <c r="Z365" s="488"/>
      <c r="AA365" s="488"/>
      <c r="AB365" s="488"/>
      <c r="AC365" s="488"/>
      <c r="AD365" s="488"/>
      <c r="AE365" s="488"/>
      <c r="AF365" s="488"/>
      <c r="AG365" s="488"/>
      <c r="AH365" s="488"/>
      <c r="AI365" s="488"/>
      <c r="AJ365" s="488"/>
    </row>
    <row r="366" spans="1:36" s="496" customFormat="1">
      <c r="A366" s="488"/>
      <c r="C366" s="488"/>
      <c r="D366" s="488"/>
      <c r="E366" s="488"/>
      <c r="F366" s="488"/>
      <c r="G366" s="488"/>
      <c r="H366" s="488"/>
      <c r="I366" s="488"/>
      <c r="J366" s="488"/>
      <c r="K366" s="488"/>
      <c r="L366" s="488"/>
      <c r="M366" s="488"/>
      <c r="N366" s="488"/>
      <c r="O366" s="488"/>
      <c r="P366" s="488"/>
      <c r="Q366" s="488"/>
      <c r="R366" s="488"/>
      <c r="S366" s="488"/>
      <c r="T366" s="488"/>
      <c r="U366" s="488"/>
      <c r="V366" s="488"/>
      <c r="W366" s="488"/>
      <c r="X366" s="488"/>
      <c r="Y366" s="488"/>
      <c r="Z366" s="488"/>
      <c r="AA366" s="488"/>
      <c r="AB366" s="488"/>
      <c r="AC366" s="488"/>
      <c r="AD366" s="488"/>
      <c r="AE366" s="488"/>
      <c r="AF366" s="488"/>
      <c r="AG366" s="488"/>
      <c r="AH366" s="488"/>
      <c r="AI366" s="488"/>
      <c r="AJ366" s="488"/>
    </row>
    <row r="367" spans="1:36" s="496" customFormat="1">
      <c r="A367" s="488"/>
      <c r="C367" s="488"/>
      <c r="D367" s="488"/>
      <c r="E367" s="488"/>
      <c r="F367" s="488"/>
      <c r="G367" s="488"/>
      <c r="H367" s="488"/>
      <c r="I367" s="488"/>
      <c r="J367" s="488"/>
      <c r="K367" s="488"/>
      <c r="L367" s="488"/>
      <c r="M367" s="488"/>
      <c r="N367" s="488"/>
      <c r="O367" s="488"/>
      <c r="P367" s="488"/>
      <c r="Q367" s="488"/>
      <c r="R367" s="488"/>
      <c r="S367" s="488"/>
      <c r="T367" s="488"/>
      <c r="U367" s="488"/>
      <c r="V367" s="488"/>
      <c r="W367" s="488"/>
      <c r="X367" s="488"/>
      <c r="Y367" s="488"/>
      <c r="Z367" s="488"/>
      <c r="AA367" s="488"/>
      <c r="AB367" s="488"/>
      <c r="AC367" s="488"/>
      <c r="AD367" s="488"/>
      <c r="AE367" s="488"/>
      <c r="AF367" s="488"/>
      <c r="AG367" s="488"/>
      <c r="AH367" s="488"/>
      <c r="AI367" s="488"/>
      <c r="AJ367" s="488"/>
    </row>
    <row r="368" spans="1:36" s="496" customFormat="1">
      <c r="A368" s="488"/>
      <c r="C368" s="488"/>
      <c r="D368" s="488"/>
      <c r="E368" s="488"/>
      <c r="F368" s="488"/>
      <c r="G368" s="488"/>
      <c r="H368" s="488"/>
      <c r="I368" s="488"/>
      <c r="J368" s="488"/>
      <c r="K368" s="488"/>
      <c r="L368" s="488"/>
      <c r="M368" s="488"/>
      <c r="N368" s="488"/>
      <c r="O368" s="488"/>
      <c r="P368" s="488"/>
      <c r="Q368" s="488"/>
      <c r="R368" s="488"/>
      <c r="S368" s="488"/>
      <c r="T368" s="488"/>
      <c r="U368" s="488"/>
      <c r="V368" s="488"/>
      <c r="W368" s="488"/>
      <c r="X368" s="488"/>
      <c r="Y368" s="488"/>
      <c r="Z368" s="488"/>
      <c r="AA368" s="488"/>
      <c r="AB368" s="488"/>
      <c r="AC368" s="488"/>
      <c r="AD368" s="488"/>
      <c r="AE368" s="488"/>
      <c r="AF368" s="488"/>
      <c r="AG368" s="488"/>
      <c r="AH368" s="488"/>
      <c r="AI368" s="488"/>
      <c r="AJ368" s="488"/>
    </row>
    <row r="369" spans="1:36" s="496" customFormat="1">
      <c r="A369" s="488"/>
      <c r="C369" s="488"/>
      <c r="D369" s="488"/>
      <c r="E369" s="488"/>
      <c r="F369" s="488"/>
      <c r="G369" s="488"/>
      <c r="H369" s="488"/>
      <c r="I369" s="488"/>
      <c r="J369" s="488"/>
      <c r="K369" s="488"/>
      <c r="L369" s="488"/>
      <c r="M369" s="488"/>
      <c r="N369" s="488"/>
      <c r="O369" s="488"/>
      <c r="P369" s="488"/>
      <c r="Q369" s="488"/>
      <c r="R369" s="488"/>
      <c r="S369" s="488"/>
      <c r="T369" s="488"/>
      <c r="U369" s="488"/>
      <c r="V369" s="488"/>
      <c r="W369" s="488"/>
      <c r="X369" s="488"/>
      <c r="Y369" s="488"/>
      <c r="Z369" s="488"/>
      <c r="AA369" s="488"/>
      <c r="AB369" s="488"/>
      <c r="AC369" s="488"/>
      <c r="AD369" s="488"/>
      <c r="AE369" s="488"/>
      <c r="AF369" s="488"/>
      <c r="AG369" s="488"/>
      <c r="AH369" s="488"/>
      <c r="AI369" s="488"/>
      <c r="AJ369" s="488"/>
    </row>
    <row r="370" spans="1:36" s="496" customFormat="1">
      <c r="A370" s="488"/>
      <c r="C370" s="488"/>
      <c r="D370" s="488"/>
      <c r="E370" s="488"/>
      <c r="F370" s="488"/>
      <c r="G370" s="488"/>
      <c r="H370" s="488"/>
      <c r="I370" s="488"/>
      <c r="J370" s="488"/>
      <c r="K370" s="488"/>
      <c r="L370" s="488"/>
      <c r="M370" s="488"/>
      <c r="N370" s="488"/>
      <c r="O370" s="488"/>
      <c r="P370" s="488"/>
      <c r="Q370" s="488"/>
      <c r="R370" s="488"/>
      <c r="S370" s="488"/>
      <c r="T370" s="488"/>
      <c r="U370" s="488"/>
      <c r="V370" s="488"/>
      <c r="W370" s="488"/>
      <c r="X370" s="488"/>
      <c r="Y370" s="488"/>
      <c r="Z370" s="488"/>
      <c r="AA370" s="488"/>
      <c r="AB370" s="488"/>
      <c r="AC370" s="488"/>
      <c r="AD370" s="488"/>
      <c r="AE370" s="488"/>
      <c r="AF370" s="488"/>
      <c r="AG370" s="488"/>
      <c r="AH370" s="488"/>
      <c r="AI370" s="488"/>
      <c r="AJ370" s="488"/>
    </row>
    <row r="371" spans="1:36" s="496" customFormat="1">
      <c r="A371" s="488"/>
      <c r="C371" s="488"/>
      <c r="D371" s="488"/>
      <c r="E371" s="488"/>
      <c r="F371" s="488"/>
      <c r="G371" s="488"/>
      <c r="H371" s="488"/>
      <c r="I371" s="488"/>
      <c r="J371" s="488"/>
      <c r="K371" s="488"/>
      <c r="L371" s="488"/>
      <c r="M371" s="488"/>
      <c r="N371" s="488"/>
      <c r="O371" s="488"/>
      <c r="P371" s="488"/>
      <c r="Q371" s="488"/>
      <c r="R371" s="488"/>
      <c r="S371" s="488"/>
      <c r="T371" s="488"/>
      <c r="U371" s="488"/>
      <c r="V371" s="488"/>
      <c r="W371" s="488"/>
      <c r="X371" s="488"/>
      <c r="Y371" s="488"/>
      <c r="Z371" s="488"/>
      <c r="AA371" s="488"/>
      <c r="AB371" s="488"/>
      <c r="AC371" s="488"/>
      <c r="AD371" s="488"/>
      <c r="AE371" s="488"/>
      <c r="AF371" s="488"/>
      <c r="AG371" s="488"/>
      <c r="AH371" s="488"/>
      <c r="AI371" s="488"/>
      <c r="AJ371" s="488"/>
    </row>
    <row r="372" spans="1:36" s="496" customFormat="1">
      <c r="A372" s="488"/>
      <c r="C372" s="488"/>
      <c r="D372" s="488"/>
      <c r="E372" s="488"/>
      <c r="F372" s="488"/>
      <c r="G372" s="488"/>
      <c r="H372" s="488"/>
      <c r="I372" s="488"/>
      <c r="J372" s="488"/>
      <c r="K372" s="488"/>
      <c r="L372" s="488"/>
      <c r="M372" s="488"/>
      <c r="N372" s="488"/>
      <c r="O372" s="488"/>
      <c r="P372" s="488"/>
      <c r="Q372" s="488"/>
      <c r="R372" s="488"/>
      <c r="S372" s="488"/>
      <c r="T372" s="488"/>
      <c r="U372" s="488"/>
      <c r="V372" s="488"/>
      <c r="W372" s="488"/>
      <c r="X372" s="488"/>
      <c r="Y372" s="488"/>
      <c r="Z372" s="488"/>
      <c r="AA372" s="488"/>
      <c r="AB372" s="488"/>
      <c r="AC372" s="488"/>
      <c r="AD372" s="488"/>
      <c r="AE372" s="488"/>
      <c r="AF372" s="488"/>
      <c r="AG372" s="488"/>
      <c r="AH372" s="488"/>
      <c r="AI372" s="488"/>
      <c r="AJ372" s="488"/>
    </row>
    <row r="373" spans="1:36" s="496" customFormat="1">
      <c r="A373" s="488"/>
      <c r="C373" s="488"/>
      <c r="D373" s="488"/>
      <c r="E373" s="488"/>
      <c r="F373" s="488"/>
      <c r="G373" s="488"/>
      <c r="H373" s="488"/>
      <c r="I373" s="488"/>
      <c r="J373" s="488"/>
      <c r="K373" s="488"/>
      <c r="L373" s="488"/>
      <c r="M373" s="488"/>
      <c r="N373" s="488"/>
      <c r="O373" s="488"/>
      <c r="P373" s="488"/>
      <c r="Q373" s="488"/>
      <c r="R373" s="488"/>
      <c r="S373" s="488"/>
      <c r="T373" s="488"/>
      <c r="U373" s="488"/>
      <c r="V373" s="488"/>
      <c r="W373" s="488"/>
      <c r="X373" s="488"/>
      <c r="Y373" s="488"/>
      <c r="Z373" s="488"/>
      <c r="AA373" s="488"/>
      <c r="AB373" s="488"/>
      <c r="AC373" s="488"/>
      <c r="AD373" s="488"/>
      <c r="AE373" s="488"/>
      <c r="AF373" s="488"/>
      <c r="AG373" s="488"/>
      <c r="AH373" s="488"/>
      <c r="AI373" s="488"/>
      <c r="AJ373" s="488"/>
    </row>
    <row r="374" spans="1:36" s="496" customFormat="1">
      <c r="A374" s="488"/>
      <c r="C374" s="488"/>
      <c r="D374" s="488"/>
      <c r="E374" s="488"/>
      <c r="F374" s="488"/>
      <c r="G374" s="488"/>
      <c r="H374" s="488"/>
      <c r="I374" s="488"/>
      <c r="J374" s="488"/>
      <c r="K374" s="488"/>
      <c r="L374" s="488"/>
      <c r="M374" s="488"/>
      <c r="N374" s="488"/>
      <c r="O374" s="488"/>
      <c r="P374" s="488"/>
      <c r="Q374" s="488"/>
      <c r="R374" s="488"/>
      <c r="S374" s="488"/>
      <c r="T374" s="488"/>
      <c r="U374" s="488"/>
      <c r="V374" s="488"/>
      <c r="W374" s="488"/>
      <c r="X374" s="488"/>
      <c r="Y374" s="488"/>
      <c r="Z374" s="488"/>
      <c r="AA374" s="488"/>
      <c r="AB374" s="488"/>
      <c r="AC374" s="488"/>
      <c r="AD374" s="488"/>
      <c r="AE374" s="488"/>
      <c r="AF374" s="488"/>
      <c r="AG374" s="488"/>
      <c r="AH374" s="488"/>
      <c r="AI374" s="488"/>
      <c r="AJ374" s="488"/>
    </row>
    <row r="375" spans="1:36" s="496" customFormat="1">
      <c r="A375" s="488"/>
      <c r="C375" s="488"/>
      <c r="D375" s="488"/>
      <c r="E375" s="488"/>
      <c r="F375" s="488"/>
      <c r="G375" s="488"/>
      <c r="H375" s="488"/>
      <c r="I375" s="488"/>
      <c r="J375" s="488"/>
      <c r="K375" s="488"/>
      <c r="L375" s="488"/>
      <c r="M375" s="488"/>
      <c r="N375" s="488"/>
      <c r="O375" s="488"/>
      <c r="P375" s="488"/>
      <c r="Q375" s="488"/>
      <c r="R375" s="488"/>
      <c r="S375" s="488"/>
      <c r="T375" s="488"/>
      <c r="U375" s="488"/>
      <c r="V375" s="488"/>
      <c r="W375" s="488"/>
      <c r="X375" s="488"/>
      <c r="Y375" s="488"/>
      <c r="Z375" s="488"/>
      <c r="AA375" s="488"/>
      <c r="AB375" s="488"/>
      <c r="AC375" s="488"/>
      <c r="AD375" s="488"/>
      <c r="AE375" s="488"/>
      <c r="AF375" s="488"/>
      <c r="AG375" s="488"/>
      <c r="AH375" s="488"/>
      <c r="AI375" s="488"/>
      <c r="AJ375" s="488"/>
    </row>
    <row r="376" spans="1:36" s="496" customFormat="1">
      <c r="A376" s="488"/>
      <c r="C376" s="488"/>
      <c r="D376" s="488"/>
      <c r="E376" s="488"/>
      <c r="F376" s="488"/>
      <c r="G376" s="488"/>
      <c r="H376" s="488"/>
      <c r="I376" s="488"/>
      <c r="J376" s="488"/>
      <c r="K376" s="488"/>
      <c r="L376" s="488"/>
      <c r="M376" s="488"/>
      <c r="N376" s="488"/>
      <c r="O376" s="488"/>
      <c r="P376" s="488"/>
      <c r="Q376" s="488"/>
      <c r="R376" s="488"/>
      <c r="S376" s="488"/>
      <c r="T376" s="488"/>
      <c r="U376" s="488"/>
      <c r="V376" s="488"/>
      <c r="W376" s="488"/>
      <c r="X376" s="488"/>
      <c r="Y376" s="488"/>
      <c r="Z376" s="488"/>
      <c r="AA376" s="488"/>
      <c r="AB376" s="488"/>
      <c r="AC376" s="488"/>
      <c r="AD376" s="488"/>
      <c r="AE376" s="488"/>
      <c r="AF376" s="488"/>
      <c r="AG376" s="488"/>
      <c r="AH376" s="488"/>
      <c r="AI376" s="488"/>
      <c r="AJ376" s="488"/>
    </row>
    <row r="377" spans="1:36" s="496" customFormat="1">
      <c r="A377" s="488"/>
      <c r="C377" s="488"/>
      <c r="D377" s="488"/>
      <c r="E377" s="488"/>
      <c r="F377" s="488"/>
      <c r="G377" s="488"/>
      <c r="H377" s="488"/>
      <c r="I377" s="488"/>
      <c r="J377" s="488"/>
      <c r="K377" s="488"/>
      <c r="L377" s="488"/>
      <c r="M377" s="488"/>
      <c r="N377" s="488"/>
      <c r="O377" s="488"/>
      <c r="P377" s="488"/>
      <c r="Q377" s="488"/>
      <c r="R377" s="488"/>
      <c r="S377" s="488"/>
      <c r="T377" s="488"/>
      <c r="U377" s="488"/>
      <c r="V377" s="488"/>
      <c r="W377" s="488"/>
      <c r="X377" s="488"/>
      <c r="Y377" s="488"/>
      <c r="Z377" s="488"/>
      <c r="AA377" s="488"/>
      <c r="AB377" s="488"/>
      <c r="AC377" s="488"/>
      <c r="AD377" s="488"/>
      <c r="AE377" s="488"/>
      <c r="AF377" s="488"/>
      <c r="AG377" s="488"/>
      <c r="AH377" s="488"/>
      <c r="AI377" s="488"/>
      <c r="AJ377" s="488"/>
    </row>
    <row r="378" spans="1:36" s="496" customFormat="1">
      <c r="A378" s="488"/>
      <c r="C378" s="488"/>
      <c r="D378" s="488"/>
      <c r="E378" s="488"/>
      <c r="F378" s="488"/>
      <c r="G378" s="488"/>
      <c r="H378" s="488"/>
      <c r="I378" s="488"/>
      <c r="J378" s="488"/>
      <c r="K378" s="488"/>
      <c r="L378" s="488"/>
      <c r="M378" s="488"/>
      <c r="N378" s="488"/>
      <c r="O378" s="488"/>
      <c r="P378" s="488"/>
      <c r="Q378" s="488"/>
      <c r="R378" s="488"/>
      <c r="S378" s="488"/>
      <c r="T378" s="488"/>
      <c r="U378" s="488"/>
      <c r="V378" s="488"/>
      <c r="W378" s="488"/>
      <c r="X378" s="488"/>
      <c r="Y378" s="488"/>
      <c r="Z378" s="488"/>
      <c r="AA378" s="488"/>
      <c r="AB378" s="488"/>
      <c r="AC378" s="488"/>
      <c r="AD378" s="488"/>
      <c r="AE378" s="488"/>
      <c r="AF378" s="488"/>
      <c r="AG378" s="488"/>
      <c r="AH378" s="488"/>
      <c r="AI378" s="488"/>
      <c r="AJ378" s="488"/>
    </row>
    <row r="379" spans="1:36" s="496" customFormat="1">
      <c r="A379" s="488"/>
      <c r="C379" s="488"/>
      <c r="D379" s="488"/>
      <c r="E379" s="488"/>
      <c r="F379" s="488"/>
      <c r="G379" s="488"/>
      <c r="H379" s="488"/>
      <c r="I379" s="488"/>
      <c r="J379" s="488"/>
      <c r="K379" s="488"/>
      <c r="L379" s="488"/>
      <c r="M379" s="488"/>
      <c r="N379" s="488"/>
      <c r="O379" s="488"/>
      <c r="P379" s="488"/>
      <c r="Q379" s="488"/>
      <c r="R379" s="488"/>
      <c r="S379" s="488"/>
      <c r="T379" s="488"/>
      <c r="U379" s="488"/>
      <c r="V379" s="488"/>
      <c r="W379" s="488"/>
      <c r="X379" s="488"/>
      <c r="Y379" s="488"/>
      <c r="Z379" s="488"/>
      <c r="AA379" s="488"/>
      <c r="AB379" s="488"/>
      <c r="AC379" s="488"/>
      <c r="AD379" s="488"/>
      <c r="AE379" s="488"/>
      <c r="AF379" s="488"/>
      <c r="AG379" s="488"/>
      <c r="AH379" s="488"/>
      <c r="AI379" s="488"/>
      <c r="AJ379" s="488"/>
    </row>
    <row r="380" spans="1:36" s="496" customFormat="1">
      <c r="A380" s="488"/>
      <c r="C380" s="488"/>
      <c r="D380" s="488"/>
      <c r="E380" s="488"/>
      <c r="F380" s="488"/>
      <c r="G380" s="488"/>
      <c r="H380" s="488"/>
      <c r="I380" s="488"/>
      <c r="J380" s="488"/>
      <c r="K380" s="488"/>
      <c r="L380" s="488"/>
      <c r="M380" s="488"/>
      <c r="N380" s="488"/>
      <c r="O380" s="488"/>
      <c r="P380" s="488"/>
      <c r="Q380" s="488"/>
      <c r="R380" s="488"/>
      <c r="S380" s="488"/>
      <c r="T380" s="488"/>
      <c r="U380" s="488"/>
      <c r="V380" s="488"/>
      <c r="W380" s="488"/>
      <c r="X380" s="488"/>
      <c r="Y380" s="488"/>
      <c r="Z380" s="488"/>
      <c r="AA380" s="488"/>
      <c r="AB380" s="488"/>
      <c r="AC380" s="488"/>
      <c r="AD380" s="488"/>
      <c r="AE380" s="488"/>
      <c r="AF380" s="488"/>
      <c r="AG380" s="488"/>
      <c r="AH380" s="488"/>
      <c r="AI380" s="488"/>
      <c r="AJ380" s="488"/>
    </row>
    <row r="381" spans="1:36" s="496" customFormat="1">
      <c r="A381" s="488"/>
      <c r="C381" s="488"/>
      <c r="D381" s="488"/>
      <c r="E381" s="488"/>
      <c r="F381" s="488"/>
      <c r="G381" s="488"/>
      <c r="H381" s="488"/>
      <c r="I381" s="488"/>
      <c r="J381" s="488"/>
      <c r="K381" s="488"/>
      <c r="L381" s="488"/>
      <c r="M381" s="488"/>
      <c r="N381" s="488"/>
      <c r="O381" s="488"/>
      <c r="P381" s="488"/>
      <c r="Q381" s="488"/>
      <c r="R381" s="488"/>
      <c r="S381" s="488"/>
      <c r="T381" s="488"/>
      <c r="U381" s="488"/>
      <c r="V381" s="488"/>
      <c r="W381" s="488"/>
      <c r="X381" s="488"/>
      <c r="Y381" s="488"/>
      <c r="Z381" s="488"/>
      <c r="AA381" s="488"/>
      <c r="AB381" s="488"/>
      <c r="AC381" s="488"/>
      <c r="AD381" s="488"/>
      <c r="AE381" s="488"/>
      <c r="AF381" s="488"/>
      <c r="AG381" s="488"/>
      <c r="AH381" s="488"/>
      <c r="AI381" s="488"/>
      <c r="AJ381" s="488"/>
    </row>
    <row r="382" spans="1:36" s="496" customFormat="1">
      <c r="A382" s="488"/>
      <c r="C382" s="488"/>
      <c r="D382" s="488"/>
      <c r="E382" s="488"/>
      <c r="F382" s="488"/>
      <c r="G382" s="488"/>
      <c r="H382" s="488"/>
      <c r="I382" s="488"/>
      <c r="J382" s="488"/>
      <c r="K382" s="488"/>
      <c r="L382" s="488"/>
      <c r="M382" s="488"/>
      <c r="N382" s="488"/>
      <c r="O382" s="488"/>
      <c r="P382" s="488"/>
      <c r="Q382" s="488"/>
      <c r="R382" s="488"/>
      <c r="S382" s="488"/>
      <c r="T382" s="488"/>
      <c r="U382" s="488"/>
      <c r="V382" s="488"/>
      <c r="W382" s="488"/>
      <c r="X382" s="488"/>
      <c r="Y382" s="488"/>
      <c r="Z382" s="488"/>
      <c r="AA382" s="488"/>
      <c r="AB382" s="488"/>
      <c r="AC382" s="488"/>
      <c r="AD382" s="488"/>
      <c r="AE382" s="488"/>
      <c r="AF382" s="488"/>
      <c r="AG382" s="488"/>
      <c r="AH382" s="488"/>
      <c r="AI382" s="488"/>
      <c r="AJ382" s="488"/>
    </row>
    <row r="383" spans="1:36" s="496" customFormat="1">
      <c r="A383" s="488"/>
      <c r="C383" s="488"/>
      <c r="D383" s="488"/>
      <c r="E383" s="488"/>
      <c r="F383" s="488"/>
      <c r="G383" s="488"/>
      <c r="H383" s="488"/>
      <c r="I383" s="488"/>
      <c r="J383" s="488"/>
      <c r="K383" s="488"/>
      <c r="L383" s="488"/>
      <c r="M383" s="488"/>
      <c r="N383" s="488"/>
      <c r="O383" s="488"/>
      <c r="P383" s="488"/>
      <c r="Q383" s="488"/>
      <c r="R383" s="488"/>
      <c r="S383" s="488"/>
      <c r="T383" s="488"/>
      <c r="U383" s="488"/>
      <c r="V383" s="488"/>
      <c r="W383" s="488"/>
      <c r="X383" s="488"/>
      <c r="Y383" s="488"/>
      <c r="Z383" s="488"/>
      <c r="AA383" s="488"/>
      <c r="AB383" s="488"/>
      <c r="AC383" s="488"/>
      <c r="AD383" s="488"/>
      <c r="AE383" s="488"/>
      <c r="AF383" s="488"/>
      <c r="AG383" s="488"/>
      <c r="AH383" s="488"/>
      <c r="AI383" s="488"/>
      <c r="AJ383" s="488"/>
    </row>
    <row r="384" spans="1:36" s="496" customFormat="1">
      <c r="A384" s="488"/>
      <c r="C384" s="488"/>
      <c r="D384" s="488"/>
      <c r="E384" s="488"/>
      <c r="F384" s="488"/>
      <c r="G384" s="488"/>
      <c r="H384" s="488"/>
      <c r="I384" s="488"/>
      <c r="J384" s="488"/>
      <c r="K384" s="488"/>
      <c r="L384" s="488"/>
      <c r="M384" s="488"/>
      <c r="N384" s="488"/>
      <c r="O384" s="488"/>
      <c r="P384" s="488"/>
      <c r="Q384" s="488"/>
      <c r="R384" s="488"/>
      <c r="S384" s="488"/>
      <c r="T384" s="488"/>
      <c r="U384" s="488"/>
      <c r="V384" s="488"/>
      <c r="W384" s="488"/>
      <c r="X384" s="488"/>
      <c r="Y384" s="488"/>
      <c r="Z384" s="488"/>
      <c r="AA384" s="488"/>
      <c r="AB384" s="488"/>
      <c r="AC384" s="488"/>
      <c r="AD384" s="488"/>
      <c r="AE384" s="488"/>
      <c r="AF384" s="488"/>
      <c r="AG384" s="488"/>
      <c r="AH384" s="488"/>
      <c r="AI384" s="488"/>
      <c r="AJ384" s="488"/>
    </row>
    <row r="385" spans="1:36" s="496" customFormat="1">
      <c r="A385" s="488"/>
      <c r="C385" s="488"/>
      <c r="D385" s="488"/>
      <c r="E385" s="488"/>
      <c r="F385" s="488"/>
      <c r="G385" s="488"/>
      <c r="H385" s="488"/>
      <c r="I385" s="488"/>
      <c r="J385" s="488"/>
      <c r="K385" s="488"/>
      <c r="L385" s="488"/>
      <c r="M385" s="488"/>
      <c r="N385" s="488"/>
      <c r="O385" s="488"/>
      <c r="P385" s="488"/>
      <c r="Q385" s="488"/>
      <c r="R385" s="488"/>
      <c r="S385" s="488"/>
      <c r="T385" s="488"/>
      <c r="U385" s="488"/>
      <c r="V385" s="488"/>
      <c r="W385" s="488"/>
      <c r="X385" s="488"/>
      <c r="Y385" s="488"/>
      <c r="Z385" s="488"/>
      <c r="AA385" s="488"/>
      <c r="AB385" s="488"/>
      <c r="AC385" s="488"/>
      <c r="AD385" s="488"/>
      <c r="AE385" s="488"/>
      <c r="AF385" s="488"/>
      <c r="AG385" s="488"/>
      <c r="AH385" s="488"/>
      <c r="AI385" s="488"/>
      <c r="AJ385" s="488"/>
    </row>
    <row r="386" spans="1:36" s="496" customFormat="1">
      <c r="A386" s="488"/>
      <c r="C386" s="488"/>
      <c r="D386" s="488"/>
      <c r="E386" s="488"/>
      <c r="F386" s="488"/>
      <c r="G386" s="488"/>
      <c r="H386" s="488"/>
      <c r="I386" s="488"/>
      <c r="J386" s="488"/>
      <c r="K386" s="488"/>
      <c r="L386" s="488"/>
      <c r="M386" s="488"/>
      <c r="N386" s="488"/>
      <c r="O386" s="488"/>
      <c r="P386" s="488"/>
      <c r="Q386" s="488"/>
      <c r="R386" s="488"/>
      <c r="S386" s="488"/>
      <c r="T386" s="488"/>
      <c r="U386" s="488"/>
      <c r="V386" s="488"/>
      <c r="W386" s="488"/>
      <c r="X386" s="488"/>
      <c r="Y386" s="488"/>
      <c r="Z386" s="488"/>
      <c r="AA386" s="488"/>
      <c r="AB386" s="488"/>
      <c r="AC386" s="488"/>
      <c r="AD386" s="488"/>
      <c r="AE386" s="488"/>
      <c r="AF386" s="488"/>
      <c r="AG386" s="488"/>
      <c r="AH386" s="488"/>
      <c r="AI386" s="488"/>
      <c r="AJ386" s="488"/>
    </row>
    <row r="387" spans="1:36" s="496" customFormat="1">
      <c r="A387" s="488"/>
      <c r="C387" s="488"/>
      <c r="D387" s="488"/>
      <c r="E387" s="488"/>
      <c r="F387" s="488"/>
      <c r="G387" s="488"/>
      <c r="H387" s="488"/>
      <c r="I387" s="488"/>
      <c r="J387" s="488"/>
      <c r="K387" s="488"/>
      <c r="L387" s="488"/>
      <c r="M387" s="488"/>
      <c r="N387" s="488"/>
      <c r="O387" s="488"/>
      <c r="P387" s="488"/>
      <c r="Q387" s="488"/>
      <c r="R387" s="488"/>
      <c r="S387" s="488"/>
      <c r="T387" s="488"/>
      <c r="U387" s="488"/>
      <c r="V387" s="488"/>
      <c r="W387" s="488"/>
      <c r="X387" s="488"/>
      <c r="Y387" s="488"/>
      <c r="Z387" s="488"/>
      <c r="AA387" s="488"/>
      <c r="AB387" s="488"/>
      <c r="AC387" s="488"/>
      <c r="AD387" s="488"/>
      <c r="AE387" s="488"/>
      <c r="AF387" s="488"/>
      <c r="AG387" s="488"/>
      <c r="AH387" s="488"/>
      <c r="AI387" s="488"/>
      <c r="AJ387" s="488"/>
    </row>
    <row r="388" spans="1:36" s="496" customFormat="1">
      <c r="A388" s="488"/>
      <c r="C388" s="488"/>
      <c r="D388" s="488"/>
      <c r="E388" s="488"/>
      <c r="F388" s="488"/>
      <c r="G388" s="488"/>
      <c r="H388" s="488"/>
      <c r="I388" s="488"/>
      <c r="J388" s="488"/>
      <c r="K388" s="488"/>
      <c r="L388" s="488"/>
      <c r="M388" s="488"/>
      <c r="N388" s="488"/>
      <c r="O388" s="488"/>
      <c r="P388" s="488"/>
      <c r="Q388" s="488"/>
      <c r="R388" s="488"/>
      <c r="S388" s="488"/>
      <c r="T388" s="488"/>
      <c r="U388" s="488"/>
      <c r="V388" s="488"/>
      <c r="W388" s="488"/>
      <c r="X388" s="488"/>
      <c r="Y388" s="488"/>
      <c r="Z388" s="488"/>
      <c r="AA388" s="488"/>
      <c r="AB388" s="488"/>
      <c r="AC388" s="488"/>
      <c r="AD388" s="488"/>
      <c r="AE388" s="488"/>
      <c r="AF388" s="488"/>
      <c r="AG388" s="488"/>
      <c r="AH388" s="488"/>
      <c r="AI388" s="488"/>
      <c r="AJ388" s="488"/>
    </row>
    <row r="389" spans="1:36" s="496" customFormat="1">
      <c r="A389" s="488"/>
      <c r="C389" s="488"/>
      <c r="D389" s="488"/>
      <c r="E389" s="488"/>
      <c r="F389" s="488"/>
      <c r="G389" s="488"/>
      <c r="H389" s="488"/>
      <c r="I389" s="488"/>
      <c r="J389" s="488"/>
      <c r="K389" s="488"/>
      <c r="L389" s="488"/>
      <c r="M389" s="488"/>
      <c r="N389" s="488"/>
      <c r="O389" s="488"/>
      <c r="P389" s="488"/>
      <c r="Q389" s="488"/>
      <c r="R389" s="488"/>
      <c r="S389" s="488"/>
      <c r="T389" s="488"/>
      <c r="U389" s="488"/>
      <c r="V389" s="488"/>
      <c r="W389" s="488"/>
      <c r="X389" s="488"/>
      <c r="Y389" s="488"/>
      <c r="Z389" s="488"/>
      <c r="AA389" s="488"/>
      <c r="AB389" s="488"/>
      <c r="AC389" s="488"/>
      <c r="AD389" s="488"/>
      <c r="AE389" s="488"/>
      <c r="AF389" s="488"/>
      <c r="AG389" s="488"/>
      <c r="AH389" s="488"/>
      <c r="AI389" s="488"/>
      <c r="AJ389" s="488"/>
    </row>
    <row r="390" spans="1:36" s="496" customFormat="1">
      <c r="A390" s="488"/>
      <c r="C390" s="488"/>
      <c r="D390" s="488"/>
      <c r="E390" s="488"/>
      <c r="F390" s="488"/>
      <c r="G390" s="488"/>
      <c r="H390" s="488"/>
      <c r="I390" s="488"/>
      <c r="J390" s="488"/>
      <c r="K390" s="488"/>
      <c r="L390" s="488"/>
      <c r="M390" s="488"/>
      <c r="N390" s="488"/>
      <c r="O390" s="488"/>
      <c r="P390" s="488"/>
      <c r="Q390" s="488"/>
      <c r="R390" s="488"/>
      <c r="S390" s="488"/>
      <c r="T390" s="488"/>
      <c r="U390" s="488"/>
      <c r="V390" s="488"/>
      <c r="W390" s="488"/>
      <c r="X390" s="488"/>
      <c r="Y390" s="488"/>
      <c r="Z390" s="488"/>
      <c r="AA390" s="488"/>
      <c r="AB390" s="488"/>
      <c r="AC390" s="488"/>
      <c r="AD390" s="488"/>
      <c r="AE390" s="488"/>
      <c r="AF390" s="488"/>
      <c r="AG390" s="488"/>
      <c r="AH390" s="488"/>
      <c r="AI390" s="488"/>
      <c r="AJ390" s="488"/>
    </row>
    <row r="391" spans="1:36" s="496" customFormat="1">
      <c r="A391" s="488"/>
      <c r="C391" s="488"/>
      <c r="D391" s="488"/>
      <c r="E391" s="488"/>
      <c r="F391" s="488"/>
      <c r="G391" s="488"/>
      <c r="H391" s="488"/>
      <c r="I391" s="488"/>
      <c r="J391" s="488"/>
      <c r="K391" s="488"/>
      <c r="L391" s="488"/>
      <c r="M391" s="488"/>
      <c r="N391" s="488"/>
      <c r="O391" s="488"/>
      <c r="P391" s="488"/>
      <c r="Q391" s="488"/>
      <c r="R391" s="488"/>
      <c r="S391" s="488"/>
      <c r="T391" s="488"/>
      <c r="U391" s="488"/>
      <c r="V391" s="488"/>
      <c r="W391" s="488"/>
      <c r="X391" s="488"/>
      <c r="Y391" s="488"/>
      <c r="Z391" s="488"/>
      <c r="AA391" s="488"/>
      <c r="AB391" s="488"/>
      <c r="AC391" s="488"/>
      <c r="AD391" s="488"/>
      <c r="AE391" s="488"/>
      <c r="AF391" s="488"/>
      <c r="AG391" s="488"/>
      <c r="AH391" s="488"/>
      <c r="AI391" s="488"/>
      <c r="AJ391" s="488"/>
    </row>
    <row r="392" spans="1:36" s="496" customFormat="1">
      <c r="A392" s="488"/>
      <c r="C392" s="488"/>
      <c r="D392" s="488"/>
      <c r="E392" s="488"/>
      <c r="F392" s="488"/>
      <c r="G392" s="488"/>
      <c r="H392" s="488"/>
      <c r="I392" s="488"/>
      <c r="J392" s="488"/>
      <c r="K392" s="488"/>
      <c r="L392" s="488"/>
      <c r="M392" s="488"/>
      <c r="N392" s="488"/>
      <c r="O392" s="488"/>
      <c r="P392" s="488"/>
      <c r="Q392" s="488"/>
      <c r="R392" s="488"/>
      <c r="S392" s="488"/>
      <c r="T392" s="488"/>
      <c r="U392" s="488"/>
      <c r="V392" s="488"/>
      <c r="W392" s="488"/>
      <c r="X392" s="488"/>
      <c r="Y392" s="488"/>
      <c r="Z392" s="488"/>
      <c r="AA392" s="488"/>
      <c r="AB392" s="488"/>
      <c r="AC392" s="488"/>
      <c r="AD392" s="488"/>
      <c r="AE392" s="488"/>
      <c r="AF392" s="488"/>
      <c r="AG392" s="488"/>
      <c r="AH392" s="488"/>
      <c r="AI392" s="488"/>
      <c r="AJ392" s="488"/>
    </row>
    <row r="393" spans="1:36" s="496" customFormat="1">
      <c r="A393" s="488"/>
      <c r="C393" s="488"/>
      <c r="D393" s="488"/>
      <c r="E393" s="488"/>
      <c r="F393" s="488"/>
      <c r="G393" s="488"/>
      <c r="H393" s="488"/>
      <c r="I393" s="488"/>
      <c r="J393" s="488"/>
      <c r="K393" s="488"/>
      <c r="L393" s="488"/>
      <c r="M393" s="488"/>
      <c r="N393" s="488"/>
      <c r="O393" s="488"/>
      <c r="P393" s="488"/>
      <c r="Q393" s="488"/>
      <c r="R393" s="488"/>
      <c r="S393" s="488"/>
      <c r="T393" s="488"/>
      <c r="U393" s="488"/>
      <c r="V393" s="488"/>
      <c r="W393" s="488"/>
      <c r="X393" s="488"/>
      <c r="Y393" s="488"/>
      <c r="Z393" s="488"/>
      <c r="AA393" s="488"/>
      <c r="AB393" s="488"/>
      <c r="AC393" s="488"/>
      <c r="AD393" s="488"/>
      <c r="AE393" s="488"/>
      <c r="AF393" s="488"/>
      <c r="AG393" s="488"/>
      <c r="AH393" s="488"/>
      <c r="AI393" s="488"/>
      <c r="AJ393" s="488"/>
    </row>
    <row r="394" spans="1:36" s="496" customFormat="1">
      <c r="A394" s="488"/>
      <c r="C394" s="488"/>
      <c r="D394" s="488"/>
      <c r="E394" s="488"/>
      <c r="F394" s="488"/>
      <c r="G394" s="488"/>
      <c r="H394" s="488"/>
      <c r="I394" s="488"/>
      <c r="J394" s="488"/>
      <c r="K394" s="488"/>
      <c r="L394" s="488"/>
      <c r="M394" s="488"/>
      <c r="N394" s="488"/>
      <c r="O394" s="488"/>
      <c r="P394" s="488"/>
      <c r="Q394" s="488"/>
      <c r="R394" s="488"/>
      <c r="S394" s="488"/>
      <c r="T394" s="488"/>
      <c r="U394" s="488"/>
      <c r="V394" s="488"/>
      <c r="W394" s="488"/>
      <c r="X394" s="488"/>
      <c r="Y394" s="488"/>
      <c r="Z394" s="488"/>
      <c r="AA394" s="488"/>
      <c r="AB394" s="488"/>
      <c r="AC394" s="488"/>
      <c r="AD394" s="488"/>
      <c r="AE394" s="488"/>
      <c r="AF394" s="488"/>
      <c r="AG394" s="488"/>
      <c r="AH394" s="488"/>
      <c r="AI394" s="488"/>
      <c r="AJ394" s="488"/>
    </row>
    <row r="395" spans="1:36" s="496" customFormat="1">
      <c r="A395" s="488"/>
      <c r="C395" s="488"/>
      <c r="D395" s="488"/>
      <c r="E395" s="488"/>
      <c r="F395" s="488"/>
      <c r="G395" s="488"/>
      <c r="H395" s="488"/>
      <c r="I395" s="488"/>
      <c r="J395" s="488"/>
      <c r="K395" s="488"/>
      <c r="L395" s="488"/>
      <c r="M395" s="488"/>
      <c r="N395" s="488"/>
      <c r="O395" s="488"/>
      <c r="P395" s="488"/>
      <c r="Q395" s="488"/>
      <c r="R395" s="488"/>
      <c r="S395" s="488"/>
      <c r="T395" s="488"/>
      <c r="U395" s="488"/>
      <c r="V395" s="488"/>
      <c r="W395" s="488"/>
      <c r="X395" s="488"/>
      <c r="Y395" s="488"/>
      <c r="Z395" s="488"/>
      <c r="AA395" s="488"/>
      <c r="AB395" s="488"/>
      <c r="AC395" s="488"/>
      <c r="AD395" s="488"/>
      <c r="AE395" s="488"/>
      <c r="AF395" s="488"/>
      <c r="AG395" s="488"/>
      <c r="AH395" s="488"/>
      <c r="AI395" s="488"/>
      <c r="AJ395" s="488"/>
    </row>
    <row r="396" spans="1:36" s="496" customFormat="1">
      <c r="A396" s="488"/>
      <c r="C396" s="488"/>
      <c r="D396" s="488"/>
      <c r="E396" s="488"/>
      <c r="F396" s="488"/>
      <c r="G396" s="488"/>
      <c r="H396" s="488"/>
      <c r="I396" s="488"/>
      <c r="J396" s="488"/>
      <c r="K396" s="488"/>
      <c r="L396" s="488"/>
      <c r="M396" s="488"/>
      <c r="N396" s="488"/>
      <c r="O396" s="488"/>
      <c r="P396" s="488"/>
      <c r="Q396" s="488"/>
      <c r="R396" s="488"/>
      <c r="S396" s="488"/>
      <c r="T396" s="488"/>
      <c r="U396" s="488"/>
      <c r="V396" s="488"/>
      <c r="W396" s="488"/>
      <c r="X396" s="488"/>
      <c r="Y396" s="488"/>
      <c r="Z396" s="488"/>
      <c r="AA396" s="488"/>
      <c r="AB396" s="488"/>
      <c r="AC396" s="488"/>
      <c r="AD396" s="488"/>
      <c r="AE396" s="488"/>
      <c r="AF396" s="488"/>
      <c r="AG396" s="488"/>
      <c r="AH396" s="488"/>
      <c r="AI396" s="488"/>
      <c r="AJ396" s="488"/>
    </row>
    <row r="397" spans="1:36" s="496" customFormat="1">
      <c r="A397" s="488"/>
      <c r="C397" s="488"/>
      <c r="D397" s="488"/>
      <c r="E397" s="488"/>
      <c r="F397" s="488"/>
      <c r="G397" s="488"/>
      <c r="H397" s="488"/>
      <c r="I397" s="488"/>
      <c r="J397" s="488"/>
      <c r="K397" s="488"/>
      <c r="L397" s="488"/>
      <c r="M397" s="488"/>
      <c r="N397" s="488"/>
      <c r="O397" s="488"/>
      <c r="P397" s="488"/>
      <c r="Q397" s="488"/>
      <c r="R397" s="488"/>
      <c r="S397" s="488"/>
      <c r="T397" s="488"/>
      <c r="U397" s="488"/>
      <c r="V397" s="488"/>
      <c r="W397" s="488"/>
      <c r="X397" s="488"/>
      <c r="Y397" s="488"/>
      <c r="Z397" s="488"/>
      <c r="AA397" s="488"/>
      <c r="AB397" s="488"/>
      <c r="AC397" s="488"/>
      <c r="AD397" s="488"/>
      <c r="AE397" s="488"/>
      <c r="AF397" s="488"/>
      <c r="AG397" s="488"/>
      <c r="AH397" s="488"/>
      <c r="AI397" s="488"/>
      <c r="AJ397" s="488"/>
    </row>
    <row r="398" spans="1:36" s="496" customFormat="1">
      <c r="A398" s="488"/>
      <c r="C398" s="488"/>
      <c r="D398" s="488"/>
      <c r="E398" s="488"/>
      <c r="F398" s="488"/>
      <c r="G398" s="488"/>
      <c r="H398" s="488"/>
      <c r="I398" s="488"/>
      <c r="J398" s="488"/>
      <c r="K398" s="488"/>
      <c r="L398" s="488"/>
      <c r="M398" s="488"/>
      <c r="N398" s="488"/>
      <c r="O398" s="488"/>
      <c r="P398" s="488"/>
      <c r="Q398" s="488"/>
      <c r="R398" s="488"/>
      <c r="S398" s="488"/>
      <c r="T398" s="488"/>
      <c r="U398" s="488"/>
      <c r="V398" s="488"/>
      <c r="W398" s="488"/>
      <c r="X398" s="488"/>
      <c r="Y398" s="488"/>
      <c r="Z398" s="488"/>
      <c r="AA398" s="488"/>
      <c r="AB398" s="488"/>
      <c r="AC398" s="488"/>
      <c r="AD398" s="488"/>
      <c r="AE398" s="488"/>
      <c r="AF398" s="488"/>
      <c r="AG398" s="488"/>
      <c r="AH398" s="488"/>
      <c r="AI398" s="488"/>
      <c r="AJ398" s="488"/>
    </row>
    <row r="399" spans="1:36" s="496" customFormat="1">
      <c r="A399" s="488"/>
      <c r="C399" s="488"/>
      <c r="D399" s="488"/>
      <c r="E399" s="488"/>
      <c r="F399" s="488"/>
      <c r="G399" s="488"/>
      <c r="H399" s="488"/>
      <c r="I399" s="488"/>
      <c r="J399" s="488"/>
      <c r="K399" s="488"/>
      <c r="L399" s="488"/>
      <c r="M399" s="488"/>
      <c r="N399" s="488"/>
      <c r="O399" s="488"/>
      <c r="P399" s="488"/>
      <c r="Q399" s="488"/>
      <c r="R399" s="488"/>
      <c r="S399" s="488"/>
      <c r="T399" s="488"/>
      <c r="U399" s="488"/>
      <c r="V399" s="488"/>
      <c r="W399" s="488"/>
      <c r="X399" s="488"/>
      <c r="Y399" s="488"/>
      <c r="Z399" s="488"/>
      <c r="AA399" s="488"/>
      <c r="AB399" s="488"/>
      <c r="AC399" s="488"/>
      <c r="AD399" s="488"/>
      <c r="AE399" s="488"/>
      <c r="AF399" s="488"/>
      <c r="AG399" s="488"/>
      <c r="AH399" s="488"/>
      <c r="AI399" s="488"/>
      <c r="AJ399" s="488"/>
    </row>
    <row r="400" spans="1:36" s="496" customFormat="1">
      <c r="A400" s="488"/>
      <c r="C400" s="488"/>
      <c r="D400" s="488"/>
      <c r="E400" s="488"/>
      <c r="F400" s="488"/>
      <c r="G400" s="488"/>
      <c r="H400" s="488"/>
      <c r="I400" s="488"/>
      <c r="J400" s="488"/>
      <c r="K400" s="488"/>
      <c r="L400" s="488"/>
      <c r="M400" s="488"/>
      <c r="N400" s="488"/>
      <c r="O400" s="488"/>
      <c r="P400" s="488"/>
      <c r="Q400" s="488"/>
      <c r="R400" s="488"/>
      <c r="S400" s="488"/>
      <c r="T400" s="488"/>
      <c r="U400" s="488"/>
      <c r="V400" s="488"/>
      <c r="W400" s="488"/>
      <c r="X400" s="488"/>
      <c r="Y400" s="488"/>
      <c r="Z400" s="488"/>
      <c r="AA400" s="488"/>
      <c r="AB400" s="488"/>
      <c r="AC400" s="488"/>
      <c r="AD400" s="488"/>
      <c r="AE400" s="488"/>
      <c r="AF400" s="488"/>
      <c r="AG400" s="488"/>
      <c r="AH400" s="488"/>
      <c r="AI400" s="488"/>
      <c r="AJ400" s="488"/>
    </row>
    <row r="401" spans="1:36" s="496" customFormat="1">
      <c r="A401" s="488"/>
      <c r="C401" s="488"/>
      <c r="D401" s="488"/>
      <c r="E401" s="488"/>
      <c r="F401" s="488"/>
      <c r="G401" s="488"/>
      <c r="H401" s="488"/>
      <c r="I401" s="488"/>
      <c r="J401" s="488"/>
      <c r="K401" s="488"/>
      <c r="L401" s="488"/>
      <c r="M401" s="488"/>
      <c r="N401" s="488"/>
      <c r="O401" s="488"/>
      <c r="P401" s="488"/>
      <c r="Q401" s="488"/>
      <c r="R401" s="488"/>
      <c r="S401" s="488"/>
      <c r="T401" s="488"/>
      <c r="U401" s="488"/>
      <c r="V401" s="488"/>
      <c r="W401" s="488"/>
      <c r="X401" s="488"/>
      <c r="Y401" s="488"/>
      <c r="Z401" s="488"/>
      <c r="AA401" s="488"/>
      <c r="AB401" s="488"/>
      <c r="AC401" s="488"/>
      <c r="AD401" s="488"/>
      <c r="AE401" s="488"/>
      <c r="AF401" s="488"/>
      <c r="AG401" s="488"/>
      <c r="AH401" s="488"/>
      <c r="AI401" s="488"/>
      <c r="AJ401" s="488"/>
    </row>
    <row r="402" spans="1:36" s="496" customFormat="1">
      <c r="A402" s="488"/>
      <c r="C402" s="488"/>
      <c r="D402" s="488"/>
      <c r="E402" s="488"/>
      <c r="F402" s="488"/>
      <c r="G402" s="488"/>
      <c r="H402" s="488"/>
      <c r="I402" s="488"/>
      <c r="J402" s="488"/>
      <c r="K402" s="488"/>
      <c r="L402" s="488"/>
      <c r="M402" s="488"/>
      <c r="N402" s="488"/>
      <c r="O402" s="488"/>
      <c r="P402" s="488"/>
      <c r="Q402" s="488"/>
      <c r="R402" s="488"/>
      <c r="S402" s="488"/>
      <c r="T402" s="488"/>
      <c r="U402" s="488"/>
      <c r="V402" s="488"/>
      <c r="W402" s="488"/>
      <c r="X402" s="488"/>
      <c r="Y402" s="488"/>
      <c r="Z402" s="488"/>
      <c r="AA402" s="488"/>
      <c r="AB402" s="488"/>
      <c r="AC402" s="488"/>
      <c r="AD402" s="488"/>
      <c r="AE402" s="488"/>
      <c r="AF402" s="488"/>
      <c r="AG402" s="488"/>
      <c r="AH402" s="488"/>
      <c r="AI402" s="488"/>
      <c r="AJ402" s="488"/>
    </row>
    <row r="403" spans="1:36" s="496" customFormat="1">
      <c r="A403" s="488"/>
      <c r="C403" s="488"/>
      <c r="D403" s="488"/>
      <c r="E403" s="488"/>
      <c r="F403" s="488"/>
      <c r="G403" s="488"/>
      <c r="H403" s="488"/>
      <c r="I403" s="488"/>
      <c r="J403" s="488"/>
      <c r="K403" s="488"/>
      <c r="L403" s="488"/>
      <c r="M403" s="488"/>
      <c r="N403" s="488"/>
      <c r="O403" s="488"/>
      <c r="P403" s="488"/>
      <c r="Q403" s="488"/>
      <c r="R403" s="488"/>
      <c r="S403" s="488"/>
      <c r="T403" s="488"/>
      <c r="U403" s="488"/>
      <c r="V403" s="488"/>
      <c r="W403" s="488"/>
      <c r="X403" s="488"/>
      <c r="Y403" s="488"/>
      <c r="Z403" s="488"/>
      <c r="AA403" s="488"/>
      <c r="AB403" s="488"/>
      <c r="AC403" s="488"/>
      <c r="AD403" s="488"/>
      <c r="AE403" s="488"/>
      <c r="AF403" s="488"/>
      <c r="AG403" s="488"/>
      <c r="AH403" s="488"/>
      <c r="AI403" s="488"/>
      <c r="AJ403" s="488"/>
    </row>
    <row r="404" spans="1:36" s="496" customFormat="1">
      <c r="A404" s="488"/>
      <c r="C404" s="488"/>
      <c r="D404" s="488"/>
      <c r="E404" s="488"/>
      <c r="F404" s="488"/>
      <c r="G404" s="488"/>
      <c r="H404" s="488"/>
      <c r="I404" s="488"/>
      <c r="J404" s="488"/>
      <c r="K404" s="488"/>
      <c r="L404" s="488"/>
      <c r="M404" s="488"/>
      <c r="N404" s="488"/>
      <c r="O404" s="488"/>
      <c r="P404" s="488"/>
      <c r="Q404" s="488"/>
      <c r="R404" s="488"/>
      <c r="S404" s="488"/>
      <c r="T404" s="488"/>
      <c r="U404" s="488"/>
      <c r="V404" s="488"/>
      <c r="W404" s="488"/>
      <c r="X404" s="488"/>
      <c r="Y404" s="488"/>
      <c r="Z404" s="488"/>
      <c r="AA404" s="488"/>
      <c r="AB404" s="488"/>
      <c r="AC404" s="488"/>
      <c r="AD404" s="488"/>
      <c r="AE404" s="488"/>
      <c r="AF404" s="488"/>
      <c r="AG404" s="488"/>
      <c r="AH404" s="488"/>
      <c r="AI404" s="488"/>
      <c r="AJ404" s="488"/>
    </row>
    <row r="405" spans="1:36" s="496" customFormat="1">
      <c r="A405" s="488"/>
      <c r="C405" s="488"/>
      <c r="D405" s="488"/>
      <c r="E405" s="488"/>
      <c r="F405" s="488"/>
      <c r="G405" s="488"/>
      <c r="H405" s="488"/>
      <c r="I405" s="488"/>
      <c r="J405" s="488"/>
      <c r="K405" s="488"/>
      <c r="L405" s="488"/>
      <c r="M405" s="488"/>
      <c r="N405" s="488"/>
      <c r="O405" s="488"/>
      <c r="P405" s="488"/>
      <c r="Q405" s="488"/>
      <c r="R405" s="488"/>
      <c r="S405" s="488"/>
      <c r="T405" s="488"/>
      <c r="U405" s="488"/>
      <c r="V405" s="488"/>
      <c r="W405" s="488"/>
      <c r="X405" s="488"/>
      <c r="Y405" s="488"/>
      <c r="Z405" s="488"/>
      <c r="AA405" s="488"/>
      <c r="AB405" s="488"/>
      <c r="AC405" s="488"/>
      <c r="AD405" s="488"/>
      <c r="AE405" s="488"/>
      <c r="AF405" s="488"/>
      <c r="AG405" s="488"/>
      <c r="AH405" s="488"/>
      <c r="AI405" s="488"/>
      <c r="AJ405" s="488"/>
    </row>
    <row r="406" spans="1:36" s="496" customFormat="1">
      <c r="A406" s="488"/>
      <c r="C406" s="488"/>
      <c r="D406" s="488"/>
      <c r="E406" s="488"/>
      <c r="F406" s="488"/>
      <c r="G406" s="488"/>
      <c r="H406" s="488"/>
      <c r="I406" s="488"/>
      <c r="J406" s="488"/>
      <c r="K406" s="488"/>
      <c r="L406" s="488"/>
      <c r="M406" s="488"/>
      <c r="N406" s="488"/>
      <c r="O406" s="488"/>
      <c r="P406" s="488"/>
      <c r="Q406" s="488"/>
      <c r="R406" s="488"/>
      <c r="S406" s="488"/>
      <c r="T406" s="488"/>
      <c r="U406" s="488"/>
      <c r="V406" s="488"/>
      <c r="W406" s="488"/>
      <c r="X406" s="488"/>
      <c r="Y406" s="488"/>
      <c r="Z406" s="488"/>
      <c r="AA406" s="488"/>
      <c r="AB406" s="488"/>
      <c r="AC406" s="488"/>
      <c r="AD406" s="488"/>
      <c r="AE406" s="488"/>
      <c r="AF406" s="488"/>
      <c r="AG406" s="488"/>
      <c r="AH406" s="488"/>
      <c r="AI406" s="488"/>
      <c r="AJ406" s="488"/>
    </row>
    <row r="407" spans="1:36" s="496" customFormat="1">
      <c r="A407" s="488"/>
      <c r="C407" s="488"/>
      <c r="D407" s="488"/>
      <c r="E407" s="488"/>
      <c r="F407" s="488"/>
      <c r="G407" s="488"/>
      <c r="H407" s="488"/>
      <c r="I407" s="488"/>
      <c r="J407" s="488"/>
      <c r="K407" s="488"/>
      <c r="L407" s="488"/>
      <c r="M407" s="488"/>
      <c r="N407" s="488"/>
      <c r="O407" s="488"/>
      <c r="P407" s="488"/>
      <c r="Q407" s="488"/>
      <c r="R407" s="488"/>
      <c r="S407" s="488"/>
      <c r="T407" s="488"/>
      <c r="U407" s="488"/>
      <c r="V407" s="488"/>
      <c r="W407" s="488"/>
      <c r="X407" s="488"/>
      <c r="Y407" s="488"/>
      <c r="Z407" s="488"/>
      <c r="AA407" s="488"/>
      <c r="AB407" s="488"/>
      <c r="AC407" s="488"/>
      <c r="AD407" s="488"/>
      <c r="AE407" s="488"/>
      <c r="AF407" s="488"/>
      <c r="AG407" s="488"/>
      <c r="AH407" s="488"/>
      <c r="AI407" s="488"/>
      <c r="AJ407" s="488"/>
    </row>
    <row r="408" spans="1:36" s="496" customFormat="1">
      <c r="A408" s="488"/>
      <c r="C408" s="488"/>
      <c r="D408" s="488"/>
      <c r="E408" s="488"/>
      <c r="F408" s="488"/>
      <c r="G408" s="488"/>
      <c r="H408" s="488"/>
      <c r="I408" s="488"/>
      <c r="J408" s="488"/>
      <c r="K408" s="488"/>
      <c r="L408" s="488"/>
      <c r="M408" s="488"/>
      <c r="N408" s="488"/>
      <c r="O408" s="488"/>
      <c r="P408" s="488"/>
      <c r="Q408" s="488"/>
      <c r="R408" s="488"/>
      <c r="S408" s="488"/>
      <c r="T408" s="488"/>
      <c r="U408" s="488"/>
      <c r="V408" s="488"/>
      <c r="W408" s="488"/>
      <c r="X408" s="488"/>
      <c r="Y408" s="488"/>
      <c r="Z408" s="488"/>
      <c r="AA408" s="488"/>
      <c r="AB408" s="488"/>
      <c r="AC408" s="488"/>
      <c r="AD408" s="488"/>
      <c r="AE408" s="488"/>
      <c r="AF408" s="488"/>
      <c r="AG408" s="488"/>
      <c r="AH408" s="488"/>
      <c r="AI408" s="488"/>
      <c r="AJ408" s="488"/>
    </row>
    <row r="409" spans="1:36" s="496" customFormat="1">
      <c r="A409" s="488"/>
      <c r="C409" s="488"/>
      <c r="D409" s="488"/>
      <c r="E409" s="488"/>
      <c r="F409" s="488"/>
      <c r="G409" s="488"/>
      <c r="H409" s="488"/>
      <c r="I409" s="488"/>
      <c r="J409" s="488"/>
      <c r="K409" s="488"/>
      <c r="L409" s="488"/>
      <c r="M409" s="488"/>
      <c r="N409" s="488"/>
      <c r="O409" s="488"/>
      <c r="P409" s="488"/>
      <c r="Q409" s="488"/>
      <c r="R409" s="488"/>
      <c r="S409" s="488"/>
      <c r="T409" s="488"/>
      <c r="U409" s="488"/>
      <c r="V409" s="488"/>
      <c r="W409" s="488"/>
      <c r="X409" s="488"/>
      <c r="Y409" s="488"/>
      <c r="Z409" s="488"/>
      <c r="AA409" s="488"/>
      <c r="AB409" s="488"/>
      <c r="AC409" s="488"/>
      <c r="AD409" s="488"/>
      <c r="AE409" s="488"/>
      <c r="AF409" s="488"/>
      <c r="AG409" s="488"/>
      <c r="AH409" s="488"/>
      <c r="AI409" s="488"/>
      <c r="AJ409" s="488"/>
    </row>
    <row r="410" spans="1:36" s="496" customFormat="1">
      <c r="A410" s="488"/>
      <c r="C410" s="488"/>
      <c r="D410" s="488"/>
      <c r="E410" s="488"/>
      <c r="F410" s="488"/>
      <c r="G410" s="488"/>
      <c r="H410" s="488"/>
      <c r="I410" s="488"/>
      <c r="J410" s="488"/>
      <c r="K410" s="488"/>
      <c r="L410" s="488"/>
      <c r="M410" s="488"/>
      <c r="N410" s="488"/>
      <c r="O410" s="488"/>
      <c r="P410" s="488"/>
      <c r="Q410" s="488"/>
      <c r="R410" s="488"/>
      <c r="S410" s="488"/>
      <c r="T410" s="488"/>
      <c r="U410" s="488"/>
      <c r="V410" s="488"/>
      <c r="W410" s="488"/>
      <c r="X410" s="488"/>
      <c r="Y410" s="488"/>
      <c r="Z410" s="488"/>
      <c r="AA410" s="488"/>
      <c r="AB410" s="488"/>
      <c r="AC410" s="488"/>
      <c r="AD410" s="488"/>
      <c r="AE410" s="488"/>
      <c r="AF410" s="488"/>
      <c r="AG410" s="488"/>
      <c r="AH410" s="488"/>
      <c r="AI410" s="488"/>
      <c r="AJ410" s="488"/>
    </row>
    <row r="411" spans="1:36" s="496" customFormat="1">
      <c r="A411" s="488"/>
      <c r="C411" s="488"/>
      <c r="D411" s="488"/>
      <c r="E411" s="488"/>
      <c r="F411" s="488"/>
      <c r="G411" s="488"/>
      <c r="H411" s="488"/>
      <c r="I411" s="488"/>
      <c r="J411" s="488"/>
      <c r="K411" s="488"/>
      <c r="L411" s="488"/>
      <c r="M411" s="488"/>
      <c r="N411" s="488"/>
      <c r="O411" s="488"/>
      <c r="P411" s="488"/>
      <c r="Q411" s="488"/>
      <c r="R411" s="488"/>
      <c r="S411" s="488"/>
      <c r="T411" s="488"/>
      <c r="U411" s="488"/>
      <c r="V411" s="488"/>
      <c r="W411" s="488"/>
      <c r="X411" s="488"/>
      <c r="Y411" s="488"/>
      <c r="Z411" s="488"/>
      <c r="AA411" s="488"/>
      <c r="AB411" s="488"/>
      <c r="AC411" s="488"/>
      <c r="AD411" s="488"/>
      <c r="AE411" s="488"/>
      <c r="AF411" s="488"/>
      <c r="AG411" s="488"/>
      <c r="AH411" s="488"/>
      <c r="AI411" s="488"/>
      <c r="AJ411" s="488"/>
    </row>
    <row r="412" spans="1:36" s="496" customFormat="1">
      <c r="A412" s="488"/>
      <c r="C412" s="488"/>
      <c r="D412" s="488"/>
      <c r="E412" s="488"/>
      <c r="F412" s="488"/>
      <c r="G412" s="488"/>
      <c r="H412" s="488"/>
      <c r="I412" s="488"/>
      <c r="J412" s="488"/>
      <c r="K412" s="488"/>
      <c r="L412" s="488"/>
      <c r="M412" s="488"/>
      <c r="N412" s="488"/>
      <c r="O412" s="488"/>
      <c r="P412" s="488"/>
      <c r="Q412" s="488"/>
      <c r="R412" s="488"/>
      <c r="S412" s="488"/>
      <c r="T412" s="488"/>
      <c r="U412" s="488"/>
      <c r="V412" s="488"/>
      <c r="W412" s="488"/>
      <c r="X412" s="488"/>
      <c r="Y412" s="488"/>
      <c r="Z412" s="488"/>
      <c r="AA412" s="488"/>
      <c r="AB412" s="488"/>
      <c r="AC412" s="488"/>
      <c r="AD412" s="488"/>
      <c r="AE412" s="488"/>
      <c r="AF412" s="488"/>
      <c r="AG412" s="488"/>
      <c r="AH412" s="488"/>
      <c r="AI412" s="488"/>
      <c r="AJ412" s="488"/>
    </row>
    <row r="413" spans="1:36" s="496" customFormat="1">
      <c r="A413" s="488"/>
      <c r="C413" s="488"/>
      <c r="D413" s="488"/>
      <c r="E413" s="488"/>
      <c r="F413" s="488"/>
      <c r="G413" s="488"/>
      <c r="H413" s="488"/>
      <c r="I413" s="488"/>
      <c r="J413" s="488"/>
      <c r="K413" s="488"/>
      <c r="L413" s="488"/>
      <c r="M413" s="488"/>
      <c r="N413" s="488"/>
      <c r="O413" s="488"/>
      <c r="P413" s="488"/>
      <c r="Q413" s="488"/>
      <c r="R413" s="488"/>
      <c r="S413" s="488"/>
      <c r="T413" s="488"/>
      <c r="U413" s="488"/>
      <c r="V413" s="488"/>
      <c r="W413" s="488"/>
      <c r="X413" s="488"/>
      <c r="Y413" s="488"/>
      <c r="Z413" s="488"/>
      <c r="AA413" s="488"/>
      <c r="AB413" s="488"/>
      <c r="AC413" s="488"/>
      <c r="AD413" s="488"/>
      <c r="AE413" s="488"/>
      <c r="AF413" s="488"/>
      <c r="AG413" s="488"/>
      <c r="AH413" s="488"/>
      <c r="AI413" s="488"/>
      <c r="AJ413" s="488"/>
    </row>
    <row r="414" spans="1:36" s="496" customFormat="1">
      <c r="A414" s="488"/>
      <c r="C414" s="488"/>
      <c r="D414" s="488"/>
      <c r="E414" s="488"/>
      <c r="F414" s="488"/>
      <c r="G414" s="488"/>
      <c r="H414" s="488"/>
      <c r="I414" s="488"/>
      <c r="J414" s="488"/>
      <c r="K414" s="488"/>
      <c r="L414" s="488"/>
      <c r="M414" s="488"/>
      <c r="N414" s="488"/>
      <c r="O414" s="488"/>
      <c r="P414" s="488"/>
      <c r="Q414" s="488"/>
      <c r="R414" s="488"/>
      <c r="S414" s="488"/>
      <c r="T414" s="488"/>
      <c r="U414" s="488"/>
      <c r="V414" s="488"/>
      <c r="W414" s="488"/>
      <c r="X414" s="488"/>
      <c r="Y414" s="488"/>
      <c r="Z414" s="488"/>
      <c r="AA414" s="488"/>
      <c r="AB414" s="488"/>
      <c r="AC414" s="488"/>
      <c r="AD414" s="488"/>
      <c r="AE414" s="488"/>
      <c r="AF414" s="488"/>
      <c r="AG414" s="488"/>
      <c r="AH414" s="488"/>
      <c r="AI414" s="488"/>
      <c r="AJ414" s="488"/>
    </row>
    <row r="415" spans="1:36" s="496" customFormat="1">
      <c r="A415" s="488"/>
      <c r="C415" s="488"/>
      <c r="D415" s="488"/>
      <c r="E415" s="488"/>
      <c r="F415" s="488"/>
      <c r="G415" s="488"/>
      <c r="H415" s="488"/>
      <c r="I415" s="488"/>
      <c r="J415" s="488"/>
      <c r="K415" s="488"/>
      <c r="L415" s="488"/>
      <c r="M415" s="488"/>
      <c r="N415" s="488"/>
      <c r="O415" s="488"/>
      <c r="P415" s="488"/>
      <c r="Q415" s="488"/>
      <c r="R415" s="488"/>
      <c r="S415" s="488"/>
      <c r="T415" s="488"/>
      <c r="U415" s="488"/>
      <c r="V415" s="488"/>
      <c r="W415" s="488"/>
      <c r="X415" s="488"/>
      <c r="Y415" s="488"/>
      <c r="Z415" s="488"/>
      <c r="AA415" s="488"/>
      <c r="AB415" s="488"/>
      <c r="AC415" s="488"/>
      <c r="AD415" s="488"/>
      <c r="AE415" s="488"/>
      <c r="AF415" s="488"/>
      <c r="AG415" s="488"/>
      <c r="AH415" s="488"/>
      <c r="AI415" s="488"/>
      <c r="AJ415" s="488"/>
    </row>
    <row r="416" spans="1:36" s="496" customFormat="1">
      <c r="A416" s="488"/>
      <c r="C416" s="488"/>
      <c r="D416" s="488"/>
      <c r="E416" s="488"/>
      <c r="F416" s="488"/>
      <c r="G416" s="488"/>
      <c r="H416" s="488"/>
      <c r="I416" s="488"/>
      <c r="J416" s="488"/>
      <c r="K416" s="488"/>
      <c r="L416" s="488"/>
      <c r="M416" s="488"/>
      <c r="N416" s="488"/>
      <c r="O416" s="488"/>
      <c r="P416" s="488"/>
      <c r="Q416" s="488"/>
      <c r="R416" s="488"/>
      <c r="S416" s="488"/>
      <c r="T416" s="488"/>
      <c r="U416" s="488"/>
      <c r="V416" s="488"/>
      <c r="W416" s="488"/>
      <c r="X416" s="488"/>
      <c r="Y416" s="488"/>
      <c r="Z416" s="488"/>
      <c r="AA416" s="488"/>
      <c r="AB416" s="488"/>
      <c r="AC416" s="488"/>
      <c r="AD416" s="488"/>
      <c r="AE416" s="488"/>
      <c r="AF416" s="488"/>
      <c r="AG416" s="488"/>
      <c r="AH416" s="488"/>
      <c r="AI416" s="488"/>
      <c r="AJ416" s="488"/>
    </row>
    <row r="417" spans="1:36" s="496" customFormat="1">
      <c r="A417" s="488"/>
      <c r="C417" s="488"/>
      <c r="D417" s="488"/>
      <c r="E417" s="488"/>
      <c r="F417" s="488"/>
      <c r="G417" s="488"/>
      <c r="H417" s="488"/>
      <c r="I417" s="488"/>
      <c r="J417" s="488"/>
      <c r="K417" s="488"/>
      <c r="L417" s="488"/>
      <c r="M417" s="488"/>
      <c r="N417" s="488"/>
      <c r="O417" s="488"/>
      <c r="P417" s="488"/>
      <c r="Q417" s="488"/>
      <c r="R417" s="488"/>
      <c r="S417" s="488"/>
      <c r="T417" s="488"/>
      <c r="U417" s="488"/>
      <c r="V417" s="488"/>
      <c r="W417" s="488"/>
      <c r="X417" s="488"/>
      <c r="Y417" s="488"/>
      <c r="Z417" s="488"/>
      <c r="AA417" s="488"/>
      <c r="AB417" s="488"/>
      <c r="AC417" s="488"/>
      <c r="AD417" s="488"/>
      <c r="AE417" s="488"/>
      <c r="AF417" s="488"/>
      <c r="AG417" s="488"/>
      <c r="AH417" s="488"/>
      <c r="AI417" s="488"/>
      <c r="AJ417" s="488"/>
    </row>
    <row r="418" spans="1:36" s="496" customFormat="1">
      <c r="A418" s="488"/>
      <c r="C418" s="488"/>
      <c r="D418" s="488"/>
      <c r="E418" s="488"/>
      <c r="F418" s="488"/>
      <c r="G418" s="488"/>
      <c r="H418" s="488"/>
      <c r="I418" s="488"/>
      <c r="J418" s="488"/>
      <c r="K418" s="488"/>
      <c r="L418" s="488"/>
      <c r="M418" s="488"/>
      <c r="N418" s="488"/>
      <c r="O418" s="488"/>
      <c r="P418" s="488"/>
      <c r="Q418" s="488"/>
      <c r="R418" s="488"/>
      <c r="S418" s="488"/>
      <c r="T418" s="488"/>
      <c r="U418" s="488"/>
      <c r="V418" s="488"/>
      <c r="W418" s="488"/>
      <c r="X418" s="488"/>
      <c r="Y418" s="488"/>
      <c r="Z418" s="488"/>
      <c r="AA418" s="488"/>
      <c r="AB418" s="488"/>
      <c r="AC418" s="488"/>
      <c r="AD418" s="488"/>
      <c r="AE418" s="488"/>
      <c r="AF418" s="488"/>
      <c r="AG418" s="488"/>
      <c r="AH418" s="488"/>
      <c r="AI418" s="488"/>
      <c r="AJ418" s="488"/>
    </row>
    <row r="419" spans="1:36" s="496" customFormat="1">
      <c r="A419" s="488"/>
      <c r="C419" s="488"/>
      <c r="D419" s="488"/>
      <c r="E419" s="488"/>
      <c r="F419" s="488"/>
      <c r="G419" s="488"/>
      <c r="H419" s="488"/>
      <c r="I419" s="488"/>
      <c r="J419" s="488"/>
      <c r="K419" s="488"/>
      <c r="L419" s="488"/>
      <c r="M419" s="488"/>
      <c r="N419" s="488"/>
      <c r="O419" s="488"/>
      <c r="P419" s="488"/>
      <c r="Q419" s="488"/>
      <c r="R419" s="488"/>
      <c r="S419" s="488"/>
      <c r="T419" s="488"/>
      <c r="U419" s="488"/>
      <c r="V419" s="488"/>
      <c r="W419" s="488"/>
      <c r="X419" s="488"/>
      <c r="Y419" s="488"/>
      <c r="Z419" s="488"/>
      <c r="AA419" s="488"/>
      <c r="AB419" s="488"/>
      <c r="AC419" s="488"/>
      <c r="AD419" s="488"/>
      <c r="AE419" s="488"/>
      <c r="AF419" s="488"/>
      <c r="AG419" s="488"/>
      <c r="AH419" s="488"/>
      <c r="AI419" s="488"/>
      <c r="AJ419" s="488"/>
    </row>
    <row r="420" spans="1:36" s="496" customFormat="1">
      <c r="A420" s="488"/>
      <c r="C420" s="488"/>
      <c r="D420" s="488"/>
      <c r="E420" s="488"/>
      <c r="F420" s="488"/>
      <c r="G420" s="488"/>
      <c r="H420" s="488"/>
      <c r="I420" s="488"/>
      <c r="J420" s="488"/>
      <c r="K420" s="488"/>
      <c r="L420" s="488"/>
      <c r="M420" s="488"/>
      <c r="N420" s="488"/>
      <c r="O420" s="488"/>
      <c r="P420" s="488"/>
      <c r="Q420" s="488"/>
      <c r="R420" s="488"/>
      <c r="S420" s="488"/>
      <c r="T420" s="488"/>
      <c r="U420" s="488"/>
      <c r="V420" s="488"/>
      <c r="W420" s="488"/>
      <c r="X420" s="488"/>
      <c r="Y420" s="488"/>
      <c r="Z420" s="488"/>
      <c r="AA420" s="488"/>
      <c r="AB420" s="488"/>
      <c r="AC420" s="488"/>
      <c r="AD420" s="488"/>
      <c r="AE420" s="488"/>
      <c r="AF420" s="488"/>
      <c r="AG420" s="488"/>
      <c r="AH420" s="488"/>
      <c r="AI420" s="488"/>
      <c r="AJ420" s="488"/>
    </row>
    <row r="421" spans="1:36" s="496" customFormat="1">
      <c r="A421" s="488"/>
      <c r="C421" s="488"/>
      <c r="D421" s="488"/>
      <c r="E421" s="488"/>
      <c r="F421" s="488"/>
      <c r="G421" s="488"/>
      <c r="H421" s="488"/>
      <c r="I421" s="488"/>
      <c r="J421" s="488"/>
      <c r="K421" s="488"/>
      <c r="L421" s="488"/>
      <c r="M421" s="488"/>
      <c r="N421" s="488"/>
      <c r="O421" s="488"/>
      <c r="P421" s="488"/>
      <c r="Q421" s="488"/>
      <c r="R421" s="488"/>
      <c r="S421" s="488"/>
      <c r="T421" s="488"/>
      <c r="U421" s="488"/>
      <c r="V421" s="488"/>
      <c r="W421" s="488"/>
      <c r="X421" s="488"/>
      <c r="Y421" s="488"/>
      <c r="Z421" s="488"/>
      <c r="AA421" s="488"/>
      <c r="AB421" s="488"/>
      <c r="AC421" s="488"/>
      <c r="AD421" s="488"/>
      <c r="AE421" s="488"/>
      <c r="AF421" s="488"/>
      <c r="AG421" s="488"/>
      <c r="AH421" s="488"/>
      <c r="AI421" s="488"/>
      <c r="AJ421" s="488"/>
    </row>
    <row r="422" spans="1:36" s="496" customFormat="1">
      <c r="A422" s="488"/>
      <c r="C422" s="488"/>
      <c r="D422" s="488"/>
      <c r="E422" s="488"/>
      <c r="F422" s="488"/>
      <c r="G422" s="488"/>
      <c r="H422" s="488"/>
      <c r="I422" s="488"/>
      <c r="J422" s="488"/>
      <c r="K422" s="488"/>
      <c r="L422" s="488"/>
      <c r="M422" s="488"/>
      <c r="N422" s="488"/>
      <c r="O422" s="488"/>
      <c r="P422" s="488"/>
      <c r="Q422" s="488"/>
      <c r="R422" s="488"/>
      <c r="S422" s="488"/>
      <c r="T422" s="488"/>
      <c r="U422" s="488"/>
      <c r="V422" s="488"/>
      <c r="W422" s="488"/>
      <c r="X422" s="488"/>
      <c r="Y422" s="488"/>
      <c r="Z422" s="488"/>
      <c r="AA422" s="488"/>
      <c r="AB422" s="488"/>
      <c r="AC422" s="488"/>
      <c r="AD422" s="488"/>
      <c r="AE422" s="488"/>
      <c r="AF422" s="488"/>
      <c r="AG422" s="488"/>
      <c r="AH422" s="488"/>
      <c r="AI422" s="488"/>
      <c r="AJ422" s="488"/>
    </row>
    <row r="423" spans="1:36" s="496" customFormat="1">
      <c r="A423" s="488"/>
      <c r="C423" s="488"/>
      <c r="D423" s="488"/>
      <c r="E423" s="488"/>
      <c r="F423" s="488"/>
      <c r="G423" s="488"/>
      <c r="H423" s="488"/>
      <c r="I423" s="488"/>
      <c r="J423" s="488"/>
      <c r="K423" s="488"/>
      <c r="L423" s="488"/>
      <c r="M423" s="488"/>
      <c r="N423" s="488"/>
      <c r="O423" s="488"/>
      <c r="P423" s="488"/>
      <c r="Q423" s="488"/>
      <c r="R423" s="488"/>
      <c r="S423" s="488"/>
      <c r="T423" s="488"/>
      <c r="U423" s="488"/>
      <c r="V423" s="488"/>
      <c r="W423" s="488"/>
      <c r="X423" s="488"/>
      <c r="Y423" s="488"/>
      <c r="Z423" s="488"/>
      <c r="AA423" s="488"/>
      <c r="AB423" s="488"/>
      <c r="AC423" s="488"/>
      <c r="AD423" s="488"/>
      <c r="AE423" s="488"/>
      <c r="AF423" s="488"/>
      <c r="AG423" s="488"/>
      <c r="AH423" s="488"/>
      <c r="AI423" s="488"/>
      <c r="AJ423" s="488"/>
    </row>
    <row r="424" spans="1:36" s="496" customFormat="1">
      <c r="A424" s="488"/>
      <c r="C424" s="488"/>
      <c r="D424" s="488"/>
      <c r="E424" s="488"/>
      <c r="F424" s="488"/>
      <c r="G424" s="488"/>
      <c r="H424" s="488"/>
      <c r="I424" s="488"/>
      <c r="J424" s="488"/>
      <c r="K424" s="488"/>
      <c r="L424" s="488"/>
      <c r="M424" s="488"/>
      <c r="N424" s="488"/>
      <c r="O424" s="488"/>
      <c r="P424" s="488"/>
      <c r="Q424" s="488"/>
      <c r="R424" s="488"/>
      <c r="S424" s="488"/>
      <c r="T424" s="488"/>
      <c r="U424" s="488"/>
      <c r="V424" s="488"/>
      <c r="W424" s="488"/>
      <c r="X424" s="488"/>
      <c r="Y424" s="488"/>
      <c r="Z424" s="488"/>
      <c r="AA424" s="488"/>
      <c r="AB424" s="488"/>
      <c r="AC424" s="488"/>
      <c r="AD424" s="488"/>
      <c r="AE424" s="488"/>
      <c r="AF424" s="488"/>
      <c r="AG424" s="488"/>
      <c r="AH424" s="488"/>
      <c r="AI424" s="488"/>
      <c r="AJ424" s="488"/>
    </row>
    <row r="425" spans="1:36" s="496" customFormat="1">
      <c r="A425" s="488"/>
      <c r="C425" s="488"/>
      <c r="D425" s="488"/>
      <c r="E425" s="488"/>
      <c r="F425" s="488"/>
      <c r="G425" s="488"/>
      <c r="H425" s="488"/>
      <c r="I425" s="488"/>
      <c r="J425" s="488"/>
      <c r="K425" s="488"/>
      <c r="L425" s="488"/>
      <c r="M425" s="488"/>
      <c r="N425" s="488"/>
      <c r="O425" s="488"/>
      <c r="P425" s="488"/>
      <c r="Q425" s="488"/>
      <c r="R425" s="488"/>
      <c r="S425" s="488"/>
      <c r="T425" s="488"/>
      <c r="U425" s="488"/>
      <c r="V425" s="488"/>
      <c r="W425" s="488"/>
      <c r="X425" s="488"/>
      <c r="Y425" s="488"/>
      <c r="Z425" s="488"/>
      <c r="AA425" s="488"/>
      <c r="AB425" s="488"/>
      <c r="AC425" s="488"/>
      <c r="AD425" s="488"/>
      <c r="AE425" s="488"/>
      <c r="AF425" s="488"/>
      <c r="AG425" s="488"/>
      <c r="AH425" s="488"/>
      <c r="AI425" s="488"/>
      <c r="AJ425" s="488"/>
    </row>
    <row r="426" spans="1:36" s="496" customFormat="1">
      <c r="A426" s="488"/>
      <c r="C426" s="488"/>
      <c r="D426" s="488"/>
      <c r="E426" s="488"/>
      <c r="F426" s="488"/>
      <c r="G426" s="488"/>
      <c r="H426" s="488"/>
      <c r="I426" s="488"/>
      <c r="J426" s="488"/>
      <c r="K426" s="488"/>
      <c r="L426" s="488"/>
      <c r="M426" s="488"/>
      <c r="N426" s="488"/>
      <c r="O426" s="488"/>
      <c r="P426" s="488"/>
      <c r="Q426" s="488"/>
      <c r="R426" s="488"/>
      <c r="S426" s="488"/>
      <c r="T426" s="488"/>
      <c r="U426" s="488"/>
      <c r="V426" s="488"/>
      <c r="W426" s="488"/>
      <c r="X426" s="488"/>
      <c r="Y426" s="488"/>
      <c r="Z426" s="488"/>
      <c r="AA426" s="488"/>
      <c r="AB426" s="488"/>
      <c r="AC426" s="488"/>
      <c r="AD426" s="488"/>
      <c r="AE426" s="488"/>
      <c r="AF426" s="488"/>
      <c r="AG426" s="488"/>
      <c r="AH426" s="488"/>
      <c r="AI426" s="488"/>
      <c r="AJ426" s="488"/>
    </row>
    <row r="427" spans="1:36" s="496" customFormat="1">
      <c r="A427" s="488"/>
      <c r="C427" s="488"/>
      <c r="D427" s="488"/>
      <c r="E427" s="488"/>
      <c r="F427" s="488"/>
      <c r="G427" s="488"/>
      <c r="H427" s="488"/>
      <c r="I427" s="488"/>
      <c r="J427" s="488"/>
      <c r="K427" s="488"/>
      <c r="L427" s="488"/>
      <c r="M427" s="488"/>
      <c r="N427" s="488"/>
      <c r="O427" s="488"/>
      <c r="P427" s="488"/>
      <c r="Q427" s="488"/>
      <c r="R427" s="488"/>
      <c r="S427" s="488"/>
      <c r="T427" s="488"/>
      <c r="U427" s="488"/>
      <c r="V427" s="488"/>
      <c r="W427" s="488"/>
      <c r="X427" s="488"/>
      <c r="Y427" s="488"/>
      <c r="Z427" s="488"/>
      <c r="AA427" s="488"/>
      <c r="AB427" s="488"/>
      <c r="AC427" s="488"/>
      <c r="AD427" s="488"/>
      <c r="AE427" s="488"/>
      <c r="AF427" s="488"/>
      <c r="AG427" s="488"/>
      <c r="AH427" s="488"/>
      <c r="AI427" s="488"/>
      <c r="AJ427" s="488"/>
    </row>
    <row r="428" spans="1:36" s="496" customFormat="1">
      <c r="A428" s="488"/>
      <c r="C428" s="488"/>
      <c r="D428" s="488"/>
      <c r="E428" s="488"/>
      <c r="F428" s="488"/>
      <c r="G428" s="488"/>
      <c r="H428" s="488"/>
      <c r="I428" s="488"/>
      <c r="J428" s="488"/>
      <c r="K428" s="488"/>
      <c r="L428" s="488"/>
      <c r="M428" s="488"/>
      <c r="N428" s="488"/>
      <c r="O428" s="488"/>
      <c r="P428" s="488"/>
      <c r="Q428" s="488"/>
      <c r="R428" s="488"/>
      <c r="S428" s="488"/>
      <c r="T428" s="488"/>
      <c r="U428" s="488"/>
      <c r="V428" s="488"/>
      <c r="W428" s="488"/>
      <c r="X428" s="488"/>
      <c r="Y428" s="488"/>
      <c r="Z428" s="488"/>
      <c r="AA428" s="488"/>
      <c r="AB428" s="488"/>
      <c r="AC428" s="488"/>
      <c r="AD428" s="488"/>
      <c r="AE428" s="488"/>
      <c r="AF428" s="488"/>
      <c r="AG428" s="488"/>
      <c r="AH428" s="488"/>
      <c r="AI428" s="488"/>
      <c r="AJ428" s="488"/>
    </row>
    <row r="429" spans="1:36" s="496" customFormat="1">
      <c r="A429" s="488"/>
      <c r="C429" s="488"/>
      <c r="D429" s="488"/>
      <c r="E429" s="488"/>
      <c r="F429" s="488"/>
      <c r="G429" s="488"/>
      <c r="H429" s="488"/>
      <c r="I429" s="488"/>
      <c r="J429" s="488"/>
      <c r="K429" s="488"/>
      <c r="L429" s="488"/>
      <c r="M429" s="488"/>
      <c r="N429" s="488"/>
      <c r="O429" s="488"/>
      <c r="P429" s="488"/>
      <c r="Q429" s="488"/>
      <c r="R429" s="488"/>
      <c r="S429" s="488"/>
      <c r="T429" s="488"/>
      <c r="U429" s="488"/>
      <c r="V429" s="488"/>
      <c r="W429" s="488"/>
      <c r="X429" s="488"/>
      <c r="Y429" s="488"/>
      <c r="Z429" s="488"/>
      <c r="AA429" s="488"/>
      <c r="AB429" s="488"/>
      <c r="AC429" s="488"/>
      <c r="AD429" s="488"/>
      <c r="AE429" s="488"/>
      <c r="AF429" s="488"/>
      <c r="AG429" s="488"/>
      <c r="AH429" s="488"/>
      <c r="AI429" s="488"/>
      <c r="AJ429" s="488"/>
    </row>
    <row r="430" spans="1:36" s="496" customFormat="1">
      <c r="A430" s="488"/>
      <c r="C430" s="488"/>
      <c r="D430" s="488"/>
      <c r="E430" s="488"/>
      <c r="F430" s="488"/>
      <c r="G430" s="488"/>
      <c r="H430" s="488"/>
      <c r="I430" s="488"/>
      <c r="J430" s="488"/>
      <c r="K430" s="488"/>
      <c r="L430" s="488"/>
      <c r="M430" s="488"/>
      <c r="N430" s="488"/>
      <c r="O430" s="488"/>
      <c r="P430" s="488"/>
      <c r="Q430" s="488"/>
      <c r="R430" s="488"/>
      <c r="S430" s="488"/>
      <c r="T430" s="488"/>
      <c r="U430" s="488"/>
      <c r="V430" s="488"/>
      <c r="W430" s="488"/>
      <c r="X430" s="488"/>
      <c r="Y430" s="488"/>
      <c r="Z430" s="488"/>
      <c r="AA430" s="488"/>
      <c r="AB430" s="488"/>
      <c r="AC430" s="488"/>
      <c r="AD430" s="488"/>
      <c r="AE430" s="488"/>
      <c r="AF430" s="488"/>
      <c r="AG430" s="488"/>
      <c r="AH430" s="488"/>
      <c r="AI430" s="488"/>
      <c r="AJ430" s="488"/>
    </row>
    <row r="431" spans="1:36" s="496" customFormat="1">
      <c r="A431" s="488"/>
      <c r="C431" s="488"/>
      <c r="D431" s="488"/>
      <c r="E431" s="488"/>
      <c r="F431" s="488"/>
      <c r="G431" s="488"/>
      <c r="H431" s="488"/>
      <c r="I431" s="488"/>
      <c r="J431" s="488"/>
      <c r="K431" s="488"/>
      <c r="L431" s="488"/>
      <c r="M431" s="488"/>
      <c r="N431" s="488"/>
      <c r="O431" s="488"/>
      <c r="P431" s="488"/>
      <c r="Q431" s="488"/>
      <c r="R431" s="488"/>
      <c r="S431" s="488"/>
      <c r="T431" s="488"/>
      <c r="U431" s="488"/>
      <c r="V431" s="488"/>
      <c r="W431" s="488"/>
      <c r="X431" s="488"/>
      <c r="Y431" s="488"/>
      <c r="Z431" s="488"/>
      <c r="AA431" s="488"/>
      <c r="AB431" s="488"/>
      <c r="AC431" s="488"/>
      <c r="AD431" s="488"/>
      <c r="AE431" s="488"/>
      <c r="AF431" s="488"/>
      <c r="AG431" s="488"/>
      <c r="AH431" s="488"/>
      <c r="AI431" s="488"/>
      <c r="AJ431" s="488"/>
    </row>
    <row r="432" spans="1:36" s="496" customFormat="1">
      <c r="A432" s="488"/>
      <c r="C432" s="488"/>
      <c r="D432" s="488"/>
      <c r="E432" s="488"/>
      <c r="F432" s="488"/>
      <c r="G432" s="488"/>
      <c r="H432" s="488"/>
      <c r="I432" s="488"/>
      <c r="J432" s="488"/>
      <c r="K432" s="488"/>
      <c r="L432" s="488"/>
      <c r="M432" s="488"/>
      <c r="N432" s="488"/>
      <c r="O432" s="488"/>
      <c r="P432" s="488"/>
      <c r="Q432" s="488"/>
      <c r="R432" s="488"/>
      <c r="S432" s="488"/>
      <c r="T432" s="488"/>
      <c r="U432" s="488"/>
      <c r="V432" s="488"/>
      <c r="W432" s="488"/>
      <c r="X432" s="488"/>
      <c r="Y432" s="488"/>
      <c r="Z432" s="488"/>
      <c r="AA432" s="488"/>
      <c r="AB432" s="488"/>
      <c r="AC432" s="488"/>
      <c r="AD432" s="488"/>
      <c r="AE432" s="488"/>
      <c r="AF432" s="488"/>
      <c r="AG432" s="488"/>
      <c r="AH432" s="488"/>
      <c r="AI432" s="488"/>
      <c r="AJ432" s="488"/>
    </row>
    <row r="433" spans="1:36" s="496" customFormat="1">
      <c r="A433" s="488"/>
      <c r="C433" s="488"/>
      <c r="D433" s="488"/>
      <c r="E433" s="488"/>
      <c r="F433" s="488"/>
      <c r="G433" s="488"/>
      <c r="H433" s="488"/>
      <c r="I433" s="488"/>
      <c r="J433" s="488"/>
      <c r="K433" s="488"/>
      <c r="L433" s="488"/>
      <c r="M433" s="488"/>
      <c r="N433" s="488"/>
      <c r="O433" s="488"/>
      <c r="P433" s="488"/>
      <c r="Q433" s="488"/>
      <c r="R433" s="488"/>
      <c r="S433" s="488"/>
      <c r="T433" s="488"/>
      <c r="U433" s="488"/>
      <c r="V433" s="488"/>
      <c r="W433" s="488"/>
      <c r="X433" s="488"/>
      <c r="Y433" s="488"/>
      <c r="Z433" s="488"/>
      <c r="AA433" s="488"/>
      <c r="AB433" s="488"/>
      <c r="AC433" s="488"/>
      <c r="AD433" s="488"/>
      <c r="AE433" s="488"/>
      <c r="AF433" s="488"/>
      <c r="AG433" s="488"/>
      <c r="AH433" s="488"/>
      <c r="AI433" s="488"/>
      <c r="AJ433" s="488"/>
    </row>
    <row r="434" spans="1:36" s="496" customFormat="1">
      <c r="A434" s="488"/>
      <c r="C434" s="488"/>
      <c r="D434" s="488"/>
      <c r="E434" s="488"/>
      <c r="F434" s="488"/>
      <c r="G434" s="488"/>
      <c r="H434" s="488"/>
      <c r="I434" s="488"/>
      <c r="J434" s="488"/>
      <c r="K434" s="488"/>
      <c r="L434" s="488"/>
      <c r="M434" s="488"/>
      <c r="N434" s="488"/>
      <c r="O434" s="488"/>
      <c r="P434" s="488"/>
      <c r="Q434" s="488"/>
      <c r="R434" s="488"/>
      <c r="S434" s="488"/>
      <c r="T434" s="488"/>
      <c r="U434" s="488"/>
      <c r="V434" s="488"/>
      <c r="W434" s="488"/>
      <c r="X434" s="488"/>
      <c r="Y434" s="488"/>
      <c r="Z434" s="488"/>
      <c r="AA434" s="488"/>
      <c r="AB434" s="488"/>
      <c r="AC434" s="488"/>
      <c r="AD434" s="488"/>
      <c r="AE434" s="488"/>
      <c r="AF434" s="488"/>
      <c r="AG434" s="488"/>
      <c r="AH434" s="488"/>
      <c r="AI434" s="488"/>
      <c r="AJ434" s="488"/>
    </row>
    <row r="435" spans="1:36" s="496" customFormat="1">
      <c r="A435" s="488"/>
      <c r="C435" s="488"/>
      <c r="D435" s="488"/>
      <c r="E435" s="488"/>
      <c r="F435" s="488"/>
      <c r="G435" s="488"/>
      <c r="H435" s="488"/>
      <c r="I435" s="488"/>
      <c r="J435" s="488"/>
      <c r="K435" s="488"/>
      <c r="L435" s="488"/>
      <c r="M435" s="488"/>
      <c r="N435" s="488"/>
      <c r="O435" s="488"/>
      <c r="P435" s="488"/>
      <c r="Q435" s="488"/>
      <c r="R435" s="488"/>
      <c r="S435" s="488"/>
      <c r="T435" s="488"/>
      <c r="U435" s="488"/>
      <c r="V435" s="488"/>
      <c r="W435" s="488"/>
      <c r="X435" s="488"/>
      <c r="Y435" s="488"/>
      <c r="Z435" s="488"/>
      <c r="AA435" s="488"/>
      <c r="AB435" s="488"/>
      <c r="AC435" s="488"/>
      <c r="AD435" s="488"/>
      <c r="AE435" s="488"/>
      <c r="AF435" s="488"/>
      <c r="AG435" s="488"/>
      <c r="AH435" s="488"/>
      <c r="AI435" s="488"/>
      <c r="AJ435" s="488"/>
    </row>
    <row r="436" spans="1:36" s="496" customFormat="1">
      <c r="A436" s="488"/>
      <c r="C436" s="488"/>
      <c r="D436" s="488"/>
      <c r="E436" s="488"/>
      <c r="F436" s="488"/>
      <c r="G436" s="488"/>
      <c r="H436" s="488"/>
      <c r="I436" s="488"/>
      <c r="J436" s="488"/>
      <c r="K436" s="488"/>
      <c r="L436" s="488"/>
      <c r="M436" s="488"/>
      <c r="N436" s="488"/>
      <c r="O436" s="488"/>
      <c r="P436" s="488"/>
      <c r="Q436" s="488"/>
      <c r="R436" s="488"/>
      <c r="S436" s="488"/>
      <c r="T436" s="488"/>
      <c r="U436" s="488"/>
      <c r="V436" s="488"/>
      <c r="W436" s="488"/>
      <c r="X436" s="488"/>
      <c r="Y436" s="488"/>
      <c r="Z436" s="488"/>
      <c r="AA436" s="488"/>
      <c r="AB436" s="488"/>
      <c r="AC436" s="488"/>
      <c r="AD436" s="488"/>
      <c r="AE436" s="488"/>
      <c r="AF436" s="488"/>
      <c r="AG436" s="488"/>
      <c r="AH436" s="488"/>
      <c r="AI436" s="488"/>
      <c r="AJ436" s="488"/>
    </row>
    <row r="437" spans="1:36" s="496" customFormat="1">
      <c r="A437" s="488"/>
      <c r="C437" s="488"/>
      <c r="D437" s="488"/>
      <c r="E437" s="488"/>
      <c r="F437" s="488"/>
      <c r="G437" s="488"/>
      <c r="H437" s="488"/>
      <c r="I437" s="488"/>
      <c r="J437" s="488"/>
      <c r="K437" s="488"/>
      <c r="L437" s="488"/>
      <c r="M437" s="488"/>
      <c r="N437" s="488"/>
      <c r="O437" s="488"/>
      <c r="P437" s="488"/>
      <c r="Q437" s="488"/>
      <c r="R437" s="488"/>
      <c r="S437" s="488"/>
      <c r="T437" s="488"/>
      <c r="U437" s="488"/>
      <c r="V437" s="488"/>
      <c r="W437" s="488"/>
      <c r="X437" s="488"/>
      <c r="Y437" s="488"/>
      <c r="Z437" s="488"/>
      <c r="AA437" s="488"/>
      <c r="AB437" s="488"/>
      <c r="AC437" s="488"/>
      <c r="AD437" s="488"/>
      <c r="AE437" s="488"/>
      <c r="AF437" s="488"/>
      <c r="AG437" s="488"/>
      <c r="AH437" s="488"/>
      <c r="AI437" s="488"/>
      <c r="AJ437" s="488"/>
    </row>
    <row r="438" spans="1:36" s="496" customFormat="1">
      <c r="A438" s="488"/>
      <c r="C438" s="488"/>
      <c r="D438" s="488"/>
      <c r="E438" s="488"/>
      <c r="F438" s="488"/>
      <c r="G438" s="488"/>
      <c r="H438" s="488"/>
      <c r="I438" s="488"/>
      <c r="J438" s="488"/>
      <c r="K438" s="488"/>
      <c r="L438" s="488"/>
      <c r="M438" s="488"/>
      <c r="N438" s="488"/>
      <c r="O438" s="488"/>
      <c r="P438" s="488"/>
      <c r="Q438" s="488"/>
      <c r="R438" s="488"/>
      <c r="S438" s="488"/>
      <c r="T438" s="488"/>
      <c r="U438" s="488"/>
      <c r="V438" s="488"/>
      <c r="W438" s="488"/>
      <c r="X438" s="488"/>
      <c r="Y438" s="488"/>
      <c r="Z438" s="488"/>
      <c r="AA438" s="488"/>
      <c r="AB438" s="488"/>
      <c r="AC438" s="488"/>
      <c r="AD438" s="488"/>
      <c r="AE438" s="488"/>
      <c r="AF438" s="488"/>
      <c r="AG438" s="488"/>
      <c r="AH438" s="488"/>
      <c r="AI438" s="488"/>
      <c r="AJ438" s="488"/>
    </row>
    <row r="439" spans="1:36" s="496" customFormat="1">
      <c r="A439" s="488"/>
      <c r="C439" s="488"/>
      <c r="D439" s="488"/>
      <c r="E439" s="488"/>
      <c r="F439" s="488"/>
      <c r="G439" s="488"/>
      <c r="H439" s="488"/>
      <c r="I439" s="488"/>
      <c r="J439" s="488"/>
      <c r="K439" s="488"/>
      <c r="L439" s="488"/>
      <c r="M439" s="488"/>
      <c r="N439" s="488"/>
      <c r="O439" s="488"/>
      <c r="P439" s="488"/>
      <c r="Q439" s="488"/>
      <c r="R439" s="488"/>
      <c r="S439" s="488"/>
      <c r="T439" s="488"/>
      <c r="U439" s="488"/>
      <c r="V439" s="488"/>
      <c r="W439" s="488"/>
      <c r="X439" s="488"/>
      <c r="Y439" s="488"/>
      <c r="Z439" s="488"/>
      <c r="AA439" s="488"/>
      <c r="AB439" s="488"/>
      <c r="AC439" s="488"/>
      <c r="AD439" s="488"/>
      <c r="AE439" s="488"/>
      <c r="AF439" s="488"/>
      <c r="AG439" s="488"/>
      <c r="AH439" s="488"/>
      <c r="AI439" s="488"/>
      <c r="AJ439" s="488"/>
    </row>
    <row r="440" spans="1:36" s="496" customFormat="1">
      <c r="A440" s="488"/>
      <c r="C440" s="488"/>
      <c r="D440" s="488"/>
      <c r="E440" s="488"/>
      <c r="F440" s="488"/>
      <c r="G440" s="488"/>
      <c r="H440" s="488"/>
      <c r="I440" s="488"/>
      <c r="J440" s="488"/>
      <c r="K440" s="488"/>
      <c r="L440" s="488"/>
      <c r="M440" s="488"/>
      <c r="N440" s="488"/>
      <c r="O440" s="488"/>
      <c r="P440" s="488"/>
      <c r="Q440" s="488"/>
      <c r="R440" s="488"/>
      <c r="S440" s="488"/>
      <c r="T440" s="488"/>
      <c r="U440" s="488"/>
      <c r="V440" s="488"/>
      <c r="W440" s="488"/>
      <c r="X440" s="488"/>
      <c r="Y440" s="488"/>
      <c r="Z440" s="488"/>
      <c r="AA440" s="488"/>
      <c r="AB440" s="488"/>
      <c r="AC440" s="488"/>
      <c r="AD440" s="488"/>
      <c r="AE440" s="488"/>
      <c r="AF440" s="488"/>
      <c r="AG440" s="488"/>
      <c r="AH440" s="488"/>
      <c r="AI440" s="488"/>
      <c r="AJ440" s="488"/>
    </row>
    <row r="441" spans="1:36" s="496" customFormat="1">
      <c r="A441" s="488"/>
      <c r="C441" s="488"/>
      <c r="D441" s="488"/>
      <c r="E441" s="488"/>
      <c r="F441" s="488"/>
      <c r="G441" s="488"/>
      <c r="H441" s="488"/>
      <c r="I441" s="488"/>
      <c r="J441" s="488"/>
      <c r="K441" s="488"/>
      <c r="L441" s="488"/>
      <c r="M441" s="488"/>
      <c r="N441" s="488"/>
      <c r="O441" s="488"/>
      <c r="P441" s="488"/>
      <c r="Q441" s="488"/>
      <c r="R441" s="488"/>
      <c r="S441" s="488"/>
      <c r="T441" s="488"/>
      <c r="U441" s="488"/>
      <c r="V441" s="488"/>
      <c r="W441" s="488"/>
      <c r="X441" s="488"/>
      <c r="Y441" s="488"/>
      <c r="Z441" s="488"/>
      <c r="AA441" s="488"/>
      <c r="AB441" s="488"/>
      <c r="AC441" s="488"/>
      <c r="AD441" s="488"/>
      <c r="AE441" s="488"/>
      <c r="AF441" s="488"/>
      <c r="AG441" s="488"/>
      <c r="AH441" s="488"/>
      <c r="AI441" s="488"/>
      <c r="AJ441" s="488"/>
    </row>
    <row r="442" spans="1:36" s="496" customFormat="1">
      <c r="A442" s="488"/>
      <c r="C442" s="488"/>
      <c r="D442" s="488"/>
      <c r="E442" s="488"/>
      <c r="F442" s="488"/>
      <c r="G442" s="488"/>
      <c r="H442" s="488"/>
      <c r="I442" s="488"/>
      <c r="J442" s="488"/>
      <c r="K442" s="488"/>
      <c r="L442" s="488"/>
      <c r="M442" s="488"/>
      <c r="N442" s="488"/>
      <c r="O442" s="488"/>
      <c r="P442" s="488"/>
      <c r="Q442" s="488"/>
      <c r="R442" s="488"/>
      <c r="S442" s="488"/>
      <c r="T442" s="488"/>
      <c r="U442" s="488"/>
      <c r="V442" s="488"/>
      <c r="W442" s="488"/>
      <c r="X442" s="488"/>
      <c r="Y442" s="488"/>
      <c r="Z442" s="488"/>
      <c r="AA442" s="488"/>
      <c r="AB442" s="488"/>
      <c r="AC442" s="488"/>
      <c r="AD442" s="488"/>
      <c r="AE442" s="488"/>
      <c r="AF442" s="488"/>
      <c r="AG442" s="488"/>
      <c r="AH442" s="488"/>
      <c r="AI442" s="488"/>
      <c r="AJ442" s="488"/>
    </row>
    <row r="443" spans="1:36" s="496" customFormat="1">
      <c r="A443" s="488"/>
      <c r="C443" s="488"/>
      <c r="D443" s="488"/>
      <c r="E443" s="488"/>
      <c r="F443" s="488"/>
      <c r="G443" s="488"/>
      <c r="H443" s="488"/>
      <c r="I443" s="488"/>
      <c r="J443" s="488"/>
      <c r="K443" s="488"/>
      <c r="L443" s="488"/>
      <c r="M443" s="488"/>
      <c r="N443" s="488"/>
      <c r="O443" s="488"/>
      <c r="P443" s="488"/>
      <c r="Q443" s="488"/>
      <c r="R443" s="488"/>
      <c r="S443" s="488"/>
      <c r="T443" s="488"/>
      <c r="U443" s="488"/>
      <c r="V443" s="488"/>
      <c r="W443" s="488"/>
      <c r="X443" s="488"/>
      <c r="Y443" s="488"/>
      <c r="Z443" s="488"/>
      <c r="AA443" s="488"/>
      <c r="AB443" s="488"/>
      <c r="AC443" s="488"/>
      <c r="AD443" s="488"/>
      <c r="AE443" s="488"/>
      <c r="AF443" s="488"/>
      <c r="AG443" s="488"/>
      <c r="AH443" s="488"/>
      <c r="AI443" s="488"/>
      <c r="AJ443" s="488"/>
    </row>
    <row r="444" spans="1:36" s="496" customFormat="1">
      <c r="A444" s="488"/>
      <c r="C444" s="488"/>
      <c r="D444" s="488"/>
      <c r="E444" s="488"/>
      <c r="F444" s="488"/>
      <c r="G444" s="488"/>
      <c r="H444" s="488"/>
      <c r="I444" s="488"/>
      <c r="J444" s="488"/>
      <c r="K444" s="488"/>
      <c r="L444" s="488"/>
      <c r="M444" s="488"/>
      <c r="N444" s="488"/>
      <c r="O444" s="488"/>
      <c r="P444" s="488"/>
      <c r="Q444" s="488"/>
      <c r="R444" s="488"/>
      <c r="S444" s="488"/>
      <c r="T444" s="488"/>
      <c r="U444" s="488"/>
      <c r="V444" s="488"/>
      <c r="W444" s="488"/>
      <c r="X444" s="488"/>
      <c r="Y444" s="488"/>
      <c r="Z444" s="488"/>
      <c r="AA444" s="488"/>
      <c r="AB444" s="488"/>
      <c r="AC444" s="488"/>
      <c r="AD444" s="488"/>
      <c r="AE444" s="488"/>
      <c r="AF444" s="488"/>
      <c r="AG444" s="488"/>
      <c r="AH444" s="488"/>
      <c r="AI444" s="488"/>
      <c r="AJ444" s="488"/>
    </row>
    <row r="445" spans="1:36" s="496" customFormat="1">
      <c r="A445" s="488"/>
      <c r="C445" s="488"/>
      <c r="D445" s="488"/>
      <c r="E445" s="488"/>
      <c r="F445" s="488"/>
      <c r="G445" s="488"/>
      <c r="H445" s="488"/>
      <c r="I445" s="488"/>
      <c r="J445" s="488"/>
      <c r="K445" s="488"/>
      <c r="L445" s="488"/>
      <c r="M445" s="488"/>
      <c r="N445" s="488"/>
      <c r="O445" s="488"/>
      <c r="P445" s="488"/>
      <c r="Q445" s="488"/>
      <c r="R445" s="488"/>
      <c r="S445" s="488"/>
      <c r="T445" s="488"/>
      <c r="U445" s="488"/>
      <c r="V445" s="488"/>
      <c r="W445" s="488"/>
      <c r="X445" s="488"/>
      <c r="Y445" s="488"/>
      <c r="Z445" s="488"/>
      <c r="AA445" s="488"/>
      <c r="AB445" s="488"/>
      <c r="AC445" s="488"/>
      <c r="AD445" s="488"/>
      <c r="AE445" s="488"/>
      <c r="AF445" s="488"/>
      <c r="AG445" s="488"/>
      <c r="AH445" s="488"/>
      <c r="AI445" s="488"/>
      <c r="AJ445" s="488"/>
    </row>
    <row r="446" spans="1:36" s="496" customFormat="1">
      <c r="A446" s="488"/>
      <c r="C446" s="488"/>
      <c r="D446" s="488"/>
      <c r="E446" s="488"/>
      <c r="F446" s="488"/>
      <c r="G446" s="488"/>
      <c r="H446" s="488"/>
      <c r="I446" s="488"/>
      <c r="J446" s="488"/>
      <c r="K446" s="488"/>
      <c r="L446" s="488"/>
      <c r="M446" s="488"/>
      <c r="N446" s="488"/>
      <c r="O446" s="488"/>
      <c r="P446" s="488"/>
      <c r="Q446" s="488"/>
      <c r="R446" s="488"/>
      <c r="S446" s="488"/>
      <c r="T446" s="488"/>
      <c r="U446" s="488"/>
      <c r="V446" s="488"/>
      <c r="W446" s="488"/>
      <c r="X446" s="488"/>
      <c r="Y446" s="488"/>
      <c r="Z446" s="488"/>
      <c r="AA446" s="488"/>
      <c r="AB446" s="488"/>
      <c r="AC446" s="488"/>
      <c r="AD446" s="488"/>
      <c r="AE446" s="488"/>
      <c r="AF446" s="488"/>
      <c r="AG446" s="488"/>
      <c r="AH446" s="488"/>
      <c r="AI446" s="488"/>
      <c r="AJ446" s="488"/>
    </row>
    <row r="447" spans="1:36" s="496" customFormat="1">
      <c r="A447" s="488"/>
      <c r="C447" s="488"/>
      <c r="D447" s="488"/>
      <c r="E447" s="488"/>
      <c r="F447" s="488"/>
      <c r="G447" s="488"/>
      <c r="H447" s="488"/>
      <c r="I447" s="488"/>
      <c r="J447" s="488"/>
      <c r="K447" s="488"/>
      <c r="L447" s="488"/>
      <c r="M447" s="488"/>
      <c r="N447" s="488"/>
      <c r="O447" s="488"/>
      <c r="P447" s="488"/>
      <c r="Q447" s="488"/>
      <c r="R447" s="488"/>
      <c r="S447" s="488"/>
      <c r="T447" s="488"/>
      <c r="U447" s="488"/>
      <c r="V447" s="488"/>
      <c r="W447" s="488"/>
      <c r="X447" s="488"/>
      <c r="Y447" s="488"/>
      <c r="Z447" s="488"/>
      <c r="AA447" s="488"/>
      <c r="AB447" s="488"/>
      <c r="AC447" s="488"/>
      <c r="AD447" s="488"/>
      <c r="AE447" s="488"/>
      <c r="AF447" s="488"/>
      <c r="AG447" s="488"/>
      <c r="AH447" s="488"/>
      <c r="AI447" s="488"/>
      <c r="AJ447" s="488"/>
    </row>
    <row r="448" spans="1:36" s="496" customFormat="1">
      <c r="A448" s="488"/>
      <c r="C448" s="488"/>
      <c r="D448" s="488"/>
      <c r="E448" s="488"/>
      <c r="F448" s="488"/>
      <c r="G448" s="488"/>
      <c r="H448" s="488"/>
      <c r="I448" s="488"/>
      <c r="J448" s="488"/>
      <c r="K448" s="488"/>
      <c r="L448" s="488"/>
      <c r="M448" s="488"/>
      <c r="N448" s="488"/>
      <c r="O448" s="488"/>
      <c r="P448" s="488"/>
      <c r="Q448" s="488"/>
      <c r="R448" s="488"/>
      <c r="S448" s="488"/>
      <c r="T448" s="488"/>
      <c r="U448" s="488"/>
      <c r="V448" s="488"/>
      <c r="W448" s="488"/>
      <c r="X448" s="488"/>
      <c r="Y448" s="488"/>
      <c r="Z448" s="488"/>
      <c r="AA448" s="488"/>
      <c r="AB448" s="488"/>
      <c r="AC448" s="488"/>
      <c r="AD448" s="488"/>
      <c r="AE448" s="488"/>
      <c r="AF448" s="488"/>
      <c r="AG448" s="488"/>
      <c r="AH448" s="488"/>
      <c r="AI448" s="488"/>
      <c r="AJ448" s="488"/>
    </row>
    <row r="449" spans="1:36" s="496" customFormat="1">
      <c r="A449" s="488"/>
      <c r="C449" s="488"/>
      <c r="D449" s="488"/>
      <c r="E449" s="488"/>
      <c r="F449" s="488"/>
      <c r="G449" s="488"/>
      <c r="H449" s="488"/>
      <c r="I449" s="488"/>
      <c r="J449" s="488"/>
      <c r="K449" s="488"/>
      <c r="L449" s="488"/>
      <c r="M449" s="488"/>
      <c r="N449" s="488"/>
      <c r="O449" s="488"/>
      <c r="P449" s="488"/>
      <c r="Q449" s="488"/>
      <c r="R449" s="488"/>
      <c r="S449" s="488"/>
      <c r="T449" s="488"/>
      <c r="U449" s="488"/>
      <c r="V449" s="488"/>
      <c r="W449" s="488"/>
      <c r="X449" s="488"/>
      <c r="Y449" s="488"/>
      <c r="Z449" s="488"/>
      <c r="AA449" s="488"/>
      <c r="AB449" s="488"/>
      <c r="AC449" s="488"/>
      <c r="AD449" s="488"/>
      <c r="AE449" s="488"/>
      <c r="AF449" s="488"/>
      <c r="AG449" s="488"/>
      <c r="AH449" s="488"/>
      <c r="AI449" s="488"/>
      <c r="AJ449" s="488"/>
    </row>
    <row r="450" spans="1:36" s="496" customFormat="1">
      <c r="A450" s="488"/>
      <c r="C450" s="488"/>
      <c r="D450" s="488"/>
      <c r="E450" s="488"/>
      <c r="F450" s="488"/>
      <c r="G450" s="488"/>
      <c r="H450" s="488"/>
      <c r="I450" s="488"/>
      <c r="J450" s="488"/>
      <c r="K450" s="488"/>
      <c r="L450" s="488"/>
      <c r="M450" s="488"/>
      <c r="N450" s="488"/>
      <c r="O450" s="488"/>
      <c r="P450" s="488"/>
      <c r="Q450" s="488"/>
      <c r="R450" s="488"/>
      <c r="S450" s="488"/>
      <c r="T450" s="488"/>
      <c r="U450" s="488"/>
      <c r="V450" s="488"/>
      <c r="W450" s="488"/>
      <c r="X450" s="488"/>
      <c r="Y450" s="488"/>
      <c r="Z450" s="488"/>
      <c r="AA450" s="488"/>
      <c r="AB450" s="488"/>
      <c r="AC450" s="488"/>
      <c r="AD450" s="488"/>
      <c r="AE450" s="488"/>
      <c r="AF450" s="488"/>
      <c r="AG450" s="488"/>
      <c r="AH450" s="488"/>
      <c r="AI450" s="488"/>
      <c r="AJ450" s="488"/>
    </row>
    <row r="451" spans="1:36" s="496" customFormat="1">
      <c r="A451" s="488"/>
      <c r="C451" s="488"/>
      <c r="D451" s="488"/>
      <c r="E451" s="488"/>
      <c r="F451" s="488"/>
      <c r="G451" s="488"/>
      <c r="H451" s="488"/>
      <c r="I451" s="488"/>
      <c r="J451" s="488"/>
      <c r="K451" s="488"/>
      <c r="L451" s="488"/>
      <c r="M451" s="488"/>
      <c r="N451" s="488"/>
      <c r="O451" s="488"/>
      <c r="P451" s="488"/>
      <c r="Q451" s="488"/>
      <c r="R451" s="488"/>
      <c r="S451" s="488"/>
      <c r="T451" s="488"/>
      <c r="U451" s="488"/>
      <c r="V451" s="488"/>
      <c r="W451" s="488"/>
      <c r="X451" s="488"/>
      <c r="Y451" s="488"/>
      <c r="Z451" s="488"/>
      <c r="AA451" s="488"/>
      <c r="AB451" s="488"/>
      <c r="AC451" s="488"/>
      <c r="AD451" s="488"/>
      <c r="AE451" s="488"/>
      <c r="AF451" s="488"/>
      <c r="AG451" s="488"/>
      <c r="AH451" s="488"/>
      <c r="AI451" s="488"/>
      <c r="AJ451" s="488"/>
    </row>
    <row r="452" spans="1:36" s="496" customFormat="1">
      <c r="A452" s="488"/>
      <c r="C452" s="488"/>
      <c r="D452" s="488"/>
      <c r="E452" s="488"/>
      <c r="F452" s="488"/>
      <c r="G452" s="488"/>
      <c r="H452" s="488"/>
      <c r="I452" s="488"/>
      <c r="J452" s="488"/>
      <c r="K452" s="488"/>
      <c r="L452" s="488"/>
      <c r="M452" s="488"/>
      <c r="N452" s="488"/>
      <c r="O452" s="488"/>
      <c r="P452" s="488"/>
      <c r="Q452" s="488"/>
      <c r="R452" s="488"/>
      <c r="S452" s="488"/>
      <c r="T452" s="488"/>
      <c r="U452" s="488"/>
      <c r="V452" s="488"/>
      <c r="W452" s="488"/>
      <c r="X452" s="488"/>
      <c r="Y452" s="488"/>
      <c r="Z452" s="488"/>
      <c r="AA452" s="488"/>
      <c r="AB452" s="488"/>
      <c r="AC452" s="488"/>
      <c r="AD452" s="488"/>
      <c r="AE452" s="488"/>
      <c r="AF452" s="488"/>
      <c r="AG452" s="488"/>
      <c r="AH452" s="488"/>
      <c r="AI452" s="488"/>
      <c r="AJ452" s="488"/>
    </row>
    <row r="453" spans="1:36" s="496" customFormat="1">
      <c r="A453" s="488"/>
      <c r="C453" s="488"/>
      <c r="D453" s="488"/>
      <c r="E453" s="488"/>
      <c r="F453" s="488"/>
      <c r="G453" s="488"/>
      <c r="H453" s="488"/>
      <c r="I453" s="488"/>
      <c r="J453" s="488"/>
      <c r="K453" s="488"/>
      <c r="L453" s="488"/>
      <c r="M453" s="488"/>
      <c r="N453" s="488"/>
      <c r="O453" s="488"/>
      <c r="P453" s="488"/>
      <c r="Q453" s="488"/>
      <c r="R453" s="488"/>
      <c r="S453" s="488"/>
      <c r="T453" s="488"/>
      <c r="U453" s="488"/>
      <c r="V453" s="488"/>
      <c r="W453" s="488"/>
      <c r="X453" s="488"/>
      <c r="Y453" s="488"/>
      <c r="Z453" s="488"/>
      <c r="AA453" s="488"/>
      <c r="AB453" s="488"/>
      <c r="AC453" s="488"/>
      <c r="AD453" s="488"/>
      <c r="AE453" s="488"/>
      <c r="AF453" s="488"/>
      <c r="AG453" s="488"/>
      <c r="AH453" s="488"/>
      <c r="AI453" s="488"/>
      <c r="AJ453" s="488"/>
    </row>
    <row r="454" spans="1:36" s="496" customFormat="1">
      <c r="A454" s="488"/>
      <c r="C454" s="488"/>
      <c r="D454" s="488"/>
      <c r="E454" s="488"/>
      <c r="F454" s="488"/>
      <c r="G454" s="488"/>
      <c r="H454" s="488"/>
      <c r="I454" s="488"/>
      <c r="J454" s="488"/>
      <c r="K454" s="488"/>
      <c r="L454" s="488"/>
      <c r="M454" s="488"/>
      <c r="N454" s="488"/>
      <c r="O454" s="488"/>
      <c r="P454" s="488"/>
      <c r="Q454" s="488"/>
      <c r="R454" s="488"/>
      <c r="S454" s="488"/>
      <c r="T454" s="488"/>
      <c r="U454" s="488"/>
      <c r="V454" s="488"/>
      <c r="W454" s="488"/>
      <c r="X454" s="488"/>
      <c r="Y454" s="488"/>
      <c r="Z454" s="488"/>
      <c r="AA454" s="488"/>
      <c r="AB454" s="488"/>
      <c r="AC454" s="488"/>
      <c r="AD454" s="488"/>
      <c r="AE454" s="488"/>
      <c r="AF454" s="488"/>
      <c r="AG454" s="488"/>
      <c r="AH454" s="488"/>
      <c r="AI454" s="488"/>
      <c r="AJ454" s="488"/>
    </row>
    <row r="455" spans="1:36" s="496" customFormat="1">
      <c r="A455" s="488"/>
      <c r="C455" s="488"/>
      <c r="D455" s="488"/>
      <c r="E455" s="488"/>
      <c r="F455" s="488"/>
      <c r="G455" s="488"/>
      <c r="H455" s="488"/>
      <c r="I455" s="488"/>
      <c r="J455" s="488"/>
      <c r="K455" s="488"/>
      <c r="L455" s="488"/>
      <c r="M455" s="488"/>
      <c r="N455" s="488"/>
      <c r="O455" s="488"/>
      <c r="P455" s="488"/>
      <c r="Q455" s="488"/>
      <c r="R455" s="488"/>
      <c r="S455" s="488"/>
      <c r="T455" s="488"/>
      <c r="U455" s="488"/>
      <c r="V455" s="488"/>
      <c r="W455" s="488"/>
      <c r="X455" s="488"/>
      <c r="Y455" s="488"/>
      <c r="Z455" s="488"/>
      <c r="AA455" s="488"/>
      <c r="AB455" s="488"/>
      <c r="AC455" s="488"/>
      <c r="AD455" s="488"/>
      <c r="AE455" s="488"/>
      <c r="AF455" s="488"/>
      <c r="AG455" s="488"/>
      <c r="AH455" s="488"/>
      <c r="AI455" s="488"/>
      <c r="AJ455" s="488"/>
    </row>
    <row r="456" spans="1:36" s="496" customFormat="1">
      <c r="A456" s="488"/>
      <c r="C456" s="488"/>
      <c r="D456" s="488"/>
      <c r="E456" s="488"/>
      <c r="F456" s="488"/>
      <c r="G456" s="488"/>
      <c r="H456" s="488"/>
      <c r="I456" s="488"/>
      <c r="J456" s="488"/>
      <c r="K456" s="488"/>
      <c r="L456" s="488"/>
      <c r="M456" s="488"/>
      <c r="N456" s="488"/>
      <c r="O456" s="488"/>
      <c r="P456" s="488"/>
      <c r="Q456" s="488"/>
      <c r="R456" s="488"/>
      <c r="S456" s="488"/>
      <c r="T456" s="488"/>
      <c r="U456" s="488"/>
      <c r="V456" s="488"/>
      <c r="W456" s="488"/>
      <c r="X456" s="488"/>
      <c r="Y456" s="488"/>
      <c r="Z456" s="488"/>
      <c r="AA456" s="488"/>
      <c r="AB456" s="488"/>
      <c r="AC456" s="488"/>
      <c r="AD456" s="488"/>
      <c r="AE456" s="488"/>
      <c r="AF456" s="488"/>
      <c r="AG456" s="488"/>
      <c r="AH456" s="488"/>
      <c r="AI456" s="488"/>
      <c r="AJ456" s="488"/>
    </row>
    <row r="457" spans="1:36" s="496" customFormat="1">
      <c r="A457" s="488"/>
      <c r="C457" s="488"/>
      <c r="D457" s="488"/>
      <c r="E457" s="488"/>
      <c r="F457" s="488"/>
      <c r="G457" s="488"/>
      <c r="H457" s="488"/>
      <c r="I457" s="488"/>
      <c r="J457" s="488"/>
      <c r="K457" s="488"/>
      <c r="L457" s="488"/>
      <c r="M457" s="488"/>
      <c r="N457" s="488"/>
      <c r="O457" s="488"/>
      <c r="P457" s="488"/>
      <c r="Q457" s="488"/>
      <c r="R457" s="488"/>
      <c r="S457" s="488"/>
      <c r="T457" s="488"/>
      <c r="U457" s="488"/>
      <c r="V457" s="488"/>
      <c r="W457" s="488"/>
      <c r="X457" s="488"/>
      <c r="Y457" s="488"/>
      <c r="Z457" s="488"/>
      <c r="AA457" s="488"/>
      <c r="AB457" s="488"/>
      <c r="AC457" s="488"/>
      <c r="AD457" s="488"/>
      <c r="AE457" s="488"/>
      <c r="AF457" s="488"/>
      <c r="AG457" s="488"/>
      <c r="AH457" s="488"/>
      <c r="AI457" s="488"/>
      <c r="AJ457" s="488"/>
    </row>
    <row r="458" spans="1:36" s="496" customFormat="1">
      <c r="A458" s="488"/>
      <c r="C458" s="488"/>
      <c r="D458" s="488"/>
      <c r="E458" s="488"/>
      <c r="F458" s="488"/>
      <c r="G458" s="488"/>
      <c r="H458" s="488"/>
      <c r="I458" s="488"/>
      <c r="J458" s="488"/>
      <c r="K458" s="488"/>
      <c r="L458" s="488"/>
      <c r="M458" s="488"/>
      <c r="N458" s="488"/>
      <c r="O458" s="488"/>
      <c r="P458" s="488"/>
      <c r="Q458" s="488"/>
      <c r="R458" s="488"/>
      <c r="S458" s="488"/>
      <c r="T458" s="488"/>
      <c r="U458" s="488"/>
      <c r="V458" s="488"/>
      <c r="W458" s="488"/>
      <c r="X458" s="488"/>
      <c r="Y458" s="488"/>
      <c r="Z458" s="488"/>
      <c r="AA458" s="488"/>
      <c r="AB458" s="488"/>
      <c r="AC458" s="488"/>
      <c r="AD458" s="488"/>
      <c r="AE458" s="488"/>
      <c r="AF458" s="488"/>
      <c r="AG458" s="488"/>
      <c r="AH458" s="488"/>
      <c r="AI458" s="488"/>
      <c r="AJ458" s="488"/>
    </row>
    <row r="459" spans="1:36" s="496" customFormat="1">
      <c r="A459" s="488"/>
      <c r="C459" s="488"/>
      <c r="D459" s="488"/>
      <c r="E459" s="488"/>
      <c r="F459" s="488"/>
      <c r="G459" s="488"/>
      <c r="H459" s="488"/>
      <c r="I459" s="488"/>
      <c r="J459" s="488"/>
      <c r="K459" s="488"/>
      <c r="L459" s="488"/>
      <c r="M459" s="488"/>
      <c r="N459" s="488"/>
      <c r="O459" s="488"/>
      <c r="P459" s="488"/>
      <c r="Q459" s="488"/>
      <c r="R459" s="488"/>
      <c r="S459" s="488"/>
      <c r="T459" s="488"/>
      <c r="U459" s="488"/>
      <c r="V459" s="488"/>
      <c r="W459" s="488"/>
      <c r="X459" s="488"/>
      <c r="Y459" s="488"/>
      <c r="Z459" s="488"/>
      <c r="AA459" s="488"/>
      <c r="AB459" s="488"/>
      <c r="AC459" s="488"/>
      <c r="AD459" s="488"/>
      <c r="AE459" s="488"/>
      <c r="AF459" s="488"/>
      <c r="AG459" s="488"/>
      <c r="AH459" s="488"/>
      <c r="AI459" s="488"/>
      <c r="AJ459" s="488"/>
    </row>
    <row r="460" spans="1:36" s="496" customFormat="1">
      <c r="A460" s="488"/>
      <c r="C460" s="488"/>
      <c r="D460" s="488"/>
      <c r="E460" s="488"/>
      <c r="F460" s="488"/>
      <c r="G460" s="488"/>
      <c r="H460" s="488"/>
      <c r="I460" s="488"/>
      <c r="J460" s="488"/>
      <c r="K460" s="488"/>
      <c r="L460" s="488"/>
      <c r="M460" s="488"/>
      <c r="N460" s="488"/>
      <c r="O460" s="488"/>
      <c r="P460" s="488"/>
      <c r="Q460" s="488"/>
      <c r="R460" s="488"/>
      <c r="S460" s="488"/>
      <c r="T460" s="488"/>
      <c r="U460" s="488"/>
      <c r="V460" s="488"/>
      <c r="W460" s="488"/>
      <c r="X460" s="488"/>
      <c r="Y460" s="488"/>
      <c r="Z460" s="488"/>
      <c r="AA460" s="488"/>
      <c r="AB460" s="488"/>
      <c r="AC460" s="488"/>
      <c r="AD460" s="488"/>
      <c r="AE460" s="488"/>
      <c r="AF460" s="488"/>
      <c r="AG460" s="488"/>
      <c r="AH460" s="488"/>
      <c r="AI460" s="488"/>
      <c r="AJ460" s="488"/>
    </row>
    <row r="461" spans="1:36" s="496" customFormat="1">
      <c r="A461" s="488"/>
      <c r="C461" s="488"/>
      <c r="D461" s="488"/>
      <c r="E461" s="488"/>
      <c r="F461" s="488"/>
      <c r="G461" s="488"/>
      <c r="H461" s="488"/>
      <c r="I461" s="488"/>
      <c r="J461" s="488"/>
      <c r="K461" s="488"/>
      <c r="L461" s="488"/>
      <c r="M461" s="488"/>
      <c r="N461" s="488"/>
      <c r="O461" s="488"/>
      <c r="P461" s="488"/>
      <c r="Q461" s="488"/>
      <c r="R461" s="488"/>
      <c r="S461" s="488"/>
      <c r="T461" s="488"/>
      <c r="U461" s="488"/>
      <c r="V461" s="488"/>
      <c r="W461" s="488"/>
      <c r="X461" s="488"/>
      <c r="Y461" s="488"/>
      <c r="Z461" s="488"/>
      <c r="AA461" s="488"/>
      <c r="AB461" s="488"/>
      <c r="AC461" s="488"/>
      <c r="AD461" s="488"/>
      <c r="AE461" s="488"/>
      <c r="AF461" s="488"/>
      <c r="AG461" s="488"/>
      <c r="AH461" s="488"/>
      <c r="AI461" s="488"/>
      <c r="AJ461" s="488"/>
    </row>
    <row r="462" spans="1:36" s="496" customFormat="1">
      <c r="A462" s="488"/>
      <c r="C462" s="488"/>
      <c r="D462" s="488"/>
      <c r="E462" s="488"/>
      <c r="F462" s="488"/>
      <c r="G462" s="488"/>
      <c r="H462" s="488"/>
      <c r="I462" s="488"/>
      <c r="J462" s="488"/>
      <c r="K462" s="488"/>
      <c r="L462" s="488"/>
      <c r="M462" s="488"/>
      <c r="N462" s="488"/>
      <c r="O462" s="488"/>
      <c r="P462" s="488"/>
      <c r="Q462" s="488"/>
      <c r="R462" s="488"/>
      <c r="S462" s="488"/>
      <c r="T462" s="488"/>
      <c r="U462" s="488"/>
      <c r="V462" s="488"/>
      <c r="W462" s="488"/>
      <c r="X462" s="488"/>
      <c r="Y462" s="488"/>
      <c r="Z462" s="488"/>
      <c r="AA462" s="488"/>
      <c r="AB462" s="488"/>
      <c r="AC462" s="488"/>
      <c r="AD462" s="488"/>
      <c r="AE462" s="488"/>
      <c r="AF462" s="488"/>
      <c r="AG462" s="488"/>
      <c r="AH462" s="488"/>
      <c r="AI462" s="488"/>
      <c r="AJ462" s="488"/>
    </row>
    <row r="463" spans="1:36" s="496" customFormat="1">
      <c r="A463" s="488"/>
      <c r="C463" s="488"/>
      <c r="D463" s="488"/>
      <c r="E463" s="488"/>
      <c r="F463" s="488"/>
      <c r="G463" s="488"/>
      <c r="H463" s="488"/>
      <c r="I463" s="488"/>
      <c r="J463" s="488"/>
      <c r="K463" s="488"/>
      <c r="L463" s="488"/>
      <c r="M463" s="488"/>
      <c r="N463" s="488"/>
      <c r="O463" s="488"/>
      <c r="P463" s="488"/>
      <c r="Q463" s="488"/>
      <c r="R463" s="488"/>
      <c r="S463" s="488"/>
      <c r="T463" s="488"/>
      <c r="U463" s="488"/>
      <c r="V463" s="488"/>
      <c r="W463" s="488"/>
      <c r="X463" s="488"/>
      <c r="Y463" s="488"/>
      <c r="Z463" s="488"/>
      <c r="AA463" s="488"/>
      <c r="AB463" s="488"/>
      <c r="AC463" s="488"/>
      <c r="AD463" s="488"/>
      <c r="AE463" s="488"/>
      <c r="AF463" s="488"/>
      <c r="AG463" s="488"/>
      <c r="AH463" s="488"/>
      <c r="AI463" s="488"/>
      <c r="AJ463" s="488"/>
    </row>
    <row r="464" spans="1:36" s="496" customFormat="1">
      <c r="A464" s="488"/>
      <c r="C464" s="488"/>
      <c r="D464" s="488"/>
      <c r="E464" s="488"/>
      <c r="F464" s="488"/>
      <c r="G464" s="488"/>
      <c r="H464" s="488"/>
      <c r="I464" s="488"/>
      <c r="J464" s="488"/>
      <c r="K464" s="488"/>
      <c r="L464" s="488"/>
      <c r="M464" s="488"/>
      <c r="N464" s="488"/>
      <c r="O464" s="488"/>
      <c r="P464" s="488"/>
      <c r="Q464" s="488"/>
      <c r="R464" s="488"/>
      <c r="S464" s="488"/>
      <c r="T464" s="488"/>
      <c r="U464" s="488"/>
      <c r="V464" s="488"/>
      <c r="W464" s="488"/>
      <c r="X464" s="488"/>
      <c r="Y464" s="488"/>
      <c r="Z464" s="488"/>
      <c r="AA464" s="488"/>
      <c r="AB464" s="488"/>
      <c r="AC464" s="488"/>
      <c r="AD464" s="488"/>
      <c r="AE464" s="488"/>
      <c r="AF464" s="488"/>
      <c r="AG464" s="488"/>
      <c r="AH464" s="488"/>
      <c r="AI464" s="488"/>
      <c r="AJ464" s="488"/>
    </row>
    <row r="465" spans="1:36" s="496" customFormat="1">
      <c r="A465" s="488"/>
      <c r="C465" s="488"/>
      <c r="D465" s="488"/>
      <c r="E465" s="488"/>
      <c r="F465" s="488"/>
      <c r="G465" s="488"/>
      <c r="H465" s="488"/>
      <c r="I465" s="488"/>
      <c r="J465" s="488"/>
      <c r="K465" s="488"/>
      <c r="L465" s="488"/>
      <c r="M465" s="488"/>
      <c r="N465" s="488"/>
      <c r="O465" s="488"/>
      <c r="P465" s="488"/>
      <c r="Q465" s="488"/>
      <c r="R465" s="488"/>
      <c r="S465" s="488"/>
      <c r="T465" s="488"/>
      <c r="U465" s="488"/>
      <c r="V465" s="488"/>
      <c r="W465" s="488"/>
      <c r="X465" s="488"/>
      <c r="Y465" s="488"/>
      <c r="Z465" s="488"/>
      <c r="AA465" s="488"/>
      <c r="AB465" s="488"/>
      <c r="AC465" s="488"/>
      <c r="AD465" s="488"/>
      <c r="AE465" s="488"/>
      <c r="AF465" s="488"/>
      <c r="AG465" s="488"/>
      <c r="AH465" s="488"/>
      <c r="AI465" s="488"/>
      <c r="AJ465" s="488"/>
    </row>
    <row r="466" spans="1:36" s="496" customFormat="1">
      <c r="A466" s="488"/>
      <c r="C466" s="488"/>
      <c r="D466" s="488"/>
      <c r="E466" s="488"/>
      <c r="F466" s="488"/>
      <c r="G466" s="488"/>
      <c r="H466" s="488"/>
      <c r="I466" s="488"/>
      <c r="J466" s="488"/>
      <c r="K466" s="488"/>
      <c r="L466" s="488"/>
      <c r="M466" s="488"/>
      <c r="N466" s="488"/>
      <c r="O466" s="488"/>
      <c r="P466" s="488"/>
      <c r="Q466" s="488"/>
      <c r="R466" s="488"/>
      <c r="S466" s="488"/>
      <c r="T466" s="488"/>
      <c r="U466" s="488"/>
      <c r="V466" s="488"/>
      <c r="W466" s="488"/>
      <c r="X466" s="488"/>
      <c r="Y466" s="488"/>
      <c r="Z466" s="488"/>
      <c r="AA466" s="488"/>
      <c r="AB466" s="488"/>
      <c r="AC466" s="488"/>
      <c r="AD466" s="488"/>
      <c r="AE466" s="488"/>
      <c r="AF466" s="488"/>
      <c r="AG466" s="488"/>
      <c r="AH466" s="488"/>
      <c r="AI466" s="488"/>
      <c r="AJ466" s="488"/>
    </row>
    <row r="467" spans="1:36" s="496" customFormat="1">
      <c r="A467" s="488"/>
      <c r="C467" s="488"/>
      <c r="D467" s="488"/>
      <c r="E467" s="488"/>
      <c r="F467" s="488"/>
      <c r="G467" s="488"/>
      <c r="H467" s="488"/>
      <c r="I467" s="488"/>
      <c r="J467" s="488"/>
      <c r="K467" s="488"/>
      <c r="L467" s="488"/>
      <c r="M467" s="488"/>
      <c r="N467" s="488"/>
      <c r="O467" s="488"/>
      <c r="P467" s="488"/>
      <c r="Q467" s="488"/>
      <c r="R467" s="488"/>
      <c r="S467" s="488"/>
      <c r="T467" s="488"/>
      <c r="U467" s="488"/>
      <c r="V467" s="488"/>
      <c r="W467" s="488"/>
      <c r="X467" s="488"/>
      <c r="Y467" s="488"/>
      <c r="Z467" s="488"/>
      <c r="AA467" s="488"/>
      <c r="AB467" s="488"/>
      <c r="AC467" s="488"/>
      <c r="AD467" s="488"/>
      <c r="AE467" s="488"/>
      <c r="AF467" s="488"/>
      <c r="AG467" s="488"/>
      <c r="AH467" s="488"/>
      <c r="AI467" s="488"/>
      <c r="AJ467" s="488"/>
    </row>
    <row r="468" spans="1:36" s="496" customFormat="1">
      <c r="A468" s="488"/>
      <c r="C468" s="488"/>
      <c r="D468" s="488"/>
      <c r="E468" s="488"/>
      <c r="F468" s="488"/>
      <c r="G468" s="488"/>
      <c r="H468" s="488"/>
      <c r="I468" s="488"/>
      <c r="J468" s="488"/>
      <c r="K468" s="488"/>
      <c r="L468" s="488"/>
      <c r="M468" s="488"/>
      <c r="N468" s="488"/>
      <c r="O468" s="488"/>
      <c r="P468" s="488"/>
      <c r="Q468" s="488"/>
      <c r="R468" s="488"/>
      <c r="S468" s="488"/>
      <c r="T468" s="488"/>
      <c r="U468" s="488"/>
      <c r="V468" s="488"/>
      <c r="W468" s="488"/>
      <c r="X468" s="488"/>
      <c r="Y468" s="488"/>
      <c r="Z468" s="488"/>
      <c r="AA468" s="488"/>
      <c r="AB468" s="488"/>
      <c r="AC468" s="488"/>
      <c r="AD468" s="488"/>
      <c r="AE468" s="488"/>
      <c r="AF468" s="488"/>
      <c r="AG468" s="488"/>
      <c r="AH468" s="488"/>
      <c r="AI468" s="488"/>
      <c r="AJ468" s="488"/>
    </row>
    <row r="469" spans="1:36" s="496" customFormat="1">
      <c r="A469" s="488"/>
      <c r="C469" s="488"/>
      <c r="D469" s="488"/>
      <c r="E469" s="488"/>
      <c r="F469" s="488"/>
      <c r="G469" s="488"/>
      <c r="H469" s="488"/>
      <c r="I469" s="488"/>
      <c r="J469" s="488"/>
      <c r="K469" s="488"/>
      <c r="L469" s="488"/>
      <c r="M469" s="488"/>
      <c r="N469" s="488"/>
      <c r="O469" s="488"/>
      <c r="P469" s="488"/>
      <c r="Q469" s="488"/>
      <c r="R469" s="488"/>
      <c r="S469" s="488"/>
      <c r="T469" s="488"/>
      <c r="U469" s="488"/>
      <c r="V469" s="488"/>
      <c r="W469" s="488"/>
      <c r="X469" s="488"/>
      <c r="Y469" s="488"/>
      <c r="Z469" s="488"/>
      <c r="AA469" s="488"/>
      <c r="AB469" s="488"/>
      <c r="AC469" s="488"/>
      <c r="AD469" s="488"/>
      <c r="AE469" s="488"/>
      <c r="AF469" s="488"/>
      <c r="AG469" s="488"/>
      <c r="AH469" s="488"/>
      <c r="AI469" s="488"/>
      <c r="AJ469" s="488"/>
    </row>
    <row r="470" spans="1:36" s="496" customFormat="1">
      <c r="A470" s="488"/>
      <c r="C470" s="488"/>
      <c r="D470" s="488"/>
      <c r="E470" s="488"/>
      <c r="F470" s="488"/>
      <c r="G470" s="488"/>
      <c r="H470" s="488"/>
      <c r="I470" s="488"/>
      <c r="J470" s="488"/>
      <c r="K470" s="488"/>
      <c r="L470" s="488"/>
      <c r="M470" s="488"/>
      <c r="N470" s="488"/>
      <c r="O470" s="488"/>
      <c r="P470" s="488"/>
      <c r="Q470" s="488"/>
      <c r="R470" s="488"/>
      <c r="S470" s="488"/>
      <c r="T470" s="488"/>
      <c r="U470" s="488"/>
      <c r="V470" s="488"/>
      <c r="W470" s="488"/>
      <c r="X470" s="488"/>
      <c r="Y470" s="488"/>
      <c r="Z470" s="488"/>
      <c r="AA470" s="488"/>
      <c r="AB470" s="488"/>
      <c r="AC470" s="488"/>
      <c r="AD470" s="488"/>
      <c r="AE470" s="488"/>
      <c r="AF470" s="488"/>
      <c r="AG470" s="488"/>
      <c r="AH470" s="488"/>
      <c r="AI470" s="488"/>
      <c r="AJ470" s="488"/>
    </row>
    <row r="471" spans="1:36" s="496" customFormat="1">
      <c r="A471" s="488"/>
      <c r="C471" s="488"/>
      <c r="D471" s="488"/>
      <c r="E471" s="488"/>
      <c r="F471" s="488"/>
      <c r="G471" s="488"/>
      <c r="H471" s="488"/>
      <c r="I471" s="488"/>
      <c r="J471" s="488"/>
      <c r="K471" s="488"/>
      <c r="L471" s="488"/>
      <c r="M471" s="488"/>
      <c r="N471" s="488"/>
      <c r="O471" s="488"/>
      <c r="P471" s="488"/>
      <c r="Q471" s="488"/>
      <c r="R471" s="488"/>
      <c r="S471" s="488"/>
      <c r="T471" s="488"/>
      <c r="U471" s="488"/>
      <c r="V471" s="488"/>
      <c r="W471" s="488"/>
      <c r="X471" s="488"/>
      <c r="Y471" s="488"/>
      <c r="Z471" s="488"/>
      <c r="AA471" s="488"/>
      <c r="AB471" s="488"/>
      <c r="AC471" s="488"/>
      <c r="AD471" s="488"/>
      <c r="AE471" s="488"/>
      <c r="AF471" s="488"/>
      <c r="AG471" s="488"/>
      <c r="AH471" s="488"/>
      <c r="AI471" s="488"/>
      <c r="AJ471" s="488"/>
    </row>
    <row r="472" spans="1:36" s="496" customFormat="1">
      <c r="A472" s="488"/>
      <c r="C472" s="488"/>
      <c r="D472" s="488"/>
      <c r="E472" s="488"/>
      <c r="F472" s="488"/>
      <c r="G472" s="488"/>
      <c r="H472" s="488"/>
      <c r="I472" s="488"/>
      <c r="J472" s="488"/>
      <c r="K472" s="488"/>
      <c r="L472" s="488"/>
      <c r="M472" s="488"/>
      <c r="N472" s="488"/>
      <c r="O472" s="488"/>
      <c r="P472" s="488"/>
      <c r="Q472" s="488"/>
      <c r="R472" s="488"/>
      <c r="S472" s="488"/>
      <c r="T472" s="488"/>
      <c r="U472" s="488"/>
      <c r="V472" s="488"/>
      <c r="W472" s="488"/>
      <c r="X472" s="488"/>
      <c r="Y472" s="488"/>
      <c r="Z472" s="488"/>
      <c r="AA472" s="488"/>
      <c r="AB472" s="488"/>
      <c r="AC472" s="488"/>
      <c r="AD472" s="488"/>
      <c r="AE472" s="488"/>
      <c r="AF472" s="488"/>
      <c r="AG472" s="488"/>
      <c r="AH472" s="488"/>
      <c r="AI472" s="488"/>
      <c r="AJ472" s="488"/>
    </row>
    <row r="473" spans="1:36" s="496" customFormat="1">
      <c r="A473" s="488"/>
      <c r="C473" s="488"/>
      <c r="D473" s="488"/>
      <c r="E473" s="488"/>
      <c r="F473" s="488"/>
      <c r="G473" s="488"/>
      <c r="H473" s="488"/>
      <c r="I473" s="488"/>
      <c r="J473" s="488"/>
      <c r="K473" s="488"/>
      <c r="L473" s="488"/>
      <c r="M473" s="488"/>
      <c r="N473" s="488"/>
      <c r="O473" s="488"/>
      <c r="P473" s="488"/>
      <c r="Q473" s="488"/>
      <c r="R473" s="488"/>
      <c r="S473" s="488"/>
      <c r="T473" s="488"/>
      <c r="U473" s="488"/>
      <c r="V473" s="488"/>
      <c r="W473" s="488"/>
      <c r="X473" s="488"/>
      <c r="Y473" s="488"/>
      <c r="Z473" s="488"/>
      <c r="AA473" s="488"/>
      <c r="AB473" s="488"/>
      <c r="AC473" s="488"/>
      <c r="AD473" s="488"/>
      <c r="AE473" s="488"/>
      <c r="AF473" s="488"/>
      <c r="AG473" s="488"/>
      <c r="AH473" s="488"/>
      <c r="AI473" s="488"/>
      <c r="AJ473" s="488"/>
    </row>
    <row r="474" spans="1:36" s="496" customFormat="1">
      <c r="A474" s="488"/>
      <c r="C474" s="488"/>
      <c r="D474" s="488"/>
      <c r="E474" s="488"/>
      <c r="F474" s="488"/>
      <c r="G474" s="488"/>
      <c r="H474" s="488"/>
      <c r="I474" s="488"/>
      <c r="J474" s="488"/>
      <c r="K474" s="488"/>
      <c r="L474" s="488"/>
      <c r="M474" s="488"/>
      <c r="N474" s="488"/>
      <c r="O474" s="488"/>
      <c r="P474" s="488"/>
      <c r="Q474" s="488"/>
      <c r="R474" s="488"/>
      <c r="S474" s="488"/>
      <c r="T474" s="488"/>
      <c r="U474" s="488"/>
      <c r="V474" s="488"/>
      <c r="W474" s="488"/>
      <c r="X474" s="488"/>
      <c r="Y474" s="488"/>
      <c r="Z474" s="488"/>
      <c r="AA474" s="488"/>
      <c r="AB474" s="488"/>
      <c r="AC474" s="488"/>
      <c r="AD474" s="488"/>
      <c r="AE474" s="488"/>
      <c r="AF474" s="488"/>
      <c r="AG474" s="488"/>
      <c r="AH474" s="488"/>
      <c r="AI474" s="488"/>
      <c r="AJ474" s="488"/>
    </row>
    <row r="475" spans="1:36" s="496" customFormat="1">
      <c r="A475" s="488"/>
      <c r="C475" s="488"/>
      <c r="D475" s="488"/>
      <c r="E475" s="488"/>
      <c r="F475" s="488"/>
      <c r="G475" s="488"/>
      <c r="H475" s="488"/>
      <c r="I475" s="488"/>
      <c r="J475" s="488"/>
      <c r="K475" s="488"/>
      <c r="L475" s="488"/>
      <c r="M475" s="488"/>
      <c r="N475" s="488"/>
      <c r="O475" s="488"/>
      <c r="P475" s="488"/>
      <c r="Q475" s="488"/>
      <c r="R475" s="488"/>
      <c r="S475" s="488"/>
      <c r="T475" s="488"/>
      <c r="U475" s="488"/>
      <c r="V475" s="488"/>
      <c r="W475" s="488"/>
      <c r="X475" s="488"/>
      <c r="Y475" s="488"/>
      <c r="Z475" s="488"/>
      <c r="AA475" s="488"/>
      <c r="AB475" s="488"/>
      <c r="AC475" s="488"/>
      <c r="AD475" s="488"/>
      <c r="AE475" s="488"/>
      <c r="AF475" s="488"/>
      <c r="AG475" s="488"/>
      <c r="AH475" s="488"/>
      <c r="AI475" s="488"/>
      <c r="AJ475" s="488"/>
    </row>
    <row r="476" spans="1:36" s="496" customFormat="1">
      <c r="A476" s="488"/>
      <c r="C476" s="488"/>
      <c r="D476" s="488"/>
      <c r="E476" s="488"/>
      <c r="F476" s="488"/>
      <c r="G476" s="488"/>
      <c r="H476" s="488"/>
      <c r="I476" s="488"/>
      <c r="J476" s="488"/>
      <c r="K476" s="488"/>
      <c r="L476" s="488"/>
      <c r="M476" s="488"/>
      <c r="N476" s="488"/>
      <c r="O476" s="488"/>
      <c r="P476" s="488"/>
      <c r="Q476" s="488"/>
      <c r="R476" s="488"/>
      <c r="S476" s="488"/>
      <c r="T476" s="488"/>
      <c r="U476" s="488"/>
      <c r="V476" s="488"/>
      <c r="W476" s="488"/>
      <c r="X476" s="488"/>
      <c r="Y476" s="488"/>
      <c r="Z476" s="488"/>
      <c r="AA476" s="488"/>
      <c r="AB476" s="488"/>
      <c r="AC476" s="488"/>
      <c r="AD476" s="488"/>
      <c r="AE476" s="488"/>
      <c r="AF476" s="488"/>
      <c r="AG476" s="488"/>
      <c r="AH476" s="488"/>
      <c r="AI476" s="488"/>
      <c r="AJ476" s="488"/>
    </row>
    <row r="477" spans="1:36" s="496" customFormat="1">
      <c r="A477" s="488"/>
      <c r="C477" s="488"/>
      <c r="D477" s="488"/>
      <c r="E477" s="488"/>
      <c r="F477" s="488"/>
      <c r="G477" s="488"/>
      <c r="H477" s="488"/>
      <c r="I477" s="488"/>
      <c r="J477" s="488"/>
      <c r="K477" s="488"/>
      <c r="L477" s="488"/>
      <c r="M477" s="488"/>
      <c r="N477" s="488"/>
      <c r="O477" s="488"/>
      <c r="P477" s="488"/>
      <c r="Q477" s="488"/>
      <c r="R477" s="488"/>
      <c r="S477" s="488"/>
      <c r="T477" s="488"/>
      <c r="U477" s="488"/>
      <c r="V477" s="488"/>
      <c r="W477" s="488"/>
      <c r="X477" s="488"/>
      <c r="Y477" s="488"/>
      <c r="Z477" s="488"/>
      <c r="AA477" s="488"/>
      <c r="AB477" s="488"/>
      <c r="AC477" s="488"/>
      <c r="AD477" s="488"/>
      <c r="AE477" s="488"/>
      <c r="AF477" s="488"/>
      <c r="AG477" s="488"/>
      <c r="AH477" s="488"/>
      <c r="AI477" s="488"/>
      <c r="AJ477" s="488"/>
    </row>
    <row r="478" spans="1:36" s="496" customFormat="1">
      <c r="A478" s="488"/>
      <c r="C478" s="488"/>
      <c r="D478" s="488"/>
      <c r="E478" s="488"/>
      <c r="F478" s="488"/>
      <c r="G478" s="488"/>
      <c r="H478" s="488"/>
      <c r="I478" s="488"/>
      <c r="J478" s="488"/>
      <c r="K478" s="488"/>
      <c r="L478" s="488"/>
      <c r="M478" s="488"/>
      <c r="N478" s="488"/>
      <c r="O478" s="488"/>
      <c r="P478" s="488"/>
      <c r="Q478" s="488"/>
      <c r="R478" s="488"/>
      <c r="S478" s="488"/>
      <c r="T478" s="488"/>
      <c r="U478" s="488"/>
      <c r="V478" s="488"/>
      <c r="W478" s="488"/>
      <c r="X478" s="488"/>
      <c r="Y478" s="488"/>
      <c r="Z478" s="488"/>
      <c r="AA478" s="488"/>
      <c r="AB478" s="488"/>
      <c r="AC478" s="488"/>
      <c r="AD478" s="488"/>
      <c r="AE478" s="488"/>
      <c r="AF478" s="488"/>
      <c r="AG478" s="488"/>
      <c r="AH478" s="488"/>
      <c r="AI478" s="488"/>
      <c r="AJ478" s="488"/>
    </row>
    <row r="479" spans="1:36" s="496" customFormat="1">
      <c r="A479" s="488"/>
      <c r="C479" s="488"/>
      <c r="D479" s="488"/>
      <c r="E479" s="488"/>
      <c r="F479" s="488"/>
      <c r="G479" s="488"/>
      <c r="H479" s="488"/>
      <c r="I479" s="488"/>
      <c r="J479" s="488"/>
      <c r="K479" s="488"/>
      <c r="L479" s="488"/>
      <c r="M479" s="488"/>
      <c r="N479" s="488"/>
      <c r="O479" s="488"/>
      <c r="P479" s="488"/>
      <c r="Q479" s="488"/>
      <c r="R479" s="488"/>
      <c r="S479" s="488"/>
      <c r="T479" s="488"/>
      <c r="U479" s="488"/>
      <c r="V479" s="488"/>
      <c r="W479" s="488"/>
      <c r="X479" s="488"/>
      <c r="Y479" s="488"/>
      <c r="Z479" s="488"/>
      <c r="AA479" s="488"/>
      <c r="AB479" s="488"/>
      <c r="AC479" s="488"/>
      <c r="AD479" s="488"/>
      <c r="AE479" s="488"/>
      <c r="AF479" s="488"/>
      <c r="AG479" s="488"/>
      <c r="AH479" s="488"/>
      <c r="AI479" s="488"/>
      <c r="AJ479" s="488"/>
    </row>
    <row r="480" spans="1:36" s="496" customFormat="1">
      <c r="A480" s="488"/>
      <c r="C480" s="488"/>
      <c r="D480" s="488"/>
      <c r="E480" s="488"/>
      <c r="F480" s="488"/>
      <c r="G480" s="488"/>
      <c r="H480" s="488"/>
      <c r="I480" s="488"/>
      <c r="J480" s="488"/>
      <c r="K480" s="488"/>
      <c r="L480" s="488"/>
      <c r="M480" s="488"/>
      <c r="N480" s="488"/>
      <c r="O480" s="488"/>
      <c r="P480" s="488"/>
      <c r="Q480" s="488"/>
      <c r="R480" s="488"/>
      <c r="S480" s="488"/>
      <c r="T480" s="488"/>
      <c r="U480" s="488"/>
      <c r="V480" s="488"/>
      <c r="W480" s="488"/>
      <c r="X480" s="488"/>
      <c r="Y480" s="488"/>
      <c r="Z480" s="488"/>
      <c r="AA480" s="488"/>
      <c r="AB480" s="488"/>
      <c r="AC480" s="488"/>
      <c r="AD480" s="488"/>
      <c r="AE480" s="488"/>
      <c r="AF480" s="488"/>
      <c r="AG480" s="488"/>
      <c r="AH480" s="488"/>
      <c r="AI480" s="488"/>
      <c r="AJ480" s="488"/>
    </row>
    <row r="481" spans="1:36" s="496" customFormat="1">
      <c r="A481" s="488"/>
      <c r="C481" s="488"/>
      <c r="D481" s="488"/>
      <c r="E481" s="488"/>
      <c r="F481" s="488"/>
      <c r="G481" s="488"/>
      <c r="H481" s="488"/>
      <c r="I481" s="488"/>
      <c r="J481" s="488"/>
      <c r="K481" s="488"/>
      <c r="L481" s="488"/>
      <c r="M481" s="488"/>
      <c r="N481" s="488"/>
      <c r="O481" s="488"/>
      <c r="P481" s="488"/>
      <c r="Q481" s="488"/>
      <c r="R481" s="488"/>
      <c r="S481" s="488"/>
      <c r="T481" s="488"/>
      <c r="U481" s="488"/>
      <c r="V481" s="488"/>
      <c r="W481" s="488"/>
      <c r="X481" s="488"/>
      <c r="Y481" s="488"/>
      <c r="Z481" s="488"/>
      <c r="AA481" s="488"/>
      <c r="AB481" s="488"/>
      <c r="AC481" s="488"/>
      <c r="AD481" s="488"/>
      <c r="AE481" s="488"/>
      <c r="AF481" s="488"/>
      <c r="AG481" s="488"/>
      <c r="AH481" s="488"/>
      <c r="AI481" s="488"/>
      <c r="AJ481" s="488"/>
    </row>
    <row r="482" spans="1:36" s="496" customFormat="1">
      <c r="A482" s="488"/>
      <c r="C482" s="488"/>
      <c r="D482" s="488"/>
      <c r="E482" s="488"/>
      <c r="F482" s="488"/>
      <c r="G482" s="488"/>
      <c r="H482" s="488"/>
      <c r="I482" s="488"/>
      <c r="J482" s="488"/>
      <c r="K482" s="488"/>
      <c r="L482" s="488"/>
      <c r="M482" s="488"/>
      <c r="N482" s="488"/>
      <c r="O482" s="488"/>
      <c r="P482" s="488"/>
      <c r="Q482" s="488"/>
      <c r="R482" s="488"/>
      <c r="S482" s="488"/>
      <c r="T482" s="488"/>
      <c r="U482" s="488"/>
      <c r="V482" s="488"/>
      <c r="W482" s="488"/>
      <c r="X482" s="488"/>
      <c r="Y482" s="488"/>
      <c r="Z482" s="488"/>
      <c r="AA482" s="488"/>
      <c r="AB482" s="488"/>
      <c r="AC482" s="488"/>
      <c r="AD482" s="488"/>
      <c r="AE482" s="488"/>
      <c r="AF482" s="488"/>
      <c r="AG482" s="488"/>
      <c r="AH482" s="488"/>
      <c r="AI482" s="488"/>
      <c r="AJ482" s="488"/>
    </row>
    <row r="483" spans="1:36" s="496" customFormat="1">
      <c r="A483" s="488"/>
      <c r="C483" s="488"/>
      <c r="D483" s="488"/>
      <c r="E483" s="488"/>
      <c r="F483" s="488"/>
      <c r="G483" s="488"/>
      <c r="H483" s="488"/>
      <c r="I483" s="488"/>
      <c r="J483" s="488"/>
      <c r="K483" s="488"/>
      <c r="L483" s="488"/>
      <c r="M483" s="488"/>
      <c r="N483" s="488"/>
      <c r="O483" s="488"/>
      <c r="P483" s="488"/>
      <c r="Q483" s="488"/>
      <c r="R483" s="488"/>
      <c r="S483" s="488"/>
      <c r="T483" s="488"/>
      <c r="U483" s="488"/>
      <c r="V483" s="488"/>
      <c r="W483" s="488"/>
      <c r="X483" s="488"/>
      <c r="Y483" s="488"/>
      <c r="Z483" s="488"/>
      <c r="AA483" s="488"/>
      <c r="AB483" s="488"/>
      <c r="AC483" s="488"/>
      <c r="AD483" s="488"/>
      <c r="AE483" s="488"/>
      <c r="AF483" s="488"/>
      <c r="AG483" s="488"/>
      <c r="AH483" s="488"/>
      <c r="AI483" s="488"/>
      <c r="AJ483" s="488"/>
    </row>
    <row r="484" spans="1:36" s="496" customFormat="1">
      <c r="A484" s="488"/>
      <c r="C484" s="488"/>
      <c r="D484" s="488"/>
      <c r="E484" s="488"/>
      <c r="F484" s="488"/>
      <c r="G484" s="488"/>
      <c r="H484" s="488"/>
      <c r="I484" s="488"/>
      <c r="J484" s="488"/>
      <c r="K484" s="488"/>
      <c r="L484" s="488"/>
      <c r="M484" s="488"/>
      <c r="N484" s="488"/>
      <c r="O484" s="488"/>
      <c r="P484" s="488"/>
      <c r="Q484" s="488"/>
      <c r="R484" s="488"/>
      <c r="S484" s="488"/>
      <c r="T484" s="488"/>
      <c r="U484" s="488"/>
      <c r="V484" s="488"/>
      <c r="W484" s="488"/>
      <c r="X484" s="488"/>
      <c r="Y484" s="488"/>
      <c r="Z484" s="488"/>
      <c r="AA484" s="488"/>
      <c r="AB484" s="488"/>
      <c r="AC484" s="488"/>
      <c r="AD484" s="488"/>
      <c r="AE484" s="488"/>
      <c r="AF484" s="488"/>
      <c r="AG484" s="488"/>
      <c r="AH484" s="488"/>
      <c r="AI484" s="488"/>
      <c r="AJ484" s="488"/>
    </row>
    <row r="485" spans="1:36" s="496" customFormat="1">
      <c r="A485" s="488"/>
      <c r="C485" s="488"/>
      <c r="D485" s="488"/>
      <c r="E485" s="488"/>
      <c r="F485" s="488"/>
      <c r="G485" s="488"/>
      <c r="H485" s="488"/>
      <c r="I485" s="488"/>
      <c r="J485" s="488"/>
      <c r="K485" s="488"/>
      <c r="L485" s="488"/>
      <c r="M485" s="488"/>
      <c r="N485" s="488"/>
      <c r="O485" s="488"/>
      <c r="P485" s="488"/>
      <c r="Q485" s="488"/>
      <c r="R485" s="488"/>
      <c r="S485" s="488"/>
      <c r="T485" s="488"/>
      <c r="U485" s="488"/>
      <c r="V485" s="488"/>
      <c r="W485" s="488"/>
      <c r="X485" s="488"/>
      <c r="Y485" s="488"/>
      <c r="Z485" s="488"/>
      <c r="AA485" s="488"/>
      <c r="AB485" s="488"/>
      <c r="AC485" s="488"/>
      <c r="AD485" s="488"/>
      <c r="AE485" s="488"/>
      <c r="AF485" s="488"/>
      <c r="AG485" s="488"/>
      <c r="AH485" s="488"/>
      <c r="AI485" s="488"/>
      <c r="AJ485" s="488"/>
    </row>
    <row r="486" spans="1:36" s="496" customFormat="1">
      <c r="A486" s="488"/>
      <c r="C486" s="488"/>
      <c r="D486" s="488"/>
      <c r="E486" s="488"/>
      <c r="F486" s="488"/>
      <c r="G486" s="488"/>
      <c r="H486" s="488"/>
      <c r="I486" s="488"/>
      <c r="J486" s="488"/>
      <c r="K486" s="488"/>
      <c r="L486" s="488"/>
      <c r="M486" s="488"/>
      <c r="N486" s="488"/>
      <c r="O486" s="488"/>
      <c r="P486" s="488"/>
      <c r="Q486" s="488"/>
      <c r="R486" s="488"/>
      <c r="S486" s="488"/>
      <c r="T486" s="488"/>
      <c r="U486" s="488"/>
      <c r="V486" s="488"/>
      <c r="W486" s="488"/>
      <c r="X486" s="488"/>
      <c r="Y486" s="488"/>
      <c r="Z486" s="488"/>
      <c r="AA486" s="488"/>
      <c r="AB486" s="488"/>
      <c r="AC486" s="488"/>
      <c r="AD486" s="488"/>
      <c r="AE486" s="488"/>
      <c r="AF486" s="488"/>
      <c r="AG486" s="488"/>
      <c r="AH486" s="488"/>
      <c r="AI486" s="488"/>
      <c r="AJ486" s="488"/>
    </row>
    <row r="487" spans="1:36" s="496" customFormat="1">
      <c r="A487" s="488"/>
      <c r="C487" s="488"/>
      <c r="D487" s="488"/>
      <c r="E487" s="488"/>
      <c r="F487" s="488"/>
      <c r="G487" s="488"/>
      <c r="H487" s="488"/>
      <c r="I487" s="488"/>
      <c r="J487" s="488"/>
      <c r="K487" s="488"/>
      <c r="L487" s="488"/>
      <c r="M487" s="488"/>
      <c r="N487" s="488"/>
      <c r="O487" s="488"/>
      <c r="P487" s="488"/>
      <c r="Q487" s="488"/>
      <c r="R487" s="488"/>
      <c r="S487" s="488"/>
      <c r="T487" s="488"/>
      <c r="U487" s="488"/>
      <c r="V487" s="488"/>
      <c r="W487" s="488"/>
      <c r="X487" s="488"/>
      <c r="Y487" s="488"/>
      <c r="Z487" s="488"/>
      <c r="AA487" s="488"/>
      <c r="AB487" s="488"/>
      <c r="AC487" s="488"/>
      <c r="AD487" s="488"/>
      <c r="AE487" s="488"/>
      <c r="AF487" s="488"/>
      <c r="AG487" s="488"/>
      <c r="AH487" s="488"/>
      <c r="AI487" s="488"/>
      <c r="AJ487" s="488"/>
    </row>
    <row r="488" spans="1:36" s="496" customFormat="1">
      <c r="A488" s="488"/>
      <c r="C488" s="488"/>
      <c r="D488" s="488"/>
      <c r="E488" s="488"/>
      <c r="F488" s="488"/>
      <c r="G488" s="488"/>
      <c r="H488" s="488"/>
      <c r="I488" s="488"/>
      <c r="J488" s="488"/>
      <c r="K488" s="488"/>
      <c r="L488" s="488"/>
      <c r="M488" s="488"/>
      <c r="N488" s="488"/>
      <c r="O488" s="488"/>
      <c r="P488" s="488"/>
      <c r="Q488" s="488"/>
      <c r="R488" s="488"/>
      <c r="S488" s="488"/>
      <c r="T488" s="488"/>
      <c r="U488" s="488"/>
      <c r="V488" s="488"/>
      <c r="W488" s="488"/>
      <c r="X488" s="488"/>
      <c r="Y488" s="488"/>
      <c r="Z488" s="488"/>
      <c r="AA488" s="488"/>
      <c r="AB488" s="488"/>
      <c r="AC488" s="488"/>
      <c r="AD488" s="488"/>
      <c r="AE488" s="488"/>
      <c r="AF488" s="488"/>
      <c r="AG488" s="488"/>
      <c r="AH488" s="488"/>
      <c r="AI488" s="488"/>
      <c r="AJ488" s="488"/>
    </row>
    <row r="489" spans="1:36" s="496" customFormat="1">
      <c r="A489" s="488"/>
      <c r="C489" s="488"/>
      <c r="D489" s="488"/>
      <c r="E489" s="488"/>
      <c r="F489" s="488"/>
      <c r="G489" s="488"/>
      <c r="H489" s="488"/>
      <c r="I489" s="488"/>
      <c r="J489" s="488"/>
      <c r="K489" s="488"/>
      <c r="L489" s="488"/>
      <c r="M489" s="488"/>
      <c r="N489" s="488"/>
      <c r="O489" s="488"/>
      <c r="P489" s="488"/>
      <c r="Q489" s="488"/>
      <c r="R489" s="488"/>
      <c r="S489" s="488"/>
      <c r="T489" s="488"/>
      <c r="U489" s="488"/>
      <c r="V489" s="488"/>
      <c r="W489" s="488"/>
      <c r="X489" s="488"/>
      <c r="Y489" s="488"/>
      <c r="Z489" s="488"/>
      <c r="AA489" s="488"/>
      <c r="AB489" s="488"/>
      <c r="AC489" s="488"/>
      <c r="AD489" s="488"/>
      <c r="AE489" s="488"/>
      <c r="AF489" s="488"/>
      <c r="AG489" s="488"/>
      <c r="AH489" s="488"/>
      <c r="AI489" s="488"/>
      <c r="AJ489" s="488"/>
    </row>
    <row r="490" spans="1:36" s="496" customFormat="1">
      <c r="A490" s="488"/>
      <c r="C490" s="488"/>
      <c r="D490" s="488"/>
      <c r="E490" s="488"/>
      <c r="F490" s="488"/>
      <c r="G490" s="488"/>
      <c r="H490" s="488"/>
      <c r="I490" s="488"/>
      <c r="J490" s="488"/>
      <c r="K490" s="488"/>
      <c r="L490" s="488"/>
      <c r="M490" s="488"/>
      <c r="N490" s="488"/>
      <c r="O490" s="488"/>
      <c r="P490" s="488"/>
      <c r="Q490" s="488"/>
      <c r="R490" s="488"/>
      <c r="S490" s="488"/>
      <c r="T490" s="488"/>
      <c r="U490" s="488"/>
      <c r="V490" s="488"/>
      <c r="W490" s="488"/>
      <c r="X490" s="488"/>
      <c r="Y490" s="488"/>
      <c r="Z490" s="488"/>
      <c r="AA490" s="488"/>
      <c r="AB490" s="488"/>
      <c r="AC490" s="488"/>
      <c r="AD490" s="488"/>
      <c r="AE490" s="488"/>
      <c r="AF490" s="488"/>
      <c r="AG490" s="488"/>
      <c r="AH490" s="488"/>
      <c r="AI490" s="488"/>
      <c r="AJ490" s="488"/>
    </row>
    <row r="491" spans="1:36" s="496" customFormat="1">
      <c r="A491" s="488"/>
      <c r="C491" s="488"/>
      <c r="D491" s="488"/>
      <c r="E491" s="488"/>
      <c r="F491" s="488"/>
      <c r="G491" s="488"/>
      <c r="H491" s="488"/>
      <c r="I491" s="488"/>
      <c r="J491" s="488"/>
      <c r="K491" s="488"/>
      <c r="L491" s="488"/>
      <c r="M491" s="488"/>
      <c r="N491" s="488"/>
      <c r="O491" s="488"/>
      <c r="P491" s="488"/>
      <c r="Q491" s="488"/>
      <c r="R491" s="488"/>
      <c r="S491" s="488"/>
      <c r="T491" s="488"/>
      <c r="U491" s="488"/>
      <c r="V491" s="488"/>
      <c r="W491" s="488"/>
      <c r="X491" s="488"/>
      <c r="Y491" s="488"/>
      <c r="Z491" s="488"/>
      <c r="AA491" s="488"/>
      <c r="AB491" s="488"/>
      <c r="AC491" s="488"/>
      <c r="AD491" s="488"/>
      <c r="AE491" s="488"/>
      <c r="AF491" s="488"/>
      <c r="AG491" s="488"/>
      <c r="AH491" s="488"/>
      <c r="AI491" s="488"/>
      <c r="AJ491" s="488"/>
    </row>
    <row r="492" spans="1:36" s="496" customFormat="1">
      <c r="A492" s="488"/>
      <c r="C492" s="488"/>
      <c r="D492" s="488"/>
      <c r="E492" s="488"/>
      <c r="F492" s="488"/>
      <c r="G492" s="488"/>
      <c r="H492" s="488"/>
      <c r="I492" s="488"/>
      <c r="J492" s="488"/>
      <c r="K492" s="488"/>
      <c r="L492" s="488"/>
      <c r="M492" s="488"/>
      <c r="N492" s="488"/>
      <c r="O492" s="488"/>
      <c r="P492" s="488"/>
      <c r="Q492" s="488"/>
      <c r="R492" s="488"/>
      <c r="S492" s="488"/>
      <c r="T492" s="488"/>
      <c r="U492" s="488"/>
      <c r="V492" s="488"/>
      <c r="W492" s="488"/>
      <c r="X492" s="488"/>
      <c r="Y492" s="488"/>
      <c r="Z492" s="488"/>
      <c r="AA492" s="488"/>
      <c r="AB492" s="488"/>
      <c r="AC492" s="488"/>
      <c r="AD492" s="488"/>
      <c r="AE492" s="488"/>
      <c r="AF492" s="488"/>
      <c r="AG492" s="488"/>
      <c r="AH492" s="488"/>
      <c r="AI492" s="488"/>
      <c r="AJ492" s="488"/>
    </row>
    <row r="493" spans="1:36" s="496" customFormat="1">
      <c r="A493" s="488"/>
      <c r="C493" s="488"/>
      <c r="D493" s="488"/>
      <c r="E493" s="488"/>
      <c r="F493" s="488"/>
      <c r="G493" s="488"/>
      <c r="H493" s="488"/>
      <c r="I493" s="488"/>
      <c r="J493" s="488"/>
      <c r="K493" s="488"/>
      <c r="L493" s="488"/>
      <c r="M493" s="488"/>
      <c r="N493" s="488"/>
      <c r="O493" s="488"/>
      <c r="P493" s="488"/>
      <c r="Q493" s="488"/>
      <c r="R493" s="488"/>
      <c r="S493" s="488"/>
      <c r="T493" s="488"/>
      <c r="U493" s="488"/>
      <c r="V493" s="488"/>
      <c r="W493" s="488"/>
      <c r="X493" s="488"/>
      <c r="Y493" s="488"/>
      <c r="Z493" s="488"/>
      <c r="AA493" s="488"/>
      <c r="AB493" s="488"/>
      <c r="AC493" s="488"/>
      <c r="AD493" s="488"/>
      <c r="AE493" s="488"/>
      <c r="AF493" s="488"/>
      <c r="AG493" s="488"/>
      <c r="AH493" s="488"/>
      <c r="AI493" s="488"/>
      <c r="AJ493" s="488"/>
    </row>
    <row r="494" spans="1:36" s="496" customFormat="1">
      <c r="A494" s="488"/>
      <c r="C494" s="488"/>
      <c r="D494" s="488"/>
      <c r="E494" s="488"/>
      <c r="F494" s="488"/>
      <c r="G494" s="488"/>
      <c r="H494" s="488"/>
      <c r="I494" s="488"/>
      <c r="J494" s="488"/>
      <c r="K494" s="488"/>
      <c r="L494" s="488"/>
      <c r="M494" s="488"/>
      <c r="N494" s="488"/>
      <c r="O494" s="488"/>
      <c r="P494" s="488"/>
      <c r="Q494" s="488"/>
      <c r="R494" s="488"/>
      <c r="S494" s="488"/>
      <c r="T494" s="488"/>
      <c r="U494" s="488"/>
      <c r="V494" s="488"/>
      <c r="W494" s="488"/>
      <c r="X494" s="488"/>
      <c r="Y494" s="488"/>
      <c r="Z494" s="488"/>
      <c r="AA494" s="488"/>
      <c r="AB494" s="488"/>
      <c r="AC494" s="488"/>
      <c r="AD494" s="488"/>
      <c r="AE494" s="488"/>
      <c r="AF494" s="488"/>
      <c r="AG494" s="488"/>
      <c r="AH494" s="488"/>
      <c r="AI494" s="488"/>
      <c r="AJ494" s="488"/>
    </row>
    <row r="495" spans="1:36" s="496" customFormat="1">
      <c r="A495" s="488"/>
      <c r="C495" s="488"/>
      <c r="D495" s="488"/>
      <c r="E495" s="488"/>
      <c r="F495" s="488"/>
      <c r="G495" s="488"/>
      <c r="H495" s="488"/>
      <c r="I495" s="488"/>
      <c r="J495" s="488"/>
      <c r="K495" s="488"/>
      <c r="L495" s="488"/>
      <c r="M495" s="488"/>
      <c r="N495" s="488"/>
      <c r="O495" s="488"/>
      <c r="P495" s="488"/>
      <c r="Q495" s="488"/>
      <c r="R495" s="488"/>
      <c r="S495" s="488"/>
      <c r="T495" s="488"/>
      <c r="U495" s="488"/>
      <c r="V495" s="488"/>
      <c r="W495" s="488"/>
      <c r="X495" s="488"/>
      <c r="Y495" s="488"/>
      <c r="Z495" s="488"/>
      <c r="AA495" s="488"/>
      <c r="AB495" s="488"/>
      <c r="AC495" s="488"/>
      <c r="AD495" s="488"/>
      <c r="AE495" s="488"/>
      <c r="AF495" s="488"/>
      <c r="AG495" s="488"/>
      <c r="AH495" s="488"/>
      <c r="AI495" s="488"/>
      <c r="AJ495" s="488"/>
    </row>
    <row r="496" spans="1:36" s="496" customFormat="1">
      <c r="A496" s="488"/>
      <c r="C496" s="488"/>
      <c r="D496" s="488"/>
      <c r="E496" s="488"/>
      <c r="F496" s="488"/>
      <c r="G496" s="488"/>
      <c r="H496" s="488"/>
      <c r="I496" s="488"/>
      <c r="J496" s="488"/>
      <c r="K496" s="488"/>
      <c r="L496" s="488"/>
      <c r="M496" s="488"/>
      <c r="N496" s="488"/>
      <c r="O496" s="488"/>
      <c r="P496" s="488"/>
      <c r="Q496" s="488"/>
      <c r="R496" s="488"/>
      <c r="S496" s="488"/>
      <c r="T496" s="488"/>
      <c r="U496" s="488"/>
      <c r="V496" s="488"/>
      <c r="W496" s="488"/>
      <c r="X496" s="488"/>
      <c r="Y496" s="488"/>
      <c r="Z496" s="488"/>
      <c r="AA496" s="488"/>
      <c r="AB496" s="488"/>
      <c r="AC496" s="488"/>
      <c r="AD496" s="488"/>
      <c r="AE496" s="488"/>
      <c r="AF496" s="488"/>
      <c r="AG496" s="488"/>
      <c r="AH496" s="488"/>
      <c r="AI496" s="488"/>
      <c r="AJ496" s="488"/>
    </row>
    <row r="497" spans="1:36" s="496" customFormat="1">
      <c r="A497" s="488"/>
      <c r="C497" s="488"/>
      <c r="D497" s="488"/>
      <c r="E497" s="488"/>
      <c r="F497" s="488"/>
      <c r="G497" s="488"/>
      <c r="H497" s="488"/>
      <c r="I497" s="488"/>
      <c r="J497" s="488"/>
      <c r="K497" s="488"/>
      <c r="L497" s="488"/>
      <c r="M497" s="488"/>
      <c r="N497" s="488"/>
      <c r="O497" s="488"/>
      <c r="P497" s="488"/>
      <c r="Q497" s="488"/>
      <c r="R497" s="488"/>
      <c r="S497" s="488"/>
      <c r="T497" s="488"/>
      <c r="U497" s="488"/>
      <c r="V497" s="488"/>
      <c r="W497" s="488"/>
      <c r="X497" s="488"/>
      <c r="Y497" s="488"/>
      <c r="Z497" s="488"/>
      <c r="AA497" s="488"/>
      <c r="AB497" s="488"/>
      <c r="AC497" s="488"/>
      <c r="AD497" s="488"/>
      <c r="AE497" s="488"/>
      <c r="AF497" s="488"/>
      <c r="AG497" s="488"/>
      <c r="AH497" s="488"/>
      <c r="AI497" s="488"/>
      <c r="AJ497" s="488"/>
    </row>
    <row r="498" spans="1:36" s="496" customFormat="1">
      <c r="A498" s="488"/>
      <c r="C498" s="488"/>
      <c r="D498" s="488"/>
      <c r="E498" s="488"/>
      <c r="F498" s="488"/>
      <c r="G498" s="488"/>
      <c r="H498" s="488"/>
      <c r="I498" s="488"/>
      <c r="J498" s="488"/>
      <c r="K498" s="488"/>
      <c r="L498" s="488"/>
      <c r="M498" s="488"/>
      <c r="N498" s="488"/>
      <c r="O498" s="488"/>
      <c r="P498" s="488"/>
      <c r="Q498" s="488"/>
      <c r="R498" s="488"/>
      <c r="S498" s="488"/>
      <c r="T498" s="488"/>
      <c r="U498" s="488"/>
      <c r="V498" s="488"/>
      <c r="W498" s="488"/>
      <c r="X498" s="488"/>
      <c r="Y498" s="488"/>
      <c r="Z498" s="488"/>
      <c r="AA498" s="488"/>
      <c r="AB498" s="488"/>
      <c r="AC498" s="488"/>
      <c r="AD498" s="488"/>
      <c r="AE498" s="488"/>
      <c r="AF498" s="488"/>
      <c r="AG498" s="488"/>
      <c r="AH498" s="488"/>
      <c r="AI498" s="488"/>
      <c r="AJ498" s="488"/>
    </row>
    <row r="499" spans="1:36" s="496" customFormat="1">
      <c r="A499" s="488"/>
      <c r="C499" s="488"/>
      <c r="D499" s="488"/>
      <c r="E499" s="488"/>
      <c r="F499" s="488"/>
      <c r="G499" s="488"/>
      <c r="H499" s="488"/>
      <c r="I499" s="488"/>
      <c r="J499" s="488"/>
      <c r="K499" s="488"/>
      <c r="L499" s="488"/>
      <c r="M499" s="488"/>
      <c r="N499" s="488"/>
      <c r="O499" s="488"/>
      <c r="P499" s="488"/>
      <c r="Q499" s="488"/>
      <c r="R499" s="488"/>
      <c r="S499" s="488"/>
      <c r="T499" s="488"/>
      <c r="U499" s="488"/>
      <c r="V499" s="488"/>
      <c r="W499" s="488"/>
      <c r="X499" s="488"/>
      <c r="Y499" s="488"/>
      <c r="Z499" s="488"/>
      <c r="AA499" s="488"/>
      <c r="AB499" s="488"/>
      <c r="AC499" s="488"/>
      <c r="AD499" s="488"/>
      <c r="AE499" s="488"/>
      <c r="AF499" s="488"/>
      <c r="AG499" s="488"/>
      <c r="AH499" s="488"/>
      <c r="AI499" s="488"/>
      <c r="AJ499" s="488"/>
    </row>
    <row r="500" spans="1:36" s="496" customFormat="1">
      <c r="A500" s="488"/>
      <c r="C500" s="488"/>
      <c r="D500" s="488"/>
      <c r="E500" s="488"/>
      <c r="F500" s="488"/>
      <c r="G500" s="488"/>
      <c r="H500" s="488"/>
      <c r="I500" s="488"/>
      <c r="J500" s="488"/>
      <c r="K500" s="488"/>
      <c r="L500" s="488"/>
      <c r="M500" s="488"/>
      <c r="N500" s="488"/>
      <c r="O500" s="488"/>
      <c r="P500" s="488"/>
      <c r="Q500" s="488"/>
      <c r="R500" s="488"/>
      <c r="S500" s="488"/>
      <c r="T500" s="488"/>
      <c r="U500" s="488"/>
      <c r="V500" s="488"/>
      <c r="W500" s="488"/>
      <c r="X500" s="488"/>
      <c r="Y500" s="488"/>
      <c r="Z500" s="488"/>
      <c r="AA500" s="488"/>
      <c r="AB500" s="488"/>
      <c r="AC500" s="488"/>
      <c r="AD500" s="488"/>
      <c r="AE500" s="488"/>
      <c r="AF500" s="488"/>
      <c r="AG500" s="488"/>
      <c r="AH500" s="488"/>
      <c r="AI500" s="488"/>
      <c r="AJ500" s="488"/>
    </row>
    <row r="501" spans="1:36" s="496" customFormat="1">
      <c r="A501" s="488"/>
      <c r="C501" s="488"/>
      <c r="D501" s="488"/>
      <c r="E501" s="488"/>
      <c r="F501" s="488"/>
      <c r="G501" s="488"/>
      <c r="H501" s="488"/>
      <c r="I501" s="488"/>
      <c r="J501" s="488"/>
      <c r="K501" s="488"/>
      <c r="L501" s="488"/>
      <c r="M501" s="488"/>
      <c r="N501" s="488"/>
      <c r="O501" s="488"/>
      <c r="P501" s="488"/>
      <c r="Q501" s="488"/>
      <c r="R501" s="488"/>
      <c r="S501" s="488"/>
      <c r="T501" s="488"/>
      <c r="U501" s="488"/>
      <c r="V501" s="488"/>
      <c r="W501" s="488"/>
      <c r="X501" s="488"/>
      <c r="Y501" s="488"/>
      <c r="Z501" s="488"/>
      <c r="AA501" s="488"/>
      <c r="AB501" s="488"/>
      <c r="AC501" s="488"/>
      <c r="AD501" s="488"/>
      <c r="AE501" s="488"/>
      <c r="AF501" s="488"/>
      <c r="AG501" s="488"/>
      <c r="AH501" s="488"/>
      <c r="AI501" s="488"/>
      <c r="AJ501" s="488"/>
    </row>
    <row r="502" spans="1:36" s="496" customFormat="1">
      <c r="A502" s="488"/>
      <c r="C502" s="488"/>
      <c r="D502" s="488"/>
      <c r="E502" s="488"/>
      <c r="F502" s="488"/>
      <c r="G502" s="488"/>
      <c r="H502" s="488"/>
      <c r="I502" s="488"/>
      <c r="J502" s="488"/>
      <c r="K502" s="488"/>
      <c r="L502" s="488"/>
      <c r="M502" s="488"/>
      <c r="N502" s="488"/>
      <c r="O502" s="488"/>
      <c r="P502" s="488"/>
      <c r="Q502" s="488"/>
      <c r="R502" s="488"/>
      <c r="S502" s="488"/>
      <c r="T502" s="488"/>
      <c r="U502" s="488"/>
      <c r="V502" s="488"/>
      <c r="W502" s="488"/>
      <c r="X502" s="488"/>
      <c r="Y502" s="488"/>
      <c r="Z502" s="488"/>
      <c r="AA502" s="488"/>
      <c r="AB502" s="488"/>
      <c r="AC502" s="488"/>
      <c r="AD502" s="488"/>
      <c r="AE502" s="488"/>
      <c r="AF502" s="488"/>
      <c r="AG502" s="488"/>
      <c r="AH502" s="488"/>
      <c r="AI502" s="488"/>
      <c r="AJ502" s="488"/>
    </row>
    <row r="503" spans="1:36" s="496" customFormat="1">
      <c r="A503" s="488"/>
      <c r="C503" s="488"/>
      <c r="D503" s="488"/>
      <c r="E503" s="488"/>
      <c r="F503" s="488"/>
      <c r="G503" s="488"/>
      <c r="H503" s="488"/>
      <c r="I503" s="488"/>
      <c r="J503" s="488"/>
      <c r="K503" s="488"/>
      <c r="L503" s="488"/>
      <c r="M503" s="488"/>
      <c r="N503" s="488"/>
      <c r="O503" s="488"/>
      <c r="P503" s="488"/>
      <c r="Q503" s="488"/>
      <c r="R503" s="488"/>
      <c r="S503" s="488"/>
      <c r="T503" s="488"/>
      <c r="U503" s="488"/>
      <c r="V503" s="488"/>
      <c r="W503" s="488"/>
      <c r="X503" s="488"/>
      <c r="Y503" s="488"/>
      <c r="Z503" s="488"/>
      <c r="AA503" s="488"/>
      <c r="AB503" s="488"/>
      <c r="AC503" s="488"/>
      <c r="AD503" s="488"/>
      <c r="AE503" s="488"/>
      <c r="AF503" s="488"/>
      <c r="AG503" s="488"/>
      <c r="AH503" s="488"/>
      <c r="AI503" s="488"/>
      <c r="AJ503" s="488"/>
    </row>
    <row r="504" spans="1:36" s="496" customFormat="1">
      <c r="A504" s="488"/>
      <c r="C504" s="488"/>
      <c r="D504" s="488"/>
      <c r="E504" s="488"/>
      <c r="F504" s="488"/>
      <c r="G504" s="488"/>
      <c r="H504" s="488"/>
      <c r="I504" s="488"/>
      <c r="J504" s="488"/>
      <c r="K504" s="488"/>
      <c r="L504" s="488"/>
      <c r="M504" s="488"/>
      <c r="N504" s="488"/>
      <c r="O504" s="488"/>
      <c r="P504" s="488"/>
      <c r="Q504" s="488"/>
      <c r="R504" s="488"/>
      <c r="S504" s="488"/>
      <c r="T504" s="488"/>
      <c r="U504" s="488"/>
      <c r="V504" s="488"/>
      <c r="W504" s="488"/>
      <c r="X504" s="488"/>
      <c r="Y504" s="488"/>
      <c r="Z504" s="488"/>
      <c r="AA504" s="488"/>
      <c r="AB504" s="488"/>
      <c r="AC504" s="488"/>
      <c r="AD504" s="488"/>
      <c r="AE504" s="488"/>
      <c r="AF504" s="488"/>
      <c r="AG504" s="488"/>
      <c r="AH504" s="488"/>
      <c r="AI504" s="488"/>
      <c r="AJ504" s="488"/>
    </row>
    <row r="505" spans="1:36" s="496" customFormat="1">
      <c r="A505" s="488"/>
      <c r="C505" s="488"/>
      <c r="D505" s="488"/>
      <c r="E505" s="488"/>
      <c r="F505" s="488"/>
      <c r="G505" s="488"/>
      <c r="H505" s="488"/>
      <c r="I505" s="488"/>
      <c r="J505" s="488"/>
      <c r="K505" s="488"/>
      <c r="L505" s="488"/>
      <c r="M505" s="488"/>
      <c r="N505" s="488"/>
      <c r="O505" s="488"/>
      <c r="P505" s="488"/>
      <c r="Q505" s="488"/>
      <c r="R505" s="488"/>
      <c r="S505" s="488"/>
      <c r="T505" s="488"/>
      <c r="U505" s="488"/>
      <c r="V505" s="488"/>
      <c r="W505" s="488"/>
      <c r="X505" s="488"/>
      <c r="Y505" s="488"/>
      <c r="Z505" s="488"/>
      <c r="AA505" s="488"/>
      <c r="AB505" s="488"/>
      <c r="AC505" s="488"/>
      <c r="AD505" s="488"/>
      <c r="AE505" s="488"/>
      <c r="AF505" s="488"/>
      <c r="AG505" s="488"/>
      <c r="AH505" s="488"/>
      <c r="AI505" s="488"/>
      <c r="AJ505" s="488"/>
    </row>
    <row r="506" spans="1:36" s="496" customFormat="1">
      <c r="A506" s="488"/>
      <c r="C506" s="488"/>
      <c r="D506" s="488"/>
      <c r="E506" s="488"/>
      <c r="F506" s="488"/>
      <c r="G506" s="488"/>
      <c r="H506" s="488"/>
      <c r="I506" s="488"/>
      <c r="J506" s="488"/>
      <c r="K506" s="488"/>
      <c r="L506" s="488"/>
      <c r="M506" s="488"/>
      <c r="N506" s="488"/>
      <c r="O506" s="488"/>
      <c r="P506" s="488"/>
      <c r="Q506" s="488"/>
      <c r="R506" s="488"/>
      <c r="S506" s="488"/>
      <c r="T506" s="488"/>
      <c r="U506" s="488"/>
      <c r="V506" s="488"/>
      <c r="W506" s="488"/>
      <c r="X506" s="488"/>
      <c r="Y506" s="488"/>
      <c r="Z506" s="488"/>
      <c r="AA506" s="488"/>
      <c r="AB506" s="488"/>
      <c r="AC506" s="488"/>
      <c r="AD506" s="488"/>
      <c r="AE506" s="488"/>
      <c r="AF506" s="488"/>
      <c r="AG506" s="488"/>
      <c r="AH506" s="488"/>
      <c r="AI506" s="488"/>
      <c r="AJ506" s="488"/>
    </row>
    <row r="507" spans="1:36" s="496" customFormat="1">
      <c r="A507" s="488"/>
      <c r="C507" s="488"/>
      <c r="D507" s="488"/>
      <c r="E507" s="488"/>
      <c r="F507" s="488"/>
      <c r="G507" s="488"/>
      <c r="H507" s="488"/>
      <c r="I507" s="488"/>
      <c r="J507" s="488"/>
      <c r="K507" s="488"/>
      <c r="L507" s="488"/>
      <c r="M507" s="488"/>
      <c r="N507" s="488"/>
      <c r="O507" s="488"/>
      <c r="P507" s="488"/>
      <c r="Q507" s="488"/>
      <c r="R507" s="488"/>
      <c r="S507" s="488"/>
      <c r="T507" s="488"/>
      <c r="U507" s="488"/>
      <c r="V507" s="488"/>
      <c r="W507" s="488"/>
      <c r="X507" s="488"/>
      <c r="Y507" s="488"/>
      <c r="Z507" s="488"/>
      <c r="AA507" s="488"/>
      <c r="AB507" s="488"/>
      <c r="AC507" s="488"/>
      <c r="AD507" s="488"/>
      <c r="AE507" s="488"/>
      <c r="AF507" s="488"/>
      <c r="AG507" s="488"/>
      <c r="AH507" s="488"/>
      <c r="AI507" s="488"/>
      <c r="AJ507" s="488"/>
    </row>
    <row r="508" spans="1:36" s="496" customFormat="1">
      <c r="A508" s="488"/>
      <c r="C508" s="488"/>
      <c r="D508" s="488"/>
      <c r="E508" s="488"/>
      <c r="F508" s="488"/>
      <c r="G508" s="488"/>
      <c r="H508" s="488"/>
      <c r="I508" s="488"/>
      <c r="J508" s="488"/>
      <c r="K508" s="488"/>
      <c r="L508" s="488"/>
      <c r="M508" s="488"/>
      <c r="N508" s="488"/>
      <c r="O508" s="488"/>
      <c r="P508" s="488"/>
      <c r="Q508" s="488"/>
      <c r="R508" s="488"/>
      <c r="S508" s="488"/>
      <c r="T508" s="488"/>
      <c r="U508" s="488"/>
      <c r="V508" s="488"/>
      <c r="W508" s="488"/>
      <c r="X508" s="488"/>
      <c r="Y508" s="488"/>
      <c r="Z508" s="488"/>
      <c r="AA508" s="488"/>
      <c r="AB508" s="488"/>
      <c r="AC508" s="488"/>
      <c r="AD508" s="488"/>
      <c r="AE508" s="488"/>
      <c r="AF508" s="488"/>
      <c r="AG508" s="488"/>
      <c r="AH508" s="488"/>
      <c r="AI508" s="488"/>
      <c r="AJ508" s="488"/>
    </row>
    <row r="509" spans="1:36" s="496" customFormat="1">
      <c r="A509" s="488"/>
      <c r="C509" s="488"/>
      <c r="D509" s="488"/>
      <c r="E509" s="488"/>
      <c r="F509" s="488"/>
      <c r="G509" s="488"/>
      <c r="H509" s="488"/>
      <c r="I509" s="488"/>
      <c r="J509" s="488"/>
      <c r="K509" s="488"/>
      <c r="L509" s="488"/>
      <c r="M509" s="488"/>
      <c r="N509" s="488"/>
      <c r="O509" s="488"/>
      <c r="P509" s="488"/>
      <c r="Q509" s="488"/>
      <c r="R509" s="488"/>
      <c r="S509" s="488"/>
      <c r="T509" s="488"/>
      <c r="U509" s="488"/>
      <c r="V509" s="488"/>
      <c r="W509" s="488"/>
      <c r="X509" s="488"/>
      <c r="Y509" s="488"/>
      <c r="Z509" s="488"/>
      <c r="AA509" s="488"/>
      <c r="AB509" s="488"/>
      <c r="AC509" s="488"/>
      <c r="AD509" s="488"/>
      <c r="AE509" s="488"/>
      <c r="AF509" s="488"/>
      <c r="AG509" s="488"/>
      <c r="AH509" s="488"/>
      <c r="AI509" s="488"/>
      <c r="AJ509" s="488"/>
    </row>
    <row r="510" spans="1:36" s="496" customFormat="1">
      <c r="A510" s="488"/>
      <c r="C510" s="488"/>
      <c r="D510" s="488"/>
      <c r="E510" s="488"/>
      <c r="F510" s="488"/>
      <c r="G510" s="488"/>
      <c r="H510" s="488"/>
      <c r="I510" s="488"/>
      <c r="J510" s="488"/>
      <c r="K510" s="488"/>
      <c r="L510" s="488"/>
      <c r="M510" s="488"/>
      <c r="N510" s="488"/>
      <c r="O510" s="488"/>
      <c r="P510" s="488"/>
      <c r="Q510" s="488"/>
      <c r="R510" s="488"/>
      <c r="S510" s="488"/>
      <c r="T510" s="488"/>
      <c r="U510" s="488"/>
      <c r="V510" s="488"/>
      <c r="W510" s="488"/>
      <c r="X510" s="488"/>
      <c r="Y510" s="488"/>
      <c r="Z510" s="488"/>
      <c r="AA510" s="488"/>
      <c r="AB510" s="488"/>
      <c r="AC510" s="488"/>
      <c r="AD510" s="488"/>
      <c r="AE510" s="488"/>
      <c r="AF510" s="488"/>
      <c r="AG510" s="488"/>
      <c r="AH510" s="488"/>
      <c r="AI510" s="488"/>
      <c r="AJ510" s="488"/>
    </row>
    <row r="511" spans="1:36" s="496" customFormat="1">
      <c r="A511" s="488"/>
      <c r="C511" s="488"/>
      <c r="D511" s="488"/>
      <c r="E511" s="488"/>
      <c r="F511" s="488"/>
      <c r="G511" s="488"/>
      <c r="H511" s="488"/>
      <c r="I511" s="488"/>
      <c r="J511" s="488"/>
      <c r="K511" s="488"/>
      <c r="L511" s="488"/>
      <c r="M511" s="488"/>
      <c r="N511" s="488"/>
      <c r="O511" s="488"/>
      <c r="P511" s="488"/>
      <c r="Q511" s="488"/>
      <c r="R511" s="488"/>
      <c r="S511" s="488"/>
      <c r="T511" s="488"/>
      <c r="U511" s="488"/>
      <c r="V511" s="488"/>
      <c r="W511" s="488"/>
      <c r="X511" s="488"/>
      <c r="Y511" s="488"/>
      <c r="Z511" s="488"/>
      <c r="AA511" s="488"/>
      <c r="AB511" s="488"/>
      <c r="AC511" s="488"/>
      <c r="AD511" s="488"/>
      <c r="AE511" s="488"/>
      <c r="AF511" s="488"/>
      <c r="AG511" s="488"/>
      <c r="AH511" s="488"/>
      <c r="AI511" s="488"/>
      <c r="AJ511" s="488"/>
    </row>
    <row r="512" spans="1:36" s="496" customFormat="1">
      <c r="A512" s="488"/>
      <c r="C512" s="488"/>
      <c r="D512" s="488"/>
      <c r="E512" s="488"/>
      <c r="F512" s="488"/>
      <c r="G512" s="488"/>
      <c r="H512" s="488"/>
      <c r="I512" s="488"/>
      <c r="J512" s="488"/>
      <c r="K512" s="488"/>
      <c r="L512" s="488"/>
      <c r="M512" s="488"/>
      <c r="N512" s="488"/>
      <c r="O512" s="488"/>
      <c r="P512" s="488"/>
      <c r="Q512" s="488"/>
      <c r="R512" s="488"/>
      <c r="S512" s="488"/>
      <c r="T512" s="488"/>
      <c r="U512" s="488"/>
      <c r="V512" s="488"/>
      <c r="W512" s="488"/>
      <c r="X512" s="488"/>
      <c r="Y512" s="488"/>
      <c r="Z512" s="488"/>
      <c r="AA512" s="488"/>
      <c r="AB512" s="488"/>
      <c r="AC512" s="488"/>
      <c r="AD512" s="488"/>
      <c r="AE512" s="488"/>
      <c r="AF512" s="488"/>
      <c r="AG512" s="488"/>
      <c r="AH512" s="488"/>
      <c r="AI512" s="488"/>
      <c r="AJ512" s="488"/>
    </row>
    <row r="513" spans="1:36" s="496" customFormat="1">
      <c r="A513" s="488"/>
      <c r="C513" s="488"/>
      <c r="D513" s="488"/>
      <c r="E513" s="488"/>
      <c r="F513" s="488"/>
      <c r="G513" s="488"/>
      <c r="H513" s="488"/>
      <c r="I513" s="488"/>
      <c r="J513" s="488"/>
      <c r="K513" s="488"/>
      <c r="L513" s="488"/>
      <c r="M513" s="488"/>
      <c r="N513" s="488"/>
      <c r="O513" s="488"/>
      <c r="P513" s="488"/>
      <c r="Q513" s="488"/>
      <c r="R513" s="488"/>
      <c r="S513" s="488"/>
      <c r="T513" s="488"/>
      <c r="U513" s="488"/>
      <c r="V513" s="488"/>
      <c r="W513" s="488"/>
      <c r="X513" s="488"/>
      <c r="Y513" s="488"/>
      <c r="Z513" s="488"/>
      <c r="AA513" s="488"/>
      <c r="AB513" s="488"/>
      <c r="AC513" s="488"/>
      <c r="AD513" s="488"/>
      <c r="AE513" s="488"/>
      <c r="AF513" s="488"/>
      <c r="AG513" s="488"/>
      <c r="AH513" s="488"/>
      <c r="AI513" s="488"/>
      <c r="AJ513" s="488"/>
    </row>
    <row r="514" spans="1:36" s="496" customFormat="1">
      <c r="A514" s="488"/>
      <c r="C514" s="488"/>
      <c r="D514" s="488"/>
      <c r="E514" s="488"/>
      <c r="F514" s="488"/>
      <c r="G514" s="488"/>
      <c r="H514" s="488"/>
      <c r="I514" s="488"/>
      <c r="J514" s="488"/>
      <c r="K514" s="488"/>
      <c r="L514" s="488"/>
      <c r="M514" s="488"/>
      <c r="N514" s="488"/>
      <c r="O514" s="488"/>
      <c r="P514" s="488"/>
      <c r="Q514" s="488"/>
      <c r="R514" s="488"/>
      <c r="S514" s="488"/>
      <c r="T514" s="488"/>
      <c r="U514" s="488"/>
      <c r="V514" s="488"/>
      <c r="W514" s="488"/>
      <c r="X514" s="488"/>
      <c r="Y514" s="488"/>
      <c r="Z514" s="488"/>
      <c r="AA514" s="488"/>
      <c r="AB514" s="488"/>
      <c r="AC514" s="488"/>
      <c r="AD514" s="488"/>
      <c r="AE514" s="488"/>
      <c r="AF514" s="488"/>
      <c r="AG514" s="488"/>
      <c r="AH514" s="488"/>
      <c r="AI514" s="488"/>
      <c r="AJ514" s="488"/>
    </row>
    <row r="515" spans="1:36" s="496" customFormat="1">
      <c r="A515" s="488"/>
      <c r="C515" s="488"/>
      <c r="D515" s="488"/>
      <c r="E515" s="488"/>
      <c r="F515" s="488"/>
      <c r="G515" s="488"/>
      <c r="H515" s="488"/>
      <c r="I515" s="488"/>
      <c r="J515" s="488"/>
      <c r="K515" s="488"/>
      <c r="L515" s="488"/>
      <c r="M515" s="488"/>
      <c r="N515" s="488"/>
      <c r="O515" s="488"/>
      <c r="P515" s="488"/>
      <c r="Q515" s="488"/>
      <c r="R515" s="488"/>
      <c r="S515" s="488"/>
      <c r="T515" s="488"/>
      <c r="U515" s="488"/>
      <c r="V515" s="488"/>
      <c r="W515" s="488"/>
      <c r="X515" s="488"/>
      <c r="Y515" s="488"/>
      <c r="Z515" s="488"/>
      <c r="AA515" s="488"/>
      <c r="AB515" s="488"/>
      <c r="AC515" s="488"/>
      <c r="AD515" s="488"/>
      <c r="AE515" s="488"/>
      <c r="AF515" s="488"/>
      <c r="AG515" s="488"/>
      <c r="AH515" s="488"/>
      <c r="AI515" s="488"/>
      <c r="AJ515" s="488"/>
    </row>
    <row r="516" spans="1:36" s="496" customFormat="1">
      <c r="A516" s="488"/>
      <c r="C516" s="488"/>
      <c r="D516" s="488"/>
      <c r="E516" s="488"/>
      <c r="F516" s="488"/>
      <c r="G516" s="488"/>
      <c r="H516" s="488"/>
      <c r="I516" s="488"/>
      <c r="J516" s="488"/>
      <c r="K516" s="488"/>
      <c r="L516" s="488"/>
      <c r="M516" s="488"/>
      <c r="N516" s="488"/>
      <c r="O516" s="488"/>
      <c r="P516" s="488"/>
      <c r="Q516" s="488"/>
      <c r="R516" s="488"/>
      <c r="S516" s="488"/>
      <c r="T516" s="488"/>
      <c r="U516" s="488"/>
      <c r="V516" s="488"/>
      <c r="W516" s="488"/>
      <c r="X516" s="488"/>
      <c r="Y516" s="488"/>
      <c r="Z516" s="488"/>
      <c r="AA516" s="488"/>
      <c r="AB516" s="488"/>
      <c r="AC516" s="488"/>
      <c r="AD516" s="488"/>
      <c r="AE516" s="488"/>
      <c r="AF516" s="488"/>
      <c r="AG516" s="488"/>
      <c r="AH516" s="488"/>
      <c r="AI516" s="488"/>
      <c r="AJ516" s="488"/>
    </row>
    <row r="517" spans="1:36" s="496" customFormat="1">
      <c r="A517" s="488"/>
      <c r="C517" s="488"/>
      <c r="D517" s="488"/>
      <c r="E517" s="488"/>
      <c r="F517" s="488"/>
      <c r="G517" s="488"/>
      <c r="H517" s="488"/>
      <c r="I517" s="488"/>
      <c r="J517" s="488"/>
      <c r="K517" s="488"/>
      <c r="L517" s="488"/>
      <c r="M517" s="488"/>
      <c r="N517" s="488"/>
      <c r="O517" s="488"/>
      <c r="P517" s="488"/>
      <c r="Q517" s="488"/>
      <c r="R517" s="488"/>
      <c r="S517" s="488"/>
      <c r="T517" s="488"/>
      <c r="U517" s="488"/>
      <c r="V517" s="488"/>
      <c r="W517" s="488"/>
      <c r="X517" s="488"/>
      <c r="Y517" s="488"/>
      <c r="Z517" s="488"/>
      <c r="AA517" s="488"/>
      <c r="AB517" s="488"/>
      <c r="AC517" s="488"/>
      <c r="AD517" s="488"/>
      <c r="AE517" s="488"/>
      <c r="AF517" s="488"/>
      <c r="AG517" s="488"/>
      <c r="AH517" s="488"/>
      <c r="AI517" s="488"/>
      <c r="AJ517" s="488"/>
    </row>
    <row r="518" spans="1:36" s="496" customFormat="1">
      <c r="A518" s="488"/>
      <c r="C518" s="488"/>
      <c r="D518" s="488"/>
      <c r="E518" s="488"/>
      <c r="F518" s="488"/>
      <c r="G518" s="488"/>
      <c r="H518" s="488"/>
      <c r="I518" s="488"/>
      <c r="J518" s="488"/>
      <c r="K518" s="488"/>
      <c r="L518" s="488"/>
      <c r="M518" s="488"/>
      <c r="N518" s="488"/>
      <c r="O518" s="488"/>
      <c r="P518" s="488"/>
      <c r="Q518" s="488"/>
      <c r="R518" s="488"/>
      <c r="S518" s="488"/>
      <c r="T518" s="488"/>
      <c r="U518" s="488"/>
      <c r="V518" s="488"/>
      <c r="W518" s="488"/>
      <c r="X518" s="488"/>
      <c r="Y518" s="488"/>
      <c r="Z518" s="488"/>
      <c r="AA518" s="488"/>
      <c r="AB518" s="488"/>
      <c r="AC518" s="488"/>
      <c r="AD518" s="488"/>
      <c r="AE518" s="488"/>
      <c r="AF518" s="488"/>
      <c r="AG518" s="488"/>
      <c r="AH518" s="488"/>
      <c r="AI518" s="488"/>
      <c r="AJ518" s="488"/>
    </row>
    <row r="519" spans="1:36" s="496" customFormat="1">
      <c r="A519" s="488"/>
      <c r="C519" s="488"/>
      <c r="D519" s="488"/>
      <c r="E519" s="488"/>
      <c r="F519" s="488"/>
      <c r="G519" s="488"/>
      <c r="H519" s="488"/>
      <c r="I519" s="488"/>
      <c r="J519" s="488"/>
      <c r="K519" s="488"/>
      <c r="L519" s="488"/>
      <c r="M519" s="488"/>
      <c r="N519" s="488"/>
      <c r="O519" s="488"/>
      <c r="P519" s="488"/>
      <c r="Q519" s="488"/>
      <c r="R519" s="488"/>
      <c r="S519" s="488"/>
      <c r="T519" s="488"/>
      <c r="U519" s="488"/>
      <c r="V519" s="488"/>
      <c r="W519" s="488"/>
      <c r="X519" s="488"/>
      <c r="Y519" s="488"/>
      <c r="Z519" s="488"/>
      <c r="AA519" s="488"/>
      <c r="AB519" s="488"/>
      <c r="AC519" s="488"/>
      <c r="AD519" s="488"/>
      <c r="AE519" s="488"/>
      <c r="AF519" s="488"/>
      <c r="AG519" s="488"/>
      <c r="AH519" s="488"/>
      <c r="AI519" s="488"/>
      <c r="AJ519" s="488"/>
    </row>
    <row r="520" spans="1:36" s="496" customFormat="1">
      <c r="A520" s="488"/>
      <c r="C520" s="488"/>
      <c r="D520" s="488"/>
      <c r="E520" s="488"/>
      <c r="F520" s="488"/>
      <c r="G520" s="488"/>
      <c r="H520" s="488"/>
      <c r="I520" s="488"/>
      <c r="J520" s="488"/>
      <c r="K520" s="488"/>
      <c r="L520" s="488"/>
      <c r="M520" s="488"/>
      <c r="N520" s="488"/>
      <c r="O520" s="488"/>
      <c r="P520" s="488"/>
      <c r="Q520" s="488"/>
      <c r="R520" s="488"/>
      <c r="S520" s="488"/>
      <c r="T520" s="488"/>
      <c r="U520" s="488"/>
      <c r="V520" s="488"/>
      <c r="W520" s="488"/>
      <c r="X520" s="488"/>
      <c r="Y520" s="488"/>
      <c r="Z520" s="488"/>
      <c r="AA520" s="488"/>
      <c r="AB520" s="488"/>
      <c r="AC520" s="488"/>
      <c r="AD520" s="488"/>
      <c r="AE520" s="488"/>
      <c r="AF520" s="488"/>
      <c r="AG520" s="488"/>
      <c r="AH520" s="488"/>
      <c r="AI520" s="488"/>
      <c r="AJ520" s="488"/>
    </row>
    <row r="521" spans="1:36" s="496" customFormat="1">
      <c r="A521" s="488"/>
      <c r="C521" s="488"/>
      <c r="D521" s="488"/>
      <c r="E521" s="488"/>
      <c r="F521" s="488"/>
      <c r="G521" s="488"/>
      <c r="H521" s="488"/>
      <c r="I521" s="488"/>
      <c r="J521" s="488"/>
      <c r="K521" s="488"/>
      <c r="L521" s="488"/>
      <c r="M521" s="488"/>
      <c r="N521" s="488"/>
      <c r="O521" s="488"/>
      <c r="P521" s="488"/>
      <c r="Q521" s="488"/>
      <c r="R521" s="488"/>
      <c r="S521" s="488"/>
      <c r="T521" s="488"/>
      <c r="U521" s="488"/>
      <c r="V521" s="488"/>
      <c r="W521" s="488"/>
      <c r="X521" s="488"/>
      <c r="Y521" s="488"/>
      <c r="Z521" s="488"/>
      <c r="AA521" s="488"/>
      <c r="AB521" s="488"/>
      <c r="AC521" s="488"/>
      <c r="AD521" s="488"/>
      <c r="AE521" s="488"/>
      <c r="AF521" s="488"/>
      <c r="AG521" s="488"/>
      <c r="AH521" s="488"/>
      <c r="AI521" s="488"/>
      <c r="AJ521" s="488"/>
    </row>
    <row r="522" spans="1:36" s="496" customFormat="1">
      <c r="A522" s="488"/>
      <c r="C522" s="488"/>
      <c r="D522" s="488"/>
      <c r="E522" s="488"/>
      <c r="F522" s="488"/>
      <c r="G522" s="488"/>
      <c r="H522" s="488"/>
      <c r="I522" s="488"/>
      <c r="J522" s="488"/>
      <c r="K522" s="488"/>
      <c r="L522" s="488"/>
      <c r="M522" s="488"/>
      <c r="N522" s="488"/>
      <c r="O522" s="488"/>
      <c r="P522" s="488"/>
      <c r="Q522" s="488"/>
      <c r="R522" s="488"/>
      <c r="S522" s="488"/>
      <c r="T522" s="488"/>
      <c r="U522" s="488"/>
      <c r="V522" s="488"/>
      <c r="W522" s="488"/>
      <c r="X522" s="488"/>
      <c r="Y522" s="488"/>
      <c r="Z522" s="488"/>
      <c r="AA522" s="488"/>
      <c r="AB522" s="488"/>
      <c r="AC522" s="488"/>
      <c r="AD522" s="488"/>
      <c r="AE522" s="488"/>
      <c r="AF522" s="488"/>
      <c r="AG522" s="488"/>
      <c r="AH522" s="488"/>
      <c r="AI522" s="488"/>
      <c r="AJ522" s="488"/>
    </row>
    <row r="523" spans="1:36" s="496" customFormat="1">
      <c r="A523" s="488"/>
      <c r="C523" s="488"/>
      <c r="D523" s="488"/>
      <c r="E523" s="488"/>
      <c r="F523" s="488"/>
      <c r="G523" s="488"/>
      <c r="H523" s="488"/>
      <c r="I523" s="488"/>
      <c r="J523" s="488"/>
      <c r="K523" s="488"/>
      <c r="L523" s="488"/>
      <c r="M523" s="488"/>
      <c r="N523" s="488"/>
      <c r="O523" s="488"/>
      <c r="P523" s="488"/>
      <c r="Q523" s="488"/>
      <c r="R523" s="488"/>
      <c r="S523" s="488"/>
      <c r="T523" s="488"/>
      <c r="U523" s="488"/>
      <c r="V523" s="488"/>
      <c r="W523" s="488"/>
      <c r="X523" s="488"/>
      <c r="Y523" s="488"/>
      <c r="Z523" s="488"/>
      <c r="AA523" s="488"/>
      <c r="AB523" s="488"/>
      <c r="AC523" s="488"/>
      <c r="AD523" s="488"/>
      <c r="AE523" s="488"/>
      <c r="AF523" s="488"/>
      <c r="AG523" s="488"/>
      <c r="AH523" s="488"/>
      <c r="AI523" s="488"/>
      <c r="AJ523" s="488"/>
    </row>
    <row r="524" spans="1:36" s="496" customFormat="1">
      <c r="A524" s="488"/>
      <c r="C524" s="488"/>
      <c r="D524" s="488"/>
      <c r="E524" s="488"/>
      <c r="F524" s="488"/>
      <c r="G524" s="488"/>
      <c r="H524" s="488"/>
      <c r="I524" s="488"/>
      <c r="J524" s="488"/>
      <c r="K524" s="488"/>
      <c r="L524" s="488"/>
      <c r="M524" s="488"/>
      <c r="N524" s="488"/>
      <c r="O524" s="488"/>
      <c r="P524" s="488"/>
      <c r="Q524" s="488"/>
      <c r="R524" s="488"/>
      <c r="S524" s="488"/>
      <c r="T524" s="488"/>
      <c r="U524" s="488"/>
      <c r="V524" s="488"/>
      <c r="W524" s="488"/>
      <c r="X524" s="488"/>
      <c r="Y524" s="488"/>
      <c r="Z524" s="488"/>
      <c r="AA524" s="488"/>
      <c r="AB524" s="488"/>
      <c r="AC524" s="488"/>
      <c r="AD524" s="488"/>
      <c r="AE524" s="488"/>
      <c r="AF524" s="488"/>
      <c r="AG524" s="488"/>
      <c r="AH524" s="488"/>
      <c r="AI524" s="488"/>
      <c r="AJ524" s="488"/>
    </row>
    <row r="525" spans="1:36" s="496" customFormat="1">
      <c r="A525" s="488"/>
      <c r="C525" s="488"/>
      <c r="D525" s="488"/>
      <c r="E525" s="488"/>
      <c r="F525" s="488"/>
      <c r="G525" s="488"/>
      <c r="H525" s="488"/>
      <c r="I525" s="488"/>
      <c r="J525" s="488"/>
      <c r="K525" s="488"/>
      <c r="L525" s="488"/>
      <c r="M525" s="488"/>
      <c r="N525" s="488"/>
      <c r="O525" s="488"/>
      <c r="P525" s="488"/>
      <c r="Q525" s="488"/>
      <c r="R525" s="488"/>
      <c r="S525" s="488"/>
      <c r="T525" s="488"/>
      <c r="U525" s="488"/>
      <c r="V525" s="488"/>
      <c r="W525" s="488"/>
      <c r="X525" s="488"/>
      <c r="Y525" s="488"/>
      <c r="Z525" s="488"/>
      <c r="AA525" s="488"/>
      <c r="AB525" s="488"/>
      <c r="AC525" s="488"/>
      <c r="AD525" s="488"/>
      <c r="AE525" s="488"/>
      <c r="AF525" s="488"/>
      <c r="AG525" s="488"/>
      <c r="AH525" s="488"/>
      <c r="AI525" s="488"/>
      <c r="AJ525" s="488"/>
    </row>
    <row r="526" spans="1:36" s="496" customFormat="1">
      <c r="A526" s="488"/>
      <c r="C526" s="488"/>
      <c r="D526" s="488"/>
      <c r="E526" s="488"/>
      <c r="F526" s="488"/>
      <c r="G526" s="488"/>
      <c r="H526" s="488"/>
      <c r="I526" s="488"/>
      <c r="J526" s="488"/>
      <c r="K526" s="488"/>
      <c r="L526" s="488"/>
      <c r="M526" s="488"/>
      <c r="N526" s="488"/>
      <c r="O526" s="488"/>
      <c r="P526" s="488"/>
      <c r="Q526" s="488"/>
      <c r="R526" s="488"/>
      <c r="S526" s="488"/>
      <c r="T526" s="488"/>
      <c r="U526" s="488"/>
      <c r="V526" s="488"/>
      <c r="W526" s="488"/>
      <c r="X526" s="488"/>
      <c r="Y526" s="488"/>
      <c r="Z526" s="488"/>
      <c r="AA526" s="488"/>
      <c r="AB526" s="488"/>
      <c r="AC526" s="488"/>
      <c r="AD526" s="488"/>
      <c r="AE526" s="488"/>
      <c r="AF526" s="488"/>
      <c r="AG526" s="488"/>
      <c r="AH526" s="488"/>
      <c r="AI526" s="488"/>
      <c r="AJ526" s="488"/>
    </row>
    <row r="527" spans="1:36" s="496" customFormat="1">
      <c r="A527" s="488"/>
      <c r="C527" s="488"/>
      <c r="D527" s="488"/>
      <c r="E527" s="488"/>
      <c r="F527" s="488"/>
      <c r="G527" s="488"/>
      <c r="H527" s="488"/>
      <c r="I527" s="488"/>
      <c r="J527" s="488"/>
      <c r="K527" s="488"/>
      <c r="L527" s="488"/>
      <c r="M527" s="488"/>
      <c r="N527" s="488"/>
      <c r="O527" s="488"/>
      <c r="P527" s="488"/>
      <c r="Q527" s="488"/>
      <c r="R527" s="488"/>
      <c r="S527" s="488"/>
      <c r="T527" s="488"/>
      <c r="U527" s="488"/>
      <c r="V527" s="488"/>
      <c r="W527" s="488"/>
      <c r="X527" s="488"/>
      <c r="Y527" s="488"/>
      <c r="Z527" s="488"/>
      <c r="AA527" s="488"/>
      <c r="AB527" s="488"/>
      <c r="AC527" s="488"/>
      <c r="AD527" s="488"/>
      <c r="AE527" s="488"/>
      <c r="AF527" s="488"/>
      <c r="AG527" s="488"/>
      <c r="AH527" s="488"/>
      <c r="AI527" s="488"/>
      <c r="AJ527" s="488"/>
    </row>
    <row r="528" spans="1:36" s="496" customFormat="1">
      <c r="A528" s="488"/>
      <c r="C528" s="488"/>
      <c r="D528" s="488"/>
      <c r="E528" s="488"/>
      <c r="F528" s="488"/>
      <c r="G528" s="488"/>
      <c r="H528" s="488"/>
      <c r="I528" s="488"/>
      <c r="J528" s="488"/>
      <c r="K528" s="488"/>
      <c r="L528" s="488"/>
      <c r="M528" s="488"/>
      <c r="N528" s="488"/>
      <c r="O528" s="488"/>
      <c r="P528" s="488"/>
      <c r="Q528" s="488"/>
      <c r="R528" s="488"/>
      <c r="S528" s="488"/>
      <c r="T528" s="488"/>
      <c r="U528" s="488"/>
      <c r="V528" s="488"/>
      <c r="W528" s="488"/>
      <c r="X528" s="488"/>
      <c r="Y528" s="488"/>
      <c r="Z528" s="488"/>
      <c r="AA528" s="488"/>
      <c r="AB528" s="488"/>
      <c r="AC528" s="488"/>
      <c r="AD528" s="488"/>
      <c r="AE528" s="488"/>
      <c r="AF528" s="488"/>
      <c r="AG528" s="488"/>
      <c r="AH528" s="488"/>
      <c r="AI528" s="488"/>
      <c r="AJ528" s="488"/>
    </row>
    <row r="529" spans="1:36" s="496" customFormat="1">
      <c r="A529" s="488"/>
      <c r="C529" s="488"/>
      <c r="D529" s="488"/>
      <c r="E529" s="488"/>
      <c r="F529" s="488"/>
      <c r="G529" s="488"/>
      <c r="H529" s="488"/>
      <c r="I529" s="488"/>
      <c r="J529" s="488"/>
      <c r="K529" s="488"/>
      <c r="L529" s="488"/>
      <c r="M529" s="488"/>
      <c r="N529" s="488"/>
      <c r="O529" s="488"/>
      <c r="P529" s="488"/>
      <c r="Q529" s="488"/>
      <c r="R529" s="488"/>
      <c r="S529" s="488"/>
      <c r="T529" s="488"/>
      <c r="U529" s="488"/>
      <c r="V529" s="488"/>
      <c r="W529" s="488"/>
      <c r="X529" s="488"/>
      <c r="Y529" s="488"/>
      <c r="Z529" s="488"/>
      <c r="AA529" s="488"/>
      <c r="AB529" s="488"/>
      <c r="AC529" s="488"/>
      <c r="AD529" s="488"/>
      <c r="AE529" s="488"/>
      <c r="AF529" s="488"/>
      <c r="AG529" s="488"/>
      <c r="AH529" s="488"/>
      <c r="AI529" s="488"/>
      <c r="AJ529" s="488"/>
    </row>
    <row r="530" spans="1:36" s="496" customFormat="1">
      <c r="A530" s="488"/>
      <c r="C530" s="488"/>
      <c r="D530" s="488"/>
      <c r="E530" s="488"/>
      <c r="F530" s="488"/>
      <c r="G530" s="488"/>
      <c r="H530" s="488"/>
      <c r="I530" s="488"/>
      <c r="J530" s="488"/>
      <c r="K530" s="488"/>
      <c r="L530" s="488"/>
      <c r="M530" s="488"/>
      <c r="N530" s="488"/>
      <c r="O530" s="488"/>
      <c r="P530" s="488"/>
      <c r="Q530" s="488"/>
      <c r="R530" s="488"/>
      <c r="S530" s="488"/>
      <c r="T530" s="488"/>
      <c r="U530" s="488"/>
      <c r="V530" s="488"/>
      <c r="W530" s="488"/>
      <c r="X530" s="488"/>
      <c r="Y530" s="488"/>
      <c r="Z530" s="488"/>
      <c r="AA530" s="488"/>
      <c r="AB530" s="488"/>
      <c r="AC530" s="488"/>
      <c r="AD530" s="488"/>
      <c r="AE530" s="488"/>
      <c r="AF530" s="488"/>
      <c r="AG530" s="488"/>
      <c r="AH530" s="488"/>
      <c r="AI530" s="488"/>
      <c r="AJ530" s="488"/>
    </row>
    <row r="531" spans="1:36" s="496" customFormat="1">
      <c r="A531" s="488"/>
      <c r="C531" s="488"/>
      <c r="D531" s="488"/>
      <c r="E531" s="488"/>
      <c r="F531" s="488"/>
      <c r="G531" s="488"/>
      <c r="H531" s="488"/>
      <c r="I531" s="488"/>
      <c r="J531" s="488"/>
      <c r="K531" s="488"/>
      <c r="L531" s="488"/>
      <c r="M531" s="488"/>
      <c r="N531" s="488"/>
      <c r="O531" s="488"/>
      <c r="P531" s="488"/>
      <c r="Q531" s="488"/>
      <c r="R531" s="488"/>
      <c r="S531" s="488"/>
      <c r="T531" s="488"/>
      <c r="U531" s="488"/>
      <c r="V531" s="488"/>
      <c r="W531" s="488"/>
      <c r="X531" s="488"/>
      <c r="Y531" s="488"/>
      <c r="Z531" s="488"/>
      <c r="AA531" s="488"/>
      <c r="AB531" s="488"/>
      <c r="AC531" s="488"/>
      <c r="AD531" s="488"/>
      <c r="AE531" s="488"/>
      <c r="AF531" s="488"/>
      <c r="AG531" s="488"/>
      <c r="AH531" s="488"/>
      <c r="AI531" s="488"/>
      <c r="AJ531" s="488"/>
    </row>
    <row r="532" spans="1:36" s="496" customFormat="1">
      <c r="A532" s="488"/>
      <c r="C532" s="488"/>
      <c r="D532" s="488"/>
      <c r="E532" s="488"/>
      <c r="F532" s="488"/>
      <c r="G532" s="488"/>
      <c r="H532" s="488"/>
      <c r="I532" s="488"/>
      <c r="J532" s="488"/>
      <c r="K532" s="488"/>
      <c r="L532" s="488"/>
      <c r="M532" s="488"/>
      <c r="N532" s="488"/>
      <c r="O532" s="488"/>
      <c r="P532" s="488"/>
      <c r="Q532" s="488"/>
      <c r="R532" s="488"/>
      <c r="S532" s="488"/>
      <c r="T532" s="488"/>
      <c r="U532" s="488"/>
      <c r="V532" s="488"/>
      <c r="W532" s="488"/>
      <c r="X532" s="488"/>
      <c r="Y532" s="488"/>
      <c r="Z532" s="488"/>
      <c r="AA532" s="488"/>
      <c r="AB532" s="488"/>
      <c r="AC532" s="488"/>
      <c r="AD532" s="488"/>
      <c r="AE532" s="488"/>
      <c r="AF532" s="488"/>
      <c r="AG532" s="488"/>
      <c r="AH532" s="488"/>
      <c r="AI532" s="488"/>
      <c r="AJ532" s="488"/>
    </row>
    <row r="533" spans="1:36" s="496" customFormat="1">
      <c r="A533" s="488"/>
      <c r="C533" s="488"/>
      <c r="D533" s="488"/>
      <c r="E533" s="488"/>
      <c r="F533" s="488"/>
      <c r="G533" s="488"/>
      <c r="H533" s="488"/>
      <c r="I533" s="488"/>
      <c r="J533" s="488"/>
      <c r="K533" s="488"/>
      <c r="L533" s="488"/>
      <c r="M533" s="488"/>
      <c r="N533" s="488"/>
      <c r="O533" s="488"/>
      <c r="P533" s="488"/>
      <c r="Q533" s="488"/>
      <c r="R533" s="488"/>
      <c r="S533" s="488"/>
      <c r="T533" s="488"/>
      <c r="U533" s="488"/>
      <c r="V533" s="488"/>
      <c r="W533" s="488"/>
      <c r="X533" s="488"/>
      <c r="Y533" s="488"/>
      <c r="Z533" s="488"/>
      <c r="AA533" s="488"/>
      <c r="AB533" s="488"/>
      <c r="AC533" s="488"/>
      <c r="AD533" s="488"/>
      <c r="AE533" s="488"/>
      <c r="AF533" s="488"/>
      <c r="AG533" s="488"/>
      <c r="AH533" s="488"/>
      <c r="AI533" s="488"/>
      <c r="AJ533" s="488"/>
    </row>
    <row r="534" spans="1:36" s="496" customFormat="1">
      <c r="A534" s="488"/>
      <c r="C534" s="488"/>
      <c r="D534" s="488"/>
      <c r="E534" s="488"/>
      <c r="F534" s="488"/>
      <c r="G534" s="488"/>
      <c r="H534" s="488"/>
      <c r="I534" s="488"/>
      <c r="J534" s="488"/>
      <c r="K534" s="488"/>
      <c r="L534" s="488"/>
      <c r="M534" s="488"/>
      <c r="N534" s="488"/>
      <c r="O534" s="488"/>
      <c r="P534" s="488"/>
      <c r="Q534" s="488"/>
      <c r="R534" s="488"/>
      <c r="S534" s="488"/>
      <c r="T534" s="488"/>
      <c r="U534" s="488"/>
      <c r="V534" s="488"/>
      <c r="W534" s="488"/>
      <c r="X534" s="488"/>
      <c r="Y534" s="488"/>
      <c r="Z534" s="488"/>
      <c r="AA534" s="488"/>
      <c r="AB534" s="488"/>
      <c r="AC534" s="488"/>
      <c r="AD534" s="488"/>
      <c r="AE534" s="488"/>
      <c r="AF534" s="488"/>
      <c r="AG534" s="488"/>
      <c r="AH534" s="488"/>
      <c r="AI534" s="488"/>
      <c r="AJ534" s="488"/>
    </row>
    <row r="535" spans="1:36" s="496" customFormat="1">
      <c r="A535" s="488"/>
      <c r="C535" s="488"/>
      <c r="D535" s="488"/>
      <c r="E535" s="488"/>
      <c r="F535" s="488"/>
      <c r="G535" s="488"/>
      <c r="H535" s="488"/>
      <c r="I535" s="488"/>
      <c r="J535" s="488"/>
      <c r="K535" s="488"/>
      <c r="L535" s="488"/>
      <c r="M535" s="488"/>
      <c r="N535" s="488"/>
      <c r="O535" s="488"/>
      <c r="P535" s="488"/>
      <c r="Q535" s="488"/>
      <c r="R535" s="488"/>
      <c r="S535" s="488"/>
      <c r="T535" s="488"/>
      <c r="U535" s="488"/>
      <c r="V535" s="488"/>
      <c r="W535" s="488"/>
      <c r="X535" s="488"/>
      <c r="Y535" s="488"/>
      <c r="Z535" s="488"/>
      <c r="AA535" s="488"/>
      <c r="AB535" s="488"/>
      <c r="AC535" s="488"/>
      <c r="AD535" s="488"/>
      <c r="AE535" s="488"/>
      <c r="AF535" s="488"/>
      <c r="AG535" s="488"/>
      <c r="AH535" s="488"/>
      <c r="AI535" s="488"/>
      <c r="AJ535" s="488"/>
    </row>
    <row r="536" spans="1:36" s="496" customFormat="1">
      <c r="A536" s="488"/>
      <c r="C536" s="488"/>
      <c r="D536" s="488"/>
      <c r="E536" s="488"/>
      <c r="F536" s="488"/>
      <c r="G536" s="488"/>
      <c r="H536" s="488"/>
      <c r="I536" s="488"/>
      <c r="J536" s="488"/>
      <c r="K536" s="488"/>
      <c r="L536" s="488"/>
      <c r="M536" s="488"/>
      <c r="N536" s="488"/>
      <c r="O536" s="488"/>
      <c r="P536" s="488"/>
      <c r="Q536" s="488"/>
      <c r="R536" s="488"/>
      <c r="S536" s="488"/>
      <c r="T536" s="488"/>
      <c r="U536" s="488"/>
      <c r="V536" s="488"/>
      <c r="W536" s="488"/>
      <c r="X536" s="488"/>
      <c r="Y536" s="488"/>
      <c r="Z536" s="488"/>
      <c r="AA536" s="488"/>
      <c r="AB536" s="488"/>
      <c r="AC536" s="488"/>
      <c r="AD536" s="488"/>
      <c r="AE536" s="488"/>
      <c r="AF536" s="488"/>
      <c r="AG536" s="488"/>
      <c r="AH536" s="488"/>
      <c r="AI536" s="488"/>
      <c r="AJ536" s="488"/>
    </row>
    <row r="537" spans="1:36" s="496" customFormat="1">
      <c r="A537" s="488"/>
      <c r="C537" s="488"/>
      <c r="D537" s="488"/>
      <c r="E537" s="488"/>
      <c r="F537" s="488"/>
      <c r="G537" s="488"/>
      <c r="H537" s="488"/>
      <c r="I537" s="488"/>
      <c r="J537" s="488"/>
      <c r="K537" s="488"/>
      <c r="L537" s="488"/>
      <c r="M537" s="488"/>
      <c r="N537" s="488"/>
      <c r="O537" s="488"/>
      <c r="P537" s="488"/>
      <c r="Q537" s="488"/>
      <c r="R537" s="488"/>
      <c r="S537" s="488"/>
      <c r="T537" s="488"/>
      <c r="U537" s="488"/>
      <c r="V537" s="488"/>
      <c r="W537" s="488"/>
      <c r="X537" s="488"/>
      <c r="Y537" s="488"/>
      <c r="Z537" s="488"/>
      <c r="AA537" s="488"/>
      <c r="AB537" s="488"/>
      <c r="AC537" s="488"/>
      <c r="AD537" s="488"/>
      <c r="AE537" s="488"/>
      <c r="AF537" s="488"/>
      <c r="AG537" s="488"/>
      <c r="AH537" s="488"/>
      <c r="AI537" s="488"/>
      <c r="AJ537" s="488"/>
    </row>
    <row r="538" spans="1:36" s="496" customFormat="1">
      <c r="A538" s="488"/>
      <c r="C538" s="488"/>
      <c r="D538" s="488"/>
      <c r="E538" s="488"/>
      <c r="F538" s="488"/>
      <c r="G538" s="488"/>
      <c r="H538" s="488"/>
      <c r="I538" s="488"/>
      <c r="J538" s="488"/>
      <c r="K538" s="488"/>
      <c r="L538" s="488"/>
      <c r="M538" s="488"/>
      <c r="N538" s="488"/>
      <c r="O538" s="488"/>
      <c r="P538" s="488"/>
      <c r="Q538" s="488"/>
      <c r="R538" s="488"/>
      <c r="S538" s="488"/>
      <c r="T538" s="488"/>
      <c r="U538" s="488"/>
      <c r="V538" s="488"/>
      <c r="W538" s="488"/>
      <c r="X538" s="488"/>
      <c r="Y538" s="488"/>
      <c r="Z538" s="488"/>
      <c r="AA538" s="488"/>
      <c r="AB538" s="488"/>
      <c r="AC538" s="488"/>
      <c r="AD538" s="488"/>
      <c r="AE538" s="488"/>
      <c r="AF538" s="488"/>
      <c r="AG538" s="488"/>
      <c r="AH538" s="488"/>
      <c r="AI538" s="488"/>
      <c r="AJ538" s="488"/>
    </row>
    <row r="539" spans="1:36" s="496" customFormat="1">
      <c r="A539" s="488"/>
      <c r="C539" s="488"/>
      <c r="D539" s="488"/>
      <c r="E539" s="488"/>
      <c r="F539" s="488"/>
      <c r="G539" s="488"/>
      <c r="H539" s="488"/>
      <c r="I539" s="488"/>
      <c r="J539" s="488"/>
      <c r="K539" s="488"/>
      <c r="L539" s="488"/>
      <c r="M539" s="488"/>
      <c r="N539" s="488"/>
      <c r="O539" s="488"/>
      <c r="P539" s="488"/>
      <c r="Q539" s="488"/>
      <c r="R539" s="488"/>
      <c r="S539" s="488"/>
      <c r="T539" s="488"/>
      <c r="U539" s="488"/>
      <c r="V539" s="488"/>
      <c r="W539" s="488"/>
      <c r="X539" s="488"/>
      <c r="Y539" s="488"/>
      <c r="Z539" s="488"/>
      <c r="AA539" s="488"/>
      <c r="AB539" s="488"/>
      <c r="AC539" s="488"/>
      <c r="AD539" s="488"/>
      <c r="AE539" s="488"/>
      <c r="AF539" s="488"/>
      <c r="AG539" s="488"/>
      <c r="AH539" s="488"/>
      <c r="AI539" s="488"/>
      <c r="AJ539" s="488"/>
    </row>
    <row r="540" spans="1:36" s="496" customFormat="1">
      <c r="A540" s="488"/>
      <c r="C540" s="488"/>
      <c r="D540" s="488"/>
      <c r="E540" s="488"/>
      <c r="F540" s="488"/>
      <c r="G540" s="488"/>
      <c r="H540" s="488"/>
      <c r="I540" s="488"/>
      <c r="J540" s="488"/>
      <c r="K540" s="488"/>
      <c r="L540" s="488"/>
      <c r="M540" s="488"/>
      <c r="N540" s="488"/>
      <c r="O540" s="488"/>
      <c r="P540" s="488"/>
      <c r="Q540" s="488"/>
      <c r="R540" s="488"/>
      <c r="S540" s="488"/>
      <c r="T540" s="488"/>
      <c r="U540" s="488"/>
      <c r="V540" s="488"/>
      <c r="W540" s="488"/>
      <c r="X540" s="488"/>
      <c r="Y540" s="488"/>
      <c r="Z540" s="488"/>
      <c r="AA540" s="488"/>
      <c r="AB540" s="488"/>
      <c r="AC540" s="488"/>
      <c r="AD540" s="488"/>
      <c r="AE540" s="488"/>
      <c r="AF540" s="488"/>
      <c r="AG540" s="488"/>
      <c r="AH540" s="488"/>
      <c r="AI540" s="488"/>
      <c r="AJ540" s="488"/>
    </row>
    <row r="541" spans="1:36" s="496" customFormat="1">
      <c r="A541" s="488"/>
      <c r="C541" s="488"/>
      <c r="D541" s="488"/>
      <c r="E541" s="488"/>
      <c r="F541" s="488"/>
      <c r="G541" s="488"/>
      <c r="H541" s="488"/>
      <c r="I541" s="488"/>
      <c r="J541" s="488"/>
      <c r="K541" s="488"/>
      <c r="L541" s="488"/>
      <c r="M541" s="488"/>
      <c r="N541" s="488"/>
      <c r="O541" s="488"/>
      <c r="P541" s="488"/>
      <c r="Q541" s="488"/>
      <c r="R541" s="488"/>
      <c r="S541" s="488"/>
      <c r="T541" s="488"/>
      <c r="U541" s="488"/>
      <c r="V541" s="488"/>
      <c r="W541" s="488"/>
      <c r="X541" s="488"/>
      <c r="Y541" s="488"/>
      <c r="Z541" s="488"/>
      <c r="AA541" s="488"/>
      <c r="AB541" s="488"/>
      <c r="AC541" s="488"/>
      <c r="AD541" s="488"/>
      <c r="AE541" s="488"/>
      <c r="AF541" s="488"/>
      <c r="AG541" s="488"/>
      <c r="AH541" s="488"/>
      <c r="AI541" s="488"/>
      <c r="AJ541" s="488"/>
    </row>
    <row r="542" spans="1:36" s="496" customFormat="1">
      <c r="A542" s="488"/>
      <c r="C542" s="488"/>
      <c r="D542" s="488"/>
      <c r="E542" s="488"/>
      <c r="F542" s="488"/>
      <c r="G542" s="488"/>
      <c r="H542" s="488"/>
      <c r="I542" s="488"/>
      <c r="J542" s="488"/>
      <c r="K542" s="488"/>
      <c r="L542" s="488"/>
      <c r="M542" s="488"/>
      <c r="N542" s="488"/>
      <c r="O542" s="488"/>
      <c r="P542" s="488"/>
      <c r="Q542" s="488"/>
      <c r="R542" s="488"/>
      <c r="S542" s="488"/>
      <c r="T542" s="488"/>
      <c r="U542" s="488"/>
      <c r="V542" s="488"/>
      <c r="W542" s="488"/>
      <c r="X542" s="488"/>
      <c r="Y542" s="488"/>
      <c r="Z542" s="488"/>
      <c r="AA542" s="488"/>
      <c r="AB542" s="488"/>
      <c r="AC542" s="488"/>
      <c r="AD542" s="488"/>
      <c r="AE542" s="488"/>
      <c r="AF542" s="488"/>
      <c r="AG542" s="488"/>
      <c r="AH542" s="488"/>
      <c r="AI542" s="488"/>
      <c r="AJ542" s="488"/>
    </row>
    <row r="543" spans="1:36" s="496" customFormat="1">
      <c r="A543" s="488"/>
      <c r="C543" s="488"/>
      <c r="D543" s="488"/>
      <c r="E543" s="488"/>
      <c r="F543" s="488"/>
      <c r="G543" s="488"/>
      <c r="H543" s="488"/>
      <c r="I543" s="488"/>
      <c r="J543" s="488"/>
      <c r="K543" s="488"/>
      <c r="L543" s="488"/>
      <c r="M543" s="488"/>
      <c r="N543" s="488"/>
      <c r="O543" s="488"/>
      <c r="P543" s="488"/>
      <c r="Q543" s="488"/>
      <c r="R543" s="488"/>
      <c r="S543" s="488"/>
      <c r="T543" s="488"/>
      <c r="U543" s="488"/>
      <c r="V543" s="488"/>
      <c r="W543" s="488"/>
      <c r="X543" s="488"/>
      <c r="Y543" s="488"/>
      <c r="Z543" s="488"/>
      <c r="AA543" s="488"/>
      <c r="AB543" s="488"/>
      <c r="AC543" s="488"/>
      <c r="AD543" s="488"/>
      <c r="AE543" s="488"/>
      <c r="AF543" s="488"/>
      <c r="AG543" s="488"/>
      <c r="AH543" s="488"/>
      <c r="AI543" s="488"/>
      <c r="AJ543" s="488"/>
    </row>
    <row r="544" spans="1:36" s="496" customFormat="1">
      <c r="A544" s="488"/>
      <c r="C544" s="488"/>
      <c r="D544" s="488"/>
      <c r="E544" s="488"/>
      <c r="F544" s="488"/>
      <c r="G544" s="488"/>
      <c r="H544" s="488"/>
      <c r="I544" s="488"/>
      <c r="J544" s="488"/>
      <c r="K544" s="488"/>
      <c r="L544" s="488"/>
      <c r="M544" s="488"/>
      <c r="N544" s="488"/>
      <c r="O544" s="488"/>
      <c r="P544" s="488"/>
      <c r="Q544" s="488"/>
      <c r="R544" s="488"/>
      <c r="S544" s="488"/>
      <c r="T544" s="488"/>
      <c r="U544" s="488"/>
      <c r="V544" s="488"/>
      <c r="W544" s="488"/>
      <c r="X544" s="488"/>
      <c r="Y544" s="488"/>
      <c r="Z544" s="488"/>
      <c r="AA544" s="488"/>
      <c r="AB544" s="488"/>
      <c r="AC544" s="488"/>
      <c r="AD544" s="488"/>
      <c r="AE544" s="488"/>
      <c r="AF544" s="488"/>
      <c r="AG544" s="488"/>
      <c r="AH544" s="488"/>
      <c r="AI544" s="488"/>
      <c r="AJ544" s="488"/>
    </row>
    <row r="545" spans="1:36" s="496" customFormat="1">
      <c r="A545" s="488"/>
      <c r="C545" s="488"/>
      <c r="D545" s="488"/>
      <c r="E545" s="488"/>
      <c r="F545" s="488"/>
      <c r="G545" s="488"/>
      <c r="H545" s="488"/>
      <c r="I545" s="488"/>
      <c r="J545" s="488"/>
      <c r="K545" s="488"/>
      <c r="L545" s="488"/>
      <c r="M545" s="488"/>
      <c r="N545" s="488"/>
      <c r="O545" s="488"/>
      <c r="P545" s="488"/>
      <c r="Q545" s="488"/>
      <c r="R545" s="488"/>
      <c r="S545" s="488"/>
      <c r="T545" s="488"/>
      <c r="U545" s="488"/>
      <c r="V545" s="488"/>
      <c r="W545" s="488"/>
      <c r="X545" s="488"/>
      <c r="Y545" s="488"/>
      <c r="Z545" s="488"/>
      <c r="AA545" s="488"/>
      <c r="AB545" s="488"/>
      <c r="AC545" s="488"/>
      <c r="AD545" s="488"/>
      <c r="AE545" s="488"/>
      <c r="AF545" s="488"/>
      <c r="AG545" s="488"/>
      <c r="AH545" s="488"/>
      <c r="AI545" s="488"/>
      <c r="AJ545" s="488"/>
    </row>
    <row r="546" spans="1:36" s="496" customFormat="1">
      <c r="A546" s="488"/>
      <c r="C546" s="488"/>
      <c r="D546" s="488"/>
      <c r="E546" s="488"/>
      <c r="F546" s="488"/>
      <c r="G546" s="488"/>
      <c r="H546" s="488"/>
      <c r="I546" s="488"/>
      <c r="J546" s="488"/>
      <c r="K546" s="488"/>
      <c r="L546" s="488"/>
      <c r="M546" s="488"/>
      <c r="N546" s="488"/>
      <c r="O546" s="488"/>
      <c r="P546" s="488"/>
      <c r="Q546" s="488"/>
      <c r="R546" s="488"/>
      <c r="S546" s="488"/>
      <c r="T546" s="488"/>
      <c r="U546" s="488"/>
      <c r="V546" s="488"/>
      <c r="W546" s="488"/>
      <c r="X546" s="488"/>
      <c r="Y546" s="488"/>
      <c r="Z546" s="488"/>
      <c r="AA546" s="488"/>
      <c r="AB546" s="488"/>
      <c r="AC546" s="488"/>
      <c r="AD546" s="488"/>
      <c r="AE546" s="488"/>
      <c r="AF546" s="488"/>
      <c r="AG546" s="488"/>
      <c r="AH546" s="488"/>
      <c r="AI546" s="488"/>
      <c r="AJ546" s="488"/>
    </row>
    <row r="547" spans="1:36" s="496" customFormat="1">
      <c r="A547" s="488"/>
      <c r="C547" s="488"/>
      <c r="D547" s="488"/>
      <c r="E547" s="488"/>
      <c r="F547" s="488"/>
      <c r="G547" s="488"/>
      <c r="H547" s="488"/>
      <c r="I547" s="488"/>
      <c r="J547" s="488"/>
      <c r="K547" s="488"/>
      <c r="L547" s="488"/>
      <c r="M547" s="488"/>
      <c r="N547" s="488"/>
      <c r="O547" s="488"/>
      <c r="P547" s="488"/>
      <c r="Q547" s="488"/>
      <c r="R547" s="488"/>
      <c r="S547" s="488"/>
      <c r="T547" s="488"/>
      <c r="U547" s="488"/>
      <c r="V547" s="488"/>
      <c r="W547" s="488"/>
      <c r="X547" s="488"/>
      <c r="Y547" s="488"/>
      <c r="Z547" s="488"/>
      <c r="AA547" s="488"/>
      <c r="AB547" s="488"/>
      <c r="AC547" s="488"/>
      <c r="AD547" s="488"/>
      <c r="AE547" s="488"/>
      <c r="AF547" s="488"/>
      <c r="AG547" s="488"/>
      <c r="AH547" s="488"/>
      <c r="AI547" s="488"/>
      <c r="AJ547" s="488"/>
    </row>
    <row r="548" spans="1:36" s="496" customFormat="1">
      <c r="A548" s="488"/>
      <c r="C548" s="488"/>
      <c r="D548" s="488"/>
      <c r="E548" s="488"/>
      <c r="F548" s="488"/>
      <c r="G548" s="488"/>
      <c r="H548" s="488"/>
      <c r="I548" s="488"/>
      <c r="J548" s="488"/>
      <c r="K548" s="488"/>
      <c r="L548" s="488"/>
      <c r="M548" s="488"/>
      <c r="N548" s="488"/>
      <c r="O548" s="488"/>
      <c r="P548" s="488"/>
      <c r="Q548" s="488"/>
      <c r="R548" s="488"/>
      <c r="S548" s="488"/>
      <c r="T548" s="488"/>
      <c r="U548" s="488"/>
      <c r="V548" s="488"/>
      <c r="W548" s="488"/>
      <c r="X548" s="488"/>
      <c r="Y548" s="488"/>
      <c r="Z548" s="488"/>
      <c r="AA548" s="488"/>
      <c r="AB548" s="488"/>
      <c r="AC548" s="488"/>
      <c r="AD548" s="488"/>
      <c r="AE548" s="488"/>
      <c r="AF548" s="488"/>
      <c r="AG548" s="488"/>
      <c r="AH548" s="488"/>
      <c r="AI548" s="488"/>
      <c r="AJ548" s="488"/>
    </row>
    <row r="549" spans="1:36" s="496" customFormat="1">
      <c r="A549" s="488"/>
      <c r="C549" s="488"/>
      <c r="D549" s="488"/>
      <c r="E549" s="488"/>
      <c r="F549" s="488"/>
      <c r="G549" s="488"/>
      <c r="H549" s="488"/>
      <c r="I549" s="488"/>
      <c r="J549" s="488"/>
      <c r="K549" s="488"/>
      <c r="L549" s="488"/>
      <c r="M549" s="488"/>
      <c r="N549" s="488"/>
      <c r="O549" s="488"/>
      <c r="P549" s="488"/>
      <c r="Q549" s="488"/>
      <c r="R549" s="488"/>
      <c r="S549" s="488"/>
      <c r="T549" s="488"/>
      <c r="U549" s="488"/>
      <c r="V549" s="488"/>
      <c r="W549" s="488"/>
      <c r="X549" s="488"/>
      <c r="Y549" s="488"/>
      <c r="Z549" s="488"/>
      <c r="AA549" s="488"/>
      <c r="AB549" s="488"/>
      <c r="AC549" s="488"/>
      <c r="AD549" s="488"/>
      <c r="AE549" s="488"/>
      <c r="AF549" s="488"/>
      <c r="AG549" s="488"/>
      <c r="AH549" s="488"/>
      <c r="AI549" s="488"/>
      <c r="AJ549" s="488"/>
    </row>
    <row r="550" spans="1:36" s="496" customFormat="1">
      <c r="A550" s="488"/>
      <c r="C550" s="488"/>
      <c r="D550" s="488"/>
      <c r="E550" s="488"/>
      <c r="F550" s="488"/>
      <c r="G550" s="488"/>
      <c r="H550" s="488"/>
      <c r="I550" s="488"/>
      <c r="J550" s="488"/>
      <c r="K550" s="488"/>
      <c r="L550" s="488"/>
      <c r="M550" s="488"/>
      <c r="N550" s="488"/>
      <c r="O550" s="488"/>
      <c r="P550" s="488"/>
      <c r="Q550" s="488"/>
      <c r="R550" s="488"/>
      <c r="S550" s="488"/>
      <c r="T550" s="488"/>
      <c r="U550" s="488"/>
      <c r="V550" s="488"/>
      <c r="W550" s="488"/>
      <c r="X550" s="488"/>
      <c r="Y550" s="488"/>
      <c r="Z550" s="488"/>
      <c r="AA550" s="488"/>
      <c r="AB550" s="488"/>
      <c r="AC550" s="488"/>
      <c r="AD550" s="488"/>
      <c r="AE550" s="488"/>
      <c r="AF550" s="488"/>
      <c r="AG550" s="488"/>
      <c r="AH550" s="488"/>
      <c r="AI550" s="488"/>
      <c r="AJ550" s="488"/>
    </row>
    <row r="551" spans="1:36" s="496" customFormat="1">
      <c r="A551" s="488"/>
      <c r="C551" s="488"/>
      <c r="D551" s="488"/>
      <c r="E551" s="488"/>
      <c r="F551" s="488"/>
      <c r="G551" s="488"/>
      <c r="H551" s="488"/>
      <c r="I551" s="488"/>
      <c r="J551" s="488"/>
      <c r="K551" s="488"/>
      <c r="L551" s="488"/>
      <c r="M551" s="488"/>
      <c r="N551" s="488"/>
      <c r="O551" s="488"/>
      <c r="P551" s="488"/>
      <c r="Q551" s="488"/>
      <c r="R551" s="488"/>
      <c r="S551" s="488"/>
      <c r="T551" s="488"/>
      <c r="U551" s="488"/>
      <c r="V551" s="488"/>
      <c r="W551" s="488"/>
      <c r="X551" s="488"/>
      <c r="Y551" s="488"/>
      <c r="Z551" s="488"/>
      <c r="AA551" s="488"/>
      <c r="AB551" s="488"/>
      <c r="AC551" s="488"/>
      <c r="AD551" s="488"/>
      <c r="AE551" s="488"/>
      <c r="AF551" s="488"/>
      <c r="AG551" s="488"/>
      <c r="AH551" s="488"/>
      <c r="AI551" s="488"/>
      <c r="AJ551" s="488"/>
    </row>
    <row r="552" spans="1:36" s="496" customFormat="1">
      <c r="A552" s="488"/>
      <c r="C552" s="488"/>
      <c r="D552" s="488"/>
      <c r="E552" s="488"/>
      <c r="F552" s="488"/>
      <c r="G552" s="488"/>
      <c r="H552" s="488"/>
      <c r="I552" s="488"/>
      <c r="J552" s="488"/>
      <c r="K552" s="488"/>
      <c r="L552" s="488"/>
      <c r="M552" s="488"/>
      <c r="N552" s="488"/>
      <c r="O552" s="488"/>
      <c r="P552" s="488"/>
      <c r="Q552" s="488"/>
      <c r="R552" s="488"/>
      <c r="S552" s="488"/>
      <c r="T552" s="488"/>
      <c r="U552" s="488"/>
      <c r="V552" s="488"/>
      <c r="W552" s="488"/>
      <c r="X552" s="488"/>
      <c r="Y552" s="488"/>
      <c r="Z552" s="488"/>
      <c r="AA552" s="488"/>
      <c r="AB552" s="488"/>
      <c r="AC552" s="488"/>
      <c r="AD552" s="488"/>
      <c r="AE552" s="488"/>
      <c r="AF552" s="488"/>
      <c r="AG552" s="488"/>
      <c r="AH552" s="488"/>
      <c r="AI552" s="488"/>
      <c r="AJ552" s="488"/>
    </row>
    <row r="553" spans="1:36" s="496" customFormat="1">
      <c r="A553" s="488"/>
      <c r="C553" s="488"/>
      <c r="D553" s="488"/>
      <c r="E553" s="488"/>
      <c r="F553" s="488"/>
      <c r="G553" s="488"/>
      <c r="H553" s="488"/>
      <c r="I553" s="488"/>
      <c r="J553" s="488"/>
      <c r="K553" s="488"/>
      <c r="L553" s="488"/>
      <c r="M553" s="488"/>
      <c r="N553" s="488"/>
      <c r="O553" s="488"/>
      <c r="P553" s="488"/>
      <c r="Q553" s="488"/>
      <c r="R553" s="488"/>
      <c r="S553" s="488"/>
      <c r="T553" s="488"/>
      <c r="U553" s="488"/>
      <c r="V553" s="488"/>
      <c r="W553" s="488"/>
      <c r="X553" s="488"/>
      <c r="Y553" s="488"/>
      <c r="Z553" s="488"/>
      <c r="AA553" s="488"/>
      <c r="AB553" s="488"/>
      <c r="AC553" s="488"/>
      <c r="AD553" s="488"/>
      <c r="AE553" s="488"/>
      <c r="AF553" s="488"/>
      <c r="AG553" s="488"/>
      <c r="AH553" s="488"/>
      <c r="AI553" s="488"/>
      <c r="AJ553" s="488"/>
    </row>
    <row r="554" spans="1:36" s="496" customFormat="1">
      <c r="A554" s="488"/>
      <c r="C554" s="488"/>
      <c r="D554" s="488"/>
      <c r="E554" s="488"/>
      <c r="F554" s="488"/>
      <c r="G554" s="488"/>
      <c r="H554" s="488"/>
      <c r="I554" s="488"/>
      <c r="J554" s="488"/>
      <c r="K554" s="488"/>
      <c r="L554" s="488"/>
      <c r="M554" s="488"/>
      <c r="N554" s="488"/>
      <c r="O554" s="488"/>
      <c r="P554" s="488"/>
      <c r="Q554" s="488"/>
      <c r="R554" s="488"/>
      <c r="S554" s="488"/>
      <c r="T554" s="488"/>
      <c r="U554" s="488"/>
      <c r="V554" s="488"/>
      <c r="W554" s="488"/>
      <c r="X554" s="488"/>
      <c r="Y554" s="488"/>
      <c r="Z554" s="488"/>
      <c r="AA554" s="488"/>
      <c r="AB554" s="488"/>
      <c r="AC554" s="488"/>
      <c r="AD554" s="488"/>
      <c r="AE554" s="488"/>
      <c r="AF554" s="488"/>
      <c r="AG554" s="488"/>
      <c r="AH554" s="488"/>
      <c r="AI554" s="488"/>
      <c r="AJ554" s="488"/>
    </row>
    <row r="555" spans="1:36" s="496" customFormat="1">
      <c r="A555" s="488"/>
      <c r="C555" s="488"/>
      <c r="D555" s="488"/>
      <c r="E555" s="488"/>
      <c r="F555" s="488"/>
      <c r="G555" s="488"/>
      <c r="H555" s="488"/>
      <c r="I555" s="488"/>
      <c r="J555" s="488"/>
      <c r="K555" s="488"/>
      <c r="L555" s="488"/>
      <c r="M555" s="488"/>
      <c r="N555" s="488"/>
      <c r="O555" s="488"/>
      <c r="P555" s="488"/>
      <c r="Q555" s="488"/>
      <c r="R555" s="488"/>
      <c r="S555" s="488"/>
      <c r="T555" s="488"/>
      <c r="U555" s="488"/>
      <c r="V555" s="488"/>
      <c r="W555" s="488"/>
      <c r="X555" s="488"/>
      <c r="Y555" s="488"/>
      <c r="Z555" s="488"/>
      <c r="AA555" s="488"/>
      <c r="AB555" s="488"/>
      <c r="AC555" s="488"/>
      <c r="AD555" s="488"/>
      <c r="AE555" s="488"/>
      <c r="AF555" s="488"/>
      <c r="AG555" s="488"/>
      <c r="AH555" s="488"/>
      <c r="AI555" s="488"/>
      <c r="AJ555" s="488"/>
    </row>
    <row r="556" spans="1:36" s="496" customFormat="1">
      <c r="A556" s="488"/>
      <c r="C556" s="488"/>
      <c r="D556" s="488"/>
      <c r="E556" s="488"/>
      <c r="F556" s="488"/>
      <c r="G556" s="488"/>
      <c r="H556" s="488"/>
      <c r="I556" s="488"/>
      <c r="J556" s="488"/>
      <c r="K556" s="488"/>
      <c r="L556" s="488"/>
      <c r="M556" s="488"/>
      <c r="N556" s="488"/>
      <c r="O556" s="488"/>
      <c r="P556" s="488"/>
      <c r="Q556" s="488"/>
      <c r="R556" s="488"/>
      <c r="S556" s="488"/>
      <c r="T556" s="488"/>
      <c r="U556" s="488"/>
      <c r="V556" s="488"/>
      <c r="W556" s="488"/>
      <c r="X556" s="488"/>
      <c r="Y556" s="488"/>
      <c r="Z556" s="488"/>
      <c r="AA556" s="488"/>
      <c r="AB556" s="488"/>
      <c r="AC556" s="488"/>
      <c r="AD556" s="488"/>
      <c r="AE556" s="488"/>
      <c r="AF556" s="488"/>
      <c r="AG556" s="488"/>
      <c r="AH556" s="488"/>
      <c r="AI556" s="488"/>
      <c r="AJ556" s="488"/>
    </row>
    <row r="557" spans="1:36" s="496" customFormat="1">
      <c r="A557" s="488"/>
      <c r="C557" s="488"/>
      <c r="D557" s="488"/>
      <c r="E557" s="488"/>
      <c r="F557" s="488"/>
      <c r="G557" s="488"/>
      <c r="H557" s="488"/>
      <c r="I557" s="488"/>
      <c r="J557" s="488"/>
      <c r="K557" s="488"/>
      <c r="L557" s="488"/>
      <c r="M557" s="488"/>
      <c r="N557" s="488"/>
      <c r="O557" s="488"/>
      <c r="P557" s="488"/>
      <c r="Q557" s="488"/>
      <c r="R557" s="488"/>
      <c r="S557" s="488"/>
      <c r="T557" s="488"/>
      <c r="U557" s="488"/>
      <c r="V557" s="488"/>
      <c r="W557" s="488"/>
      <c r="X557" s="488"/>
      <c r="Y557" s="488"/>
      <c r="Z557" s="488"/>
      <c r="AA557" s="488"/>
      <c r="AB557" s="488"/>
      <c r="AC557" s="488"/>
      <c r="AD557" s="488"/>
      <c r="AE557" s="488"/>
      <c r="AF557" s="488"/>
      <c r="AG557" s="488"/>
      <c r="AH557" s="488"/>
      <c r="AI557" s="488"/>
      <c r="AJ557" s="488"/>
    </row>
    <row r="558" spans="1:36" s="496" customFormat="1">
      <c r="A558" s="488"/>
      <c r="C558" s="488"/>
      <c r="D558" s="488"/>
      <c r="E558" s="488"/>
      <c r="F558" s="488"/>
      <c r="G558" s="488"/>
      <c r="H558" s="488"/>
      <c r="I558" s="488"/>
      <c r="J558" s="488"/>
      <c r="K558" s="488"/>
      <c r="L558" s="488"/>
      <c r="M558" s="488"/>
      <c r="N558" s="488"/>
      <c r="O558" s="488"/>
      <c r="P558" s="488"/>
      <c r="Q558" s="488"/>
      <c r="R558" s="488"/>
      <c r="S558" s="488"/>
      <c r="T558" s="488"/>
      <c r="U558" s="488"/>
      <c r="V558" s="488"/>
      <c r="W558" s="488"/>
      <c r="X558" s="488"/>
      <c r="Y558" s="488"/>
      <c r="Z558" s="488"/>
      <c r="AA558" s="488"/>
      <c r="AB558" s="488"/>
      <c r="AC558" s="488"/>
      <c r="AD558" s="488"/>
      <c r="AE558" s="488"/>
      <c r="AF558" s="488"/>
      <c r="AG558" s="488"/>
      <c r="AH558" s="488"/>
      <c r="AI558" s="488"/>
      <c r="AJ558" s="488"/>
    </row>
    <row r="559" spans="1:36" s="496" customFormat="1">
      <c r="A559" s="488"/>
      <c r="C559" s="488"/>
      <c r="D559" s="488"/>
      <c r="E559" s="488"/>
      <c r="F559" s="488"/>
      <c r="G559" s="488"/>
      <c r="H559" s="488"/>
      <c r="I559" s="488"/>
      <c r="J559" s="488"/>
      <c r="K559" s="488"/>
      <c r="L559" s="488"/>
      <c r="M559" s="488"/>
      <c r="N559" s="488"/>
      <c r="O559" s="488"/>
      <c r="P559" s="488"/>
      <c r="Q559" s="488"/>
      <c r="R559" s="488"/>
      <c r="S559" s="488"/>
      <c r="T559" s="488"/>
      <c r="U559" s="488"/>
      <c r="V559" s="488"/>
      <c r="W559" s="488"/>
      <c r="X559" s="488"/>
      <c r="Y559" s="488"/>
      <c r="Z559" s="488"/>
      <c r="AA559" s="488"/>
      <c r="AB559" s="488"/>
      <c r="AC559" s="488"/>
      <c r="AD559" s="488"/>
      <c r="AE559" s="488"/>
      <c r="AF559" s="488"/>
      <c r="AG559" s="488"/>
      <c r="AH559" s="488"/>
      <c r="AI559" s="488"/>
      <c r="AJ559" s="488"/>
    </row>
    <row r="560" spans="1:36" s="496" customFormat="1">
      <c r="A560" s="488"/>
      <c r="C560" s="488"/>
      <c r="D560" s="488"/>
      <c r="E560" s="488"/>
      <c r="F560" s="488"/>
      <c r="G560" s="488"/>
      <c r="H560" s="488"/>
      <c r="I560" s="488"/>
      <c r="J560" s="488"/>
      <c r="K560" s="488"/>
      <c r="L560" s="488"/>
      <c r="M560" s="488"/>
      <c r="N560" s="488"/>
      <c r="O560" s="488"/>
      <c r="P560" s="488"/>
      <c r="Q560" s="488"/>
      <c r="R560" s="488"/>
      <c r="S560" s="488"/>
      <c r="T560" s="488"/>
      <c r="U560" s="488"/>
      <c r="V560" s="488"/>
      <c r="W560" s="488"/>
      <c r="X560" s="488"/>
      <c r="Y560" s="488"/>
      <c r="Z560" s="488"/>
      <c r="AA560" s="488"/>
      <c r="AB560" s="488"/>
      <c r="AC560" s="488"/>
      <c r="AD560" s="488"/>
      <c r="AE560" s="488"/>
      <c r="AF560" s="488"/>
      <c r="AG560" s="488"/>
      <c r="AH560" s="488"/>
      <c r="AI560" s="488"/>
      <c r="AJ560" s="488"/>
    </row>
    <row r="561" spans="1:36" s="496" customFormat="1">
      <c r="A561" s="488"/>
      <c r="C561" s="488"/>
      <c r="D561" s="488"/>
      <c r="E561" s="488"/>
      <c r="F561" s="488"/>
      <c r="G561" s="488"/>
      <c r="H561" s="488"/>
      <c r="I561" s="488"/>
      <c r="J561" s="488"/>
      <c r="K561" s="488"/>
      <c r="L561" s="488"/>
      <c r="M561" s="488"/>
      <c r="N561" s="488"/>
      <c r="O561" s="488"/>
      <c r="P561" s="488"/>
      <c r="Q561" s="488"/>
      <c r="R561" s="488"/>
      <c r="S561" s="488"/>
      <c r="T561" s="488"/>
      <c r="U561" s="488"/>
      <c r="V561" s="488"/>
      <c r="W561" s="488"/>
      <c r="X561" s="488"/>
      <c r="Y561" s="488"/>
      <c r="Z561" s="488"/>
      <c r="AA561" s="488"/>
      <c r="AB561" s="488"/>
      <c r="AC561" s="488"/>
      <c r="AD561" s="488"/>
      <c r="AE561" s="488"/>
      <c r="AF561" s="488"/>
      <c r="AG561" s="488"/>
      <c r="AH561" s="488"/>
      <c r="AI561" s="488"/>
      <c r="AJ561" s="488"/>
    </row>
    <row r="562" spans="1:36" s="496" customFormat="1">
      <c r="A562" s="488"/>
      <c r="C562" s="488"/>
      <c r="D562" s="488"/>
      <c r="E562" s="488"/>
      <c r="F562" s="488"/>
      <c r="G562" s="488"/>
      <c r="H562" s="488"/>
      <c r="I562" s="488"/>
      <c r="J562" s="488"/>
      <c r="K562" s="488"/>
      <c r="L562" s="488"/>
      <c r="M562" s="488"/>
      <c r="N562" s="488"/>
      <c r="O562" s="488"/>
      <c r="P562" s="488"/>
      <c r="Q562" s="488"/>
      <c r="R562" s="488"/>
      <c r="S562" s="488"/>
      <c r="T562" s="488"/>
      <c r="U562" s="488"/>
      <c r="V562" s="488"/>
      <c r="W562" s="488"/>
      <c r="X562" s="488"/>
      <c r="Y562" s="488"/>
      <c r="Z562" s="488"/>
      <c r="AA562" s="488"/>
      <c r="AB562" s="488"/>
      <c r="AC562" s="488"/>
      <c r="AD562" s="488"/>
      <c r="AE562" s="488"/>
      <c r="AF562" s="488"/>
      <c r="AG562" s="488"/>
      <c r="AH562" s="488"/>
      <c r="AI562" s="488"/>
      <c r="AJ562" s="488"/>
    </row>
    <row r="563" spans="1:36" s="496" customFormat="1">
      <c r="A563" s="488"/>
      <c r="C563" s="488"/>
      <c r="D563" s="488"/>
      <c r="E563" s="488"/>
      <c r="F563" s="488"/>
      <c r="G563" s="488"/>
      <c r="H563" s="488"/>
      <c r="I563" s="488"/>
      <c r="J563" s="488"/>
      <c r="K563" s="488"/>
      <c r="L563" s="488"/>
      <c r="M563" s="488"/>
      <c r="N563" s="488"/>
      <c r="O563" s="488"/>
      <c r="P563" s="488"/>
      <c r="Q563" s="488"/>
      <c r="R563" s="488"/>
      <c r="S563" s="488"/>
      <c r="T563" s="488"/>
      <c r="U563" s="488"/>
      <c r="V563" s="488"/>
      <c r="W563" s="488"/>
      <c r="X563" s="488"/>
      <c r="Y563" s="488"/>
      <c r="Z563" s="488"/>
      <c r="AA563" s="488"/>
      <c r="AB563" s="488"/>
      <c r="AC563" s="488"/>
      <c r="AD563" s="488"/>
      <c r="AE563" s="488"/>
      <c r="AF563" s="488"/>
      <c r="AG563" s="488"/>
      <c r="AH563" s="488"/>
      <c r="AI563" s="488"/>
      <c r="AJ563" s="488"/>
    </row>
    <row r="564" spans="1:36" s="496" customFormat="1">
      <c r="A564" s="488"/>
      <c r="C564" s="488"/>
      <c r="D564" s="488"/>
      <c r="E564" s="488"/>
      <c r="F564" s="488"/>
      <c r="G564" s="488"/>
      <c r="H564" s="488"/>
      <c r="I564" s="488"/>
      <c r="J564" s="488"/>
      <c r="K564" s="488"/>
      <c r="L564" s="488"/>
      <c r="M564" s="488"/>
      <c r="N564" s="488"/>
      <c r="O564" s="488"/>
      <c r="P564" s="488"/>
      <c r="Q564" s="488"/>
      <c r="R564" s="488"/>
      <c r="S564" s="488"/>
      <c r="T564" s="488"/>
      <c r="U564" s="488"/>
      <c r="V564" s="488"/>
      <c r="W564" s="488"/>
      <c r="X564" s="488"/>
      <c r="Y564" s="488"/>
      <c r="Z564" s="488"/>
      <c r="AA564" s="488"/>
      <c r="AB564" s="488"/>
      <c r="AC564" s="488"/>
      <c r="AD564" s="488"/>
      <c r="AE564" s="488"/>
      <c r="AF564" s="488"/>
      <c r="AG564" s="488"/>
      <c r="AH564" s="488"/>
      <c r="AI564" s="488"/>
      <c r="AJ564" s="488"/>
    </row>
    <row r="565" spans="1:36" s="496" customFormat="1">
      <c r="A565" s="488"/>
      <c r="C565" s="488"/>
      <c r="D565" s="488"/>
      <c r="E565" s="488"/>
      <c r="F565" s="488"/>
      <c r="G565" s="488"/>
      <c r="H565" s="488"/>
      <c r="I565" s="488"/>
      <c r="J565" s="488"/>
      <c r="K565" s="488"/>
      <c r="L565" s="488"/>
      <c r="M565" s="488"/>
      <c r="N565" s="488"/>
      <c r="O565" s="488"/>
      <c r="P565" s="488"/>
      <c r="Q565" s="488"/>
      <c r="R565" s="488"/>
      <c r="S565" s="488"/>
      <c r="T565" s="488"/>
      <c r="U565" s="488"/>
      <c r="V565" s="488"/>
      <c r="W565" s="488"/>
      <c r="X565" s="488"/>
      <c r="Y565" s="488"/>
      <c r="Z565" s="488"/>
      <c r="AA565" s="488"/>
      <c r="AB565" s="488"/>
      <c r="AC565" s="488"/>
      <c r="AD565" s="488"/>
      <c r="AE565" s="488"/>
      <c r="AF565" s="488"/>
      <c r="AG565" s="488"/>
      <c r="AH565" s="488"/>
      <c r="AI565" s="488"/>
      <c r="AJ565" s="488"/>
    </row>
    <row r="566" spans="1:36" s="496" customFormat="1">
      <c r="A566" s="488"/>
      <c r="C566" s="488"/>
      <c r="D566" s="488"/>
      <c r="E566" s="488"/>
      <c r="F566" s="488"/>
      <c r="G566" s="488"/>
      <c r="H566" s="488"/>
      <c r="I566" s="488"/>
      <c r="J566" s="488"/>
      <c r="K566" s="488"/>
      <c r="L566" s="488"/>
      <c r="M566" s="488"/>
      <c r="N566" s="488"/>
      <c r="O566" s="488"/>
      <c r="P566" s="488"/>
      <c r="Q566" s="488"/>
      <c r="R566" s="488"/>
      <c r="S566" s="488"/>
      <c r="T566" s="488"/>
      <c r="U566" s="488"/>
      <c r="V566" s="488"/>
      <c r="W566" s="488"/>
      <c r="X566" s="488"/>
      <c r="Y566" s="488"/>
      <c r="Z566" s="488"/>
      <c r="AA566" s="488"/>
      <c r="AB566" s="488"/>
      <c r="AC566" s="488"/>
      <c r="AD566" s="488"/>
      <c r="AE566" s="488"/>
      <c r="AF566" s="488"/>
      <c r="AG566" s="488"/>
      <c r="AH566" s="488"/>
      <c r="AI566" s="488"/>
      <c r="AJ566" s="488"/>
    </row>
    <row r="567" spans="1:36" s="496" customFormat="1">
      <c r="A567" s="488"/>
      <c r="C567" s="488"/>
      <c r="D567" s="488"/>
      <c r="E567" s="488"/>
      <c r="F567" s="488"/>
      <c r="G567" s="488"/>
      <c r="H567" s="488"/>
      <c r="I567" s="488"/>
      <c r="J567" s="488"/>
      <c r="K567" s="488"/>
      <c r="L567" s="488"/>
      <c r="M567" s="488"/>
      <c r="N567" s="488"/>
      <c r="O567" s="488"/>
      <c r="P567" s="488"/>
      <c r="Q567" s="488"/>
      <c r="R567" s="488"/>
      <c r="S567" s="488"/>
      <c r="T567" s="488"/>
      <c r="U567" s="488"/>
      <c r="V567" s="488"/>
      <c r="W567" s="488"/>
      <c r="X567" s="488"/>
      <c r="Y567" s="488"/>
      <c r="Z567" s="488"/>
      <c r="AA567" s="488"/>
      <c r="AB567" s="488"/>
      <c r="AC567" s="488"/>
      <c r="AD567" s="488"/>
      <c r="AE567" s="488"/>
      <c r="AF567" s="488"/>
      <c r="AG567" s="488"/>
      <c r="AH567" s="488"/>
      <c r="AI567" s="488"/>
      <c r="AJ567" s="488"/>
    </row>
    <row r="568" spans="1:36" s="496" customFormat="1">
      <c r="A568" s="488"/>
      <c r="C568" s="488"/>
      <c r="D568" s="488"/>
      <c r="E568" s="488"/>
      <c r="F568" s="488"/>
      <c r="G568" s="488"/>
      <c r="H568" s="488"/>
      <c r="I568" s="488"/>
      <c r="J568" s="488"/>
      <c r="K568" s="488"/>
      <c r="L568" s="488"/>
      <c r="M568" s="488"/>
      <c r="N568" s="488"/>
      <c r="O568" s="488"/>
      <c r="P568" s="488"/>
      <c r="Q568" s="488"/>
      <c r="R568" s="488"/>
      <c r="S568" s="488"/>
      <c r="T568" s="488"/>
      <c r="U568" s="488"/>
      <c r="V568" s="488"/>
      <c r="W568" s="488"/>
      <c r="X568" s="488"/>
      <c r="Y568" s="488"/>
      <c r="Z568" s="488"/>
      <c r="AA568" s="488"/>
      <c r="AB568" s="488"/>
      <c r="AC568" s="488"/>
      <c r="AD568" s="488"/>
      <c r="AE568" s="488"/>
      <c r="AF568" s="488"/>
      <c r="AG568" s="488"/>
      <c r="AH568" s="488"/>
      <c r="AI568" s="488"/>
      <c r="AJ568" s="488"/>
    </row>
    <row r="569" spans="1:36" s="496" customFormat="1">
      <c r="A569" s="488"/>
      <c r="C569" s="488"/>
      <c r="D569" s="488"/>
      <c r="E569" s="488"/>
      <c r="F569" s="488"/>
      <c r="G569" s="488"/>
      <c r="H569" s="488"/>
      <c r="I569" s="488"/>
      <c r="J569" s="488"/>
      <c r="K569" s="488"/>
      <c r="L569" s="488"/>
      <c r="M569" s="488"/>
      <c r="N569" s="488"/>
      <c r="O569" s="488"/>
      <c r="P569" s="488"/>
      <c r="Q569" s="488"/>
      <c r="R569" s="488"/>
      <c r="S569" s="488"/>
      <c r="T569" s="488"/>
      <c r="U569" s="488"/>
      <c r="V569" s="488"/>
      <c r="W569" s="488"/>
      <c r="X569" s="488"/>
      <c r="Y569" s="488"/>
      <c r="Z569" s="488"/>
      <c r="AA569" s="488"/>
      <c r="AB569" s="488"/>
      <c r="AC569" s="488"/>
      <c r="AD569" s="488"/>
      <c r="AE569" s="488"/>
      <c r="AF569" s="488"/>
      <c r="AG569" s="488"/>
      <c r="AH569" s="488"/>
      <c r="AI569" s="488"/>
      <c r="AJ569" s="488"/>
    </row>
    <row r="570" spans="1:36" s="496" customFormat="1">
      <c r="A570" s="488"/>
      <c r="C570" s="488"/>
      <c r="D570" s="488"/>
      <c r="E570" s="488"/>
      <c r="F570" s="488"/>
      <c r="G570" s="488"/>
      <c r="H570" s="488"/>
      <c r="I570" s="488"/>
      <c r="J570" s="488"/>
      <c r="K570" s="488"/>
      <c r="L570" s="488"/>
      <c r="M570" s="488"/>
      <c r="N570" s="488"/>
      <c r="O570" s="488"/>
      <c r="P570" s="488"/>
      <c r="Q570" s="488"/>
      <c r="R570" s="488"/>
      <c r="S570" s="488"/>
      <c r="T570" s="488"/>
      <c r="U570" s="488"/>
      <c r="V570" s="488"/>
      <c r="W570" s="488"/>
      <c r="X570" s="488"/>
      <c r="Y570" s="488"/>
      <c r="Z570" s="488"/>
      <c r="AA570" s="488"/>
      <c r="AB570" s="488"/>
      <c r="AC570" s="488"/>
      <c r="AD570" s="488"/>
      <c r="AE570" s="488"/>
      <c r="AF570" s="488"/>
      <c r="AG570" s="488"/>
      <c r="AH570" s="488"/>
      <c r="AI570" s="488"/>
      <c r="AJ570" s="488"/>
    </row>
    <row r="571" spans="1:36" s="496" customFormat="1">
      <c r="A571" s="488"/>
      <c r="C571" s="488"/>
      <c r="D571" s="488"/>
      <c r="E571" s="488"/>
      <c r="F571" s="488"/>
      <c r="G571" s="488"/>
      <c r="H571" s="488"/>
      <c r="I571" s="488"/>
      <c r="J571" s="488"/>
      <c r="K571" s="488"/>
      <c r="L571" s="488"/>
      <c r="M571" s="488"/>
      <c r="N571" s="488"/>
      <c r="O571" s="488"/>
      <c r="P571" s="488"/>
      <c r="Q571" s="488"/>
      <c r="R571" s="488"/>
      <c r="S571" s="488"/>
      <c r="T571" s="488"/>
      <c r="U571" s="488"/>
      <c r="V571" s="488"/>
      <c r="W571" s="488"/>
      <c r="X571" s="488"/>
      <c r="Y571" s="488"/>
      <c r="Z571" s="488"/>
      <c r="AA571" s="488"/>
      <c r="AB571" s="488"/>
      <c r="AC571" s="488"/>
      <c r="AD571" s="488"/>
      <c r="AE571" s="488"/>
      <c r="AF571" s="488"/>
      <c r="AG571" s="488"/>
      <c r="AH571" s="488"/>
      <c r="AI571" s="488"/>
      <c r="AJ571" s="488"/>
    </row>
    <row r="572" spans="1:36" s="496" customFormat="1">
      <c r="A572" s="488"/>
      <c r="C572" s="488"/>
      <c r="D572" s="488"/>
      <c r="E572" s="488"/>
      <c r="F572" s="488"/>
      <c r="G572" s="488"/>
      <c r="H572" s="488"/>
      <c r="I572" s="488"/>
      <c r="J572" s="488"/>
      <c r="K572" s="488"/>
      <c r="L572" s="488"/>
      <c r="M572" s="488"/>
      <c r="N572" s="488"/>
      <c r="O572" s="488"/>
      <c r="P572" s="488"/>
      <c r="Q572" s="488"/>
      <c r="R572" s="488"/>
      <c r="S572" s="488"/>
      <c r="T572" s="488"/>
      <c r="U572" s="488"/>
      <c r="V572" s="488"/>
      <c r="W572" s="488"/>
      <c r="X572" s="488"/>
      <c r="Y572" s="488"/>
      <c r="Z572" s="488"/>
      <c r="AA572" s="488"/>
      <c r="AB572" s="488"/>
      <c r="AC572" s="488"/>
      <c r="AD572" s="488"/>
      <c r="AE572" s="488"/>
      <c r="AF572" s="488"/>
      <c r="AG572" s="488"/>
      <c r="AH572" s="488"/>
      <c r="AI572" s="488"/>
      <c r="AJ572" s="488"/>
    </row>
    <row r="573" spans="1:36" s="496" customFormat="1">
      <c r="A573" s="488"/>
      <c r="C573" s="488"/>
      <c r="D573" s="488"/>
      <c r="E573" s="488"/>
      <c r="F573" s="488"/>
      <c r="G573" s="488"/>
      <c r="H573" s="488"/>
      <c r="I573" s="488"/>
      <c r="J573" s="488"/>
      <c r="K573" s="488"/>
      <c r="L573" s="488"/>
      <c r="M573" s="488"/>
      <c r="N573" s="488"/>
      <c r="O573" s="488"/>
      <c r="P573" s="488"/>
      <c r="Q573" s="488"/>
      <c r="R573" s="488"/>
      <c r="S573" s="488"/>
      <c r="T573" s="488"/>
      <c r="U573" s="488"/>
      <c r="V573" s="488"/>
      <c r="W573" s="488"/>
      <c r="X573" s="488"/>
      <c r="Y573" s="488"/>
      <c r="Z573" s="488"/>
      <c r="AA573" s="488"/>
      <c r="AB573" s="488"/>
      <c r="AC573" s="488"/>
      <c r="AD573" s="488"/>
      <c r="AE573" s="488"/>
      <c r="AF573" s="488"/>
      <c r="AG573" s="488"/>
      <c r="AH573" s="488"/>
      <c r="AI573" s="488"/>
      <c r="AJ573" s="488"/>
    </row>
    <row r="574" spans="1:36" s="496" customFormat="1">
      <c r="A574" s="488"/>
      <c r="C574" s="488"/>
      <c r="D574" s="488"/>
      <c r="E574" s="488"/>
      <c r="F574" s="488"/>
      <c r="G574" s="488"/>
      <c r="H574" s="488"/>
      <c r="I574" s="488"/>
      <c r="J574" s="488"/>
      <c r="K574" s="488"/>
      <c r="L574" s="488"/>
      <c r="M574" s="488"/>
      <c r="N574" s="488"/>
      <c r="O574" s="488"/>
      <c r="P574" s="488"/>
      <c r="Q574" s="488"/>
      <c r="R574" s="488"/>
      <c r="S574" s="488"/>
      <c r="T574" s="488"/>
      <c r="U574" s="488"/>
      <c r="V574" s="488"/>
      <c r="W574" s="488"/>
      <c r="X574" s="488"/>
      <c r="Y574" s="488"/>
      <c r="Z574" s="488"/>
      <c r="AA574" s="488"/>
      <c r="AB574" s="488"/>
      <c r="AC574" s="488"/>
      <c r="AD574" s="488"/>
      <c r="AE574" s="488"/>
      <c r="AF574" s="488"/>
      <c r="AG574" s="488"/>
      <c r="AH574" s="488"/>
      <c r="AI574" s="488"/>
      <c r="AJ574" s="488"/>
    </row>
    <row r="575" spans="1:36" s="496" customFormat="1">
      <c r="A575" s="488"/>
      <c r="C575" s="488"/>
      <c r="D575" s="488"/>
      <c r="E575" s="488"/>
      <c r="F575" s="488"/>
      <c r="G575" s="488"/>
      <c r="H575" s="488"/>
      <c r="I575" s="488"/>
      <c r="J575" s="488"/>
      <c r="K575" s="488"/>
      <c r="L575" s="488"/>
      <c r="M575" s="488"/>
      <c r="N575" s="488"/>
      <c r="O575" s="488"/>
      <c r="P575" s="488"/>
      <c r="Q575" s="488"/>
      <c r="R575" s="488"/>
      <c r="S575" s="488"/>
      <c r="T575" s="488"/>
      <c r="U575" s="488"/>
      <c r="V575" s="488"/>
      <c r="W575" s="488"/>
      <c r="X575" s="488"/>
      <c r="Y575" s="488"/>
      <c r="Z575" s="488"/>
      <c r="AA575" s="488"/>
      <c r="AB575" s="488"/>
      <c r="AC575" s="488"/>
      <c r="AD575" s="488"/>
      <c r="AE575" s="488"/>
      <c r="AF575" s="488"/>
      <c r="AG575" s="488"/>
      <c r="AH575" s="488"/>
      <c r="AI575" s="488"/>
      <c r="AJ575" s="488"/>
    </row>
    <row r="576" spans="1:36" s="496" customFormat="1">
      <c r="A576" s="488"/>
      <c r="C576" s="488"/>
      <c r="D576" s="488"/>
      <c r="E576" s="488"/>
      <c r="F576" s="488"/>
      <c r="G576" s="488"/>
      <c r="H576" s="488"/>
      <c r="I576" s="488"/>
      <c r="J576" s="488"/>
      <c r="K576" s="488"/>
      <c r="L576" s="488"/>
      <c r="M576" s="488"/>
      <c r="N576" s="488"/>
      <c r="O576" s="488"/>
      <c r="P576" s="488"/>
      <c r="Q576" s="488"/>
      <c r="R576" s="488"/>
      <c r="S576" s="488"/>
      <c r="T576" s="488"/>
      <c r="U576" s="488"/>
      <c r="V576" s="488"/>
      <c r="W576" s="488"/>
      <c r="X576" s="488"/>
      <c r="Y576" s="488"/>
      <c r="Z576" s="488"/>
      <c r="AA576" s="488"/>
      <c r="AB576" s="488"/>
      <c r="AC576" s="488"/>
      <c r="AD576" s="488"/>
      <c r="AE576" s="488"/>
      <c r="AF576" s="488"/>
      <c r="AG576" s="488"/>
      <c r="AH576" s="488"/>
      <c r="AI576" s="488"/>
      <c r="AJ576" s="488"/>
    </row>
    <row r="577" spans="1:36" s="496" customFormat="1">
      <c r="A577" s="488"/>
      <c r="C577" s="488"/>
      <c r="D577" s="488"/>
      <c r="E577" s="488"/>
      <c r="F577" s="488"/>
      <c r="G577" s="488"/>
      <c r="H577" s="488"/>
      <c r="I577" s="488"/>
      <c r="J577" s="488"/>
      <c r="K577" s="488"/>
      <c r="L577" s="488"/>
      <c r="M577" s="488"/>
      <c r="N577" s="488"/>
      <c r="O577" s="488"/>
      <c r="P577" s="488"/>
      <c r="Q577" s="488"/>
      <c r="R577" s="488"/>
      <c r="S577" s="488"/>
      <c r="T577" s="488"/>
      <c r="U577" s="488"/>
      <c r="V577" s="488"/>
      <c r="W577" s="488"/>
      <c r="X577" s="488"/>
      <c r="Y577" s="488"/>
      <c r="Z577" s="488"/>
      <c r="AA577" s="488"/>
      <c r="AB577" s="488"/>
      <c r="AC577" s="488"/>
      <c r="AD577" s="488"/>
      <c r="AE577" s="488"/>
      <c r="AF577" s="488"/>
      <c r="AG577" s="488"/>
      <c r="AH577" s="488"/>
      <c r="AI577" s="488"/>
      <c r="AJ577" s="488"/>
    </row>
    <row r="578" spans="1:36" s="496" customFormat="1">
      <c r="A578" s="488"/>
      <c r="C578" s="488"/>
      <c r="D578" s="488"/>
      <c r="E578" s="488"/>
      <c r="F578" s="488"/>
      <c r="G578" s="488"/>
      <c r="H578" s="488"/>
      <c r="I578" s="488"/>
      <c r="J578" s="488"/>
      <c r="K578" s="488"/>
      <c r="L578" s="488"/>
      <c r="M578" s="488"/>
      <c r="N578" s="488"/>
      <c r="O578" s="488"/>
      <c r="P578" s="488"/>
      <c r="Q578" s="488"/>
      <c r="R578" s="488"/>
      <c r="S578" s="488"/>
      <c r="T578" s="488"/>
      <c r="U578" s="488"/>
      <c r="V578" s="488"/>
      <c r="W578" s="488"/>
      <c r="X578" s="488"/>
      <c r="Y578" s="488"/>
      <c r="Z578" s="488"/>
      <c r="AA578" s="488"/>
      <c r="AB578" s="488"/>
      <c r="AC578" s="488"/>
      <c r="AD578" s="488"/>
      <c r="AE578" s="488"/>
      <c r="AF578" s="488"/>
      <c r="AG578" s="488"/>
      <c r="AH578" s="488"/>
      <c r="AI578" s="488"/>
      <c r="AJ578" s="488"/>
    </row>
    <row r="579" spans="1:36" s="496" customFormat="1">
      <c r="A579" s="488"/>
      <c r="C579" s="488"/>
      <c r="D579" s="488"/>
      <c r="E579" s="488"/>
      <c r="F579" s="488"/>
      <c r="G579" s="488"/>
      <c r="H579" s="488"/>
      <c r="I579" s="488"/>
      <c r="J579" s="488"/>
      <c r="K579" s="488"/>
      <c r="L579" s="488"/>
      <c r="M579" s="488"/>
      <c r="N579" s="488"/>
      <c r="O579" s="488"/>
      <c r="P579" s="488"/>
      <c r="Q579" s="488"/>
      <c r="R579" s="488"/>
      <c r="S579" s="488"/>
      <c r="T579" s="488"/>
      <c r="U579" s="488"/>
      <c r="V579" s="488"/>
      <c r="W579" s="488"/>
      <c r="X579" s="488"/>
      <c r="Y579" s="488"/>
      <c r="Z579" s="488"/>
      <c r="AA579" s="488"/>
      <c r="AB579" s="488"/>
      <c r="AC579" s="488"/>
      <c r="AD579" s="488"/>
      <c r="AE579" s="488"/>
      <c r="AF579" s="488"/>
      <c r="AG579" s="488"/>
      <c r="AH579" s="488"/>
      <c r="AI579" s="488"/>
      <c r="AJ579" s="488"/>
    </row>
    <row r="580" spans="1:36" s="496" customFormat="1">
      <c r="A580" s="488"/>
      <c r="C580" s="488"/>
      <c r="D580" s="488"/>
      <c r="E580" s="488"/>
      <c r="F580" s="488"/>
      <c r="G580" s="488"/>
      <c r="H580" s="488"/>
      <c r="I580" s="488"/>
      <c r="J580" s="488"/>
      <c r="K580" s="488"/>
      <c r="L580" s="488"/>
      <c r="M580" s="488"/>
      <c r="N580" s="488"/>
      <c r="O580" s="488"/>
      <c r="P580" s="488"/>
      <c r="Q580" s="488"/>
      <c r="R580" s="488"/>
      <c r="S580" s="488"/>
      <c r="T580" s="488"/>
      <c r="U580" s="488"/>
      <c r="V580" s="488"/>
      <c r="W580" s="488"/>
      <c r="X580" s="488"/>
      <c r="Y580" s="488"/>
      <c r="Z580" s="488"/>
      <c r="AA580" s="488"/>
      <c r="AB580" s="488"/>
      <c r="AC580" s="488"/>
      <c r="AD580" s="488"/>
      <c r="AE580" s="488"/>
      <c r="AF580" s="488"/>
      <c r="AG580" s="488"/>
      <c r="AH580" s="488"/>
      <c r="AI580" s="488"/>
      <c r="AJ580" s="488"/>
    </row>
    <row r="581" spans="1:36" s="496" customFormat="1">
      <c r="A581" s="488"/>
      <c r="C581" s="488"/>
      <c r="D581" s="488"/>
      <c r="E581" s="488"/>
      <c r="F581" s="488"/>
      <c r="G581" s="488"/>
      <c r="H581" s="488"/>
      <c r="I581" s="488"/>
      <c r="J581" s="488"/>
      <c r="K581" s="488"/>
      <c r="L581" s="488"/>
      <c r="M581" s="488"/>
      <c r="N581" s="488"/>
      <c r="O581" s="488"/>
      <c r="P581" s="488"/>
      <c r="Q581" s="488"/>
      <c r="R581" s="488"/>
      <c r="S581" s="488"/>
      <c r="T581" s="488"/>
      <c r="U581" s="488"/>
      <c r="V581" s="488"/>
      <c r="W581" s="488"/>
      <c r="X581" s="488"/>
      <c r="Y581" s="488"/>
      <c r="Z581" s="488"/>
      <c r="AA581" s="488"/>
      <c r="AB581" s="488"/>
      <c r="AC581" s="488"/>
      <c r="AD581" s="488"/>
      <c r="AE581" s="488"/>
      <c r="AF581" s="488"/>
      <c r="AG581" s="488"/>
      <c r="AH581" s="488"/>
      <c r="AI581" s="488"/>
      <c r="AJ581" s="488"/>
    </row>
    <row r="582" spans="1:36" s="496" customFormat="1">
      <c r="A582" s="488"/>
      <c r="C582" s="488"/>
      <c r="D582" s="488"/>
      <c r="E582" s="488"/>
      <c r="F582" s="488"/>
      <c r="G582" s="488"/>
      <c r="H582" s="488"/>
      <c r="I582" s="488"/>
      <c r="J582" s="488"/>
      <c r="K582" s="488"/>
      <c r="L582" s="488"/>
      <c r="M582" s="488"/>
      <c r="N582" s="488"/>
      <c r="O582" s="488"/>
      <c r="P582" s="488"/>
      <c r="Q582" s="488"/>
      <c r="R582" s="488"/>
      <c r="S582" s="488"/>
      <c r="T582" s="488"/>
      <c r="U582" s="488"/>
      <c r="V582" s="488"/>
      <c r="W582" s="488"/>
      <c r="X582" s="488"/>
      <c r="Y582" s="488"/>
      <c r="Z582" s="488"/>
      <c r="AA582" s="488"/>
      <c r="AB582" s="488"/>
      <c r="AC582" s="488"/>
      <c r="AD582" s="488"/>
      <c r="AE582" s="488"/>
      <c r="AF582" s="488"/>
      <c r="AG582" s="488"/>
      <c r="AH582" s="488"/>
      <c r="AI582" s="488"/>
      <c r="AJ582" s="488"/>
    </row>
    <row r="583" spans="1:36" s="496" customFormat="1">
      <c r="A583" s="488"/>
      <c r="C583" s="488"/>
      <c r="D583" s="488"/>
      <c r="E583" s="488"/>
      <c r="F583" s="488"/>
      <c r="G583" s="488"/>
      <c r="H583" s="488"/>
      <c r="I583" s="488"/>
      <c r="J583" s="488"/>
      <c r="K583" s="488"/>
      <c r="L583" s="488"/>
      <c r="M583" s="488"/>
      <c r="N583" s="488"/>
      <c r="O583" s="488"/>
      <c r="P583" s="488"/>
      <c r="Q583" s="488"/>
      <c r="R583" s="488"/>
      <c r="S583" s="488"/>
      <c r="T583" s="488"/>
      <c r="U583" s="488"/>
      <c r="V583" s="488"/>
      <c r="W583" s="488"/>
      <c r="X583" s="488"/>
      <c r="Y583" s="488"/>
      <c r="Z583" s="488"/>
      <c r="AA583" s="488"/>
      <c r="AB583" s="488"/>
      <c r="AC583" s="488"/>
      <c r="AD583" s="488"/>
      <c r="AE583" s="488"/>
      <c r="AF583" s="488"/>
      <c r="AG583" s="488"/>
      <c r="AH583" s="488"/>
      <c r="AI583" s="488"/>
      <c r="AJ583" s="488"/>
    </row>
    <row r="584" spans="1:36" s="496" customFormat="1">
      <c r="A584" s="488"/>
      <c r="C584" s="488"/>
      <c r="D584" s="488"/>
      <c r="E584" s="488"/>
      <c r="F584" s="488"/>
      <c r="G584" s="488"/>
      <c r="H584" s="488"/>
      <c r="I584" s="488"/>
      <c r="J584" s="488"/>
      <c r="K584" s="488"/>
      <c r="L584" s="488"/>
      <c r="M584" s="488"/>
      <c r="N584" s="488"/>
      <c r="O584" s="488"/>
      <c r="P584" s="488"/>
      <c r="Q584" s="488"/>
      <c r="R584" s="488"/>
      <c r="S584" s="488"/>
      <c r="T584" s="488"/>
      <c r="U584" s="488"/>
      <c r="V584" s="488"/>
      <c r="W584" s="488"/>
      <c r="X584" s="488"/>
      <c r="Y584" s="488"/>
      <c r="Z584" s="488"/>
      <c r="AA584" s="488"/>
      <c r="AB584" s="488"/>
      <c r="AC584" s="488"/>
      <c r="AD584" s="488"/>
      <c r="AE584" s="488"/>
      <c r="AF584" s="488"/>
      <c r="AG584" s="488"/>
      <c r="AH584" s="488"/>
      <c r="AI584" s="488"/>
      <c r="AJ584" s="488"/>
    </row>
    <row r="585" spans="1:36" s="496" customFormat="1">
      <c r="A585" s="488"/>
      <c r="C585" s="488"/>
      <c r="D585" s="488"/>
      <c r="E585" s="488"/>
      <c r="F585" s="488"/>
      <c r="G585" s="488"/>
      <c r="H585" s="488"/>
      <c r="I585" s="488"/>
      <c r="J585" s="488"/>
      <c r="K585" s="488"/>
      <c r="L585" s="488"/>
      <c r="M585" s="488"/>
      <c r="N585" s="488"/>
      <c r="O585" s="488"/>
      <c r="P585" s="488"/>
      <c r="Q585" s="488"/>
      <c r="R585" s="488"/>
      <c r="S585" s="488"/>
      <c r="T585" s="488"/>
      <c r="U585" s="488"/>
      <c r="V585" s="488"/>
      <c r="W585" s="488"/>
      <c r="X585" s="488"/>
      <c r="Y585" s="488"/>
      <c r="Z585" s="488"/>
      <c r="AA585" s="488"/>
      <c r="AB585" s="488"/>
      <c r="AC585" s="488"/>
      <c r="AD585" s="488"/>
      <c r="AE585" s="488"/>
      <c r="AF585" s="488"/>
      <c r="AG585" s="488"/>
      <c r="AH585" s="488"/>
      <c r="AI585" s="488"/>
      <c r="AJ585" s="488"/>
    </row>
    <row r="586" spans="1:36" s="496" customFormat="1">
      <c r="A586" s="488"/>
      <c r="C586" s="488"/>
      <c r="D586" s="488"/>
      <c r="E586" s="488"/>
      <c r="F586" s="488"/>
      <c r="G586" s="488"/>
      <c r="H586" s="488"/>
      <c r="I586" s="488"/>
      <c r="J586" s="488"/>
      <c r="K586" s="488"/>
      <c r="L586" s="488"/>
      <c r="M586" s="488"/>
      <c r="N586" s="488"/>
      <c r="O586" s="488"/>
      <c r="P586" s="488"/>
      <c r="Q586" s="488"/>
      <c r="R586" s="488"/>
      <c r="S586" s="488"/>
      <c r="T586" s="488"/>
      <c r="U586" s="488"/>
      <c r="V586" s="488"/>
      <c r="W586" s="488"/>
      <c r="X586" s="488"/>
      <c r="Y586" s="488"/>
      <c r="Z586" s="488"/>
      <c r="AA586" s="488"/>
      <c r="AB586" s="488"/>
      <c r="AC586" s="488"/>
      <c r="AD586" s="488"/>
      <c r="AE586" s="488"/>
      <c r="AF586" s="488"/>
      <c r="AG586" s="488"/>
      <c r="AH586" s="488"/>
      <c r="AI586" s="488"/>
      <c r="AJ586" s="488"/>
    </row>
    <row r="587" spans="1:36" s="496" customFormat="1">
      <c r="A587" s="488"/>
      <c r="C587" s="488"/>
      <c r="D587" s="488"/>
      <c r="E587" s="488"/>
      <c r="F587" s="488"/>
      <c r="G587" s="488"/>
      <c r="H587" s="488"/>
      <c r="I587" s="488"/>
      <c r="J587" s="488"/>
      <c r="K587" s="488"/>
      <c r="L587" s="488"/>
      <c r="M587" s="488"/>
      <c r="N587" s="488"/>
      <c r="O587" s="488"/>
      <c r="P587" s="488"/>
      <c r="Q587" s="488"/>
      <c r="R587" s="488"/>
      <c r="S587" s="488"/>
      <c r="T587" s="488"/>
      <c r="U587" s="488"/>
      <c r="V587" s="488"/>
      <c r="W587" s="488"/>
      <c r="X587" s="488"/>
      <c r="Y587" s="488"/>
      <c r="Z587" s="488"/>
      <c r="AA587" s="488"/>
      <c r="AB587" s="488"/>
      <c r="AC587" s="488"/>
      <c r="AD587" s="488"/>
      <c r="AE587" s="488"/>
      <c r="AF587" s="488"/>
      <c r="AG587" s="488"/>
      <c r="AH587" s="488"/>
      <c r="AI587" s="488"/>
      <c r="AJ587" s="488"/>
    </row>
    <row r="588" spans="1:36" s="496" customFormat="1">
      <c r="A588" s="488"/>
      <c r="C588" s="488"/>
      <c r="D588" s="488"/>
      <c r="E588" s="488"/>
      <c r="F588" s="488"/>
      <c r="G588" s="488"/>
      <c r="H588" s="488"/>
      <c r="I588" s="488"/>
      <c r="J588" s="488"/>
      <c r="K588" s="488"/>
      <c r="L588" s="488"/>
      <c r="M588" s="488"/>
      <c r="N588" s="488"/>
      <c r="O588" s="488"/>
      <c r="P588" s="488"/>
      <c r="Q588" s="488"/>
      <c r="R588" s="488"/>
      <c r="S588" s="488"/>
      <c r="T588" s="488"/>
      <c r="U588" s="488"/>
      <c r="V588" s="488"/>
      <c r="W588" s="488"/>
      <c r="X588" s="488"/>
      <c r="Y588" s="488"/>
      <c r="Z588" s="488"/>
      <c r="AA588" s="488"/>
      <c r="AB588" s="488"/>
      <c r="AC588" s="488"/>
      <c r="AD588" s="488"/>
      <c r="AE588" s="488"/>
      <c r="AF588" s="488"/>
      <c r="AG588" s="488"/>
      <c r="AH588" s="488"/>
      <c r="AI588" s="488"/>
      <c r="AJ588" s="488"/>
    </row>
    <row r="589" spans="1:36" s="496" customFormat="1">
      <c r="A589" s="488"/>
      <c r="C589" s="488"/>
      <c r="D589" s="488"/>
      <c r="E589" s="488"/>
      <c r="F589" s="488"/>
      <c r="G589" s="488"/>
      <c r="H589" s="488"/>
      <c r="I589" s="488"/>
      <c r="J589" s="488"/>
      <c r="K589" s="488"/>
      <c r="L589" s="488"/>
      <c r="M589" s="488"/>
      <c r="N589" s="488"/>
      <c r="O589" s="488"/>
      <c r="P589" s="488"/>
      <c r="Q589" s="488"/>
      <c r="R589" s="488"/>
      <c r="S589" s="488"/>
      <c r="T589" s="488"/>
      <c r="U589" s="488"/>
      <c r="V589" s="488"/>
      <c r="W589" s="488"/>
      <c r="X589" s="488"/>
      <c r="Y589" s="488"/>
      <c r="Z589" s="488"/>
      <c r="AA589" s="488"/>
      <c r="AB589" s="488"/>
      <c r="AC589" s="488"/>
      <c r="AD589" s="488"/>
      <c r="AE589" s="488"/>
      <c r="AF589" s="488"/>
      <c r="AG589" s="488"/>
      <c r="AH589" s="488"/>
      <c r="AI589" s="488"/>
      <c r="AJ589" s="488"/>
    </row>
    <row r="590" spans="1:36" s="496" customFormat="1">
      <c r="A590" s="488"/>
      <c r="C590" s="488"/>
      <c r="D590" s="488"/>
      <c r="E590" s="488"/>
      <c r="F590" s="488"/>
      <c r="G590" s="488"/>
      <c r="H590" s="488"/>
      <c r="I590" s="488"/>
      <c r="J590" s="488"/>
      <c r="K590" s="488"/>
      <c r="L590" s="488"/>
      <c r="M590" s="488"/>
      <c r="N590" s="488"/>
      <c r="O590" s="488"/>
      <c r="P590" s="488"/>
      <c r="Q590" s="488"/>
      <c r="R590" s="488"/>
      <c r="S590" s="488"/>
      <c r="T590" s="488"/>
      <c r="U590" s="488"/>
      <c r="V590" s="488"/>
      <c r="W590" s="488"/>
      <c r="X590" s="488"/>
      <c r="Y590" s="488"/>
      <c r="Z590" s="488"/>
      <c r="AA590" s="488"/>
      <c r="AB590" s="488"/>
      <c r="AC590" s="488"/>
      <c r="AD590" s="488"/>
      <c r="AE590" s="488"/>
      <c r="AF590" s="488"/>
      <c r="AG590" s="488"/>
      <c r="AH590" s="488"/>
      <c r="AI590" s="488"/>
      <c r="AJ590" s="488"/>
    </row>
    <row r="591" spans="1:36" s="496" customFormat="1">
      <c r="A591" s="488"/>
      <c r="C591" s="488"/>
      <c r="D591" s="488"/>
      <c r="E591" s="488"/>
      <c r="F591" s="488"/>
      <c r="G591" s="488"/>
      <c r="H591" s="488"/>
      <c r="I591" s="488"/>
      <c r="J591" s="488"/>
      <c r="K591" s="488"/>
      <c r="L591" s="488"/>
      <c r="M591" s="488"/>
      <c r="N591" s="488"/>
      <c r="O591" s="488"/>
      <c r="P591" s="488"/>
      <c r="Q591" s="488"/>
      <c r="R591" s="488"/>
      <c r="S591" s="488"/>
      <c r="T591" s="488"/>
      <c r="U591" s="488"/>
      <c r="V591" s="488"/>
      <c r="W591" s="488"/>
      <c r="X591" s="488"/>
      <c r="Y591" s="488"/>
      <c r="Z591" s="488"/>
      <c r="AA591" s="488"/>
      <c r="AB591" s="488"/>
      <c r="AC591" s="488"/>
      <c r="AD591" s="488"/>
      <c r="AE591" s="488"/>
      <c r="AF591" s="488"/>
      <c r="AG591" s="488"/>
      <c r="AH591" s="488"/>
      <c r="AI591" s="488"/>
      <c r="AJ591" s="488"/>
    </row>
    <row r="592" spans="1:36" s="496" customFormat="1">
      <c r="A592" s="488"/>
      <c r="C592" s="488"/>
      <c r="D592" s="488"/>
      <c r="E592" s="488"/>
      <c r="F592" s="488"/>
      <c r="G592" s="488"/>
      <c r="H592" s="488"/>
      <c r="I592" s="488"/>
      <c r="J592" s="488"/>
      <c r="K592" s="488"/>
      <c r="L592" s="488"/>
      <c r="M592" s="488"/>
      <c r="N592" s="488"/>
      <c r="O592" s="488"/>
      <c r="P592" s="488"/>
      <c r="Q592" s="488"/>
      <c r="R592" s="488"/>
      <c r="S592" s="488"/>
      <c r="T592" s="488"/>
      <c r="U592" s="488"/>
      <c r="V592" s="488"/>
      <c r="W592" s="488"/>
      <c r="X592" s="488"/>
      <c r="Y592" s="488"/>
      <c r="Z592" s="488"/>
      <c r="AA592" s="488"/>
      <c r="AB592" s="488"/>
      <c r="AC592" s="488"/>
      <c r="AD592" s="488"/>
      <c r="AE592" s="488"/>
      <c r="AF592" s="488"/>
      <c r="AG592" s="488"/>
      <c r="AH592" s="488"/>
      <c r="AI592" s="488"/>
      <c r="AJ592" s="488"/>
    </row>
    <row r="593" spans="1:36" s="496" customFormat="1">
      <c r="A593" s="488"/>
      <c r="C593" s="488"/>
      <c r="D593" s="488"/>
      <c r="E593" s="488"/>
      <c r="F593" s="488"/>
      <c r="G593" s="488"/>
      <c r="H593" s="488"/>
      <c r="I593" s="488"/>
      <c r="J593" s="488"/>
      <c r="K593" s="488"/>
      <c r="L593" s="488"/>
      <c r="M593" s="488"/>
      <c r="N593" s="488"/>
      <c r="O593" s="488"/>
      <c r="P593" s="488"/>
      <c r="Q593" s="488"/>
      <c r="R593" s="488"/>
      <c r="S593" s="488"/>
      <c r="T593" s="488"/>
      <c r="U593" s="488"/>
      <c r="V593" s="488"/>
      <c r="W593" s="488"/>
      <c r="X593" s="488"/>
      <c r="Y593" s="488"/>
      <c r="Z593" s="488"/>
      <c r="AA593" s="488"/>
      <c r="AB593" s="488"/>
      <c r="AC593" s="488"/>
      <c r="AD593" s="488"/>
      <c r="AE593" s="488"/>
      <c r="AF593" s="488"/>
      <c r="AG593" s="488"/>
      <c r="AH593" s="488"/>
      <c r="AI593" s="488"/>
      <c r="AJ593" s="488"/>
    </row>
    <row r="594" spans="1:36" s="496" customFormat="1">
      <c r="A594" s="488"/>
      <c r="C594" s="488"/>
      <c r="D594" s="488"/>
      <c r="E594" s="488"/>
      <c r="F594" s="488"/>
      <c r="G594" s="488"/>
      <c r="H594" s="488"/>
      <c r="I594" s="488"/>
      <c r="J594" s="488"/>
      <c r="K594" s="488"/>
      <c r="L594" s="488"/>
      <c r="M594" s="488"/>
      <c r="N594" s="488"/>
      <c r="O594" s="488"/>
      <c r="P594" s="488"/>
      <c r="Q594" s="488"/>
      <c r="R594" s="488"/>
      <c r="S594" s="488"/>
      <c r="T594" s="488"/>
      <c r="U594" s="488"/>
      <c r="V594" s="488"/>
      <c r="W594" s="488"/>
      <c r="X594" s="488"/>
      <c r="Y594" s="488"/>
      <c r="Z594" s="488"/>
      <c r="AA594" s="488"/>
      <c r="AB594" s="488"/>
      <c r="AC594" s="488"/>
      <c r="AD594" s="488"/>
      <c r="AE594" s="488"/>
      <c r="AF594" s="488"/>
      <c r="AG594" s="488"/>
      <c r="AH594" s="488"/>
      <c r="AI594" s="488"/>
      <c r="AJ594" s="488"/>
    </row>
    <row r="595" spans="1:36" s="496" customFormat="1">
      <c r="A595" s="488"/>
      <c r="C595" s="488"/>
      <c r="D595" s="488"/>
      <c r="E595" s="488"/>
      <c r="F595" s="488"/>
      <c r="G595" s="488"/>
      <c r="H595" s="488"/>
      <c r="I595" s="488"/>
      <c r="J595" s="488"/>
      <c r="K595" s="488"/>
      <c r="L595" s="488"/>
      <c r="M595" s="488"/>
      <c r="N595" s="488"/>
      <c r="O595" s="488"/>
      <c r="P595" s="488"/>
      <c r="Q595" s="488"/>
      <c r="R595" s="488"/>
      <c r="S595" s="488"/>
      <c r="T595" s="488"/>
      <c r="U595" s="488"/>
      <c r="V595" s="488"/>
      <c r="W595" s="488"/>
      <c r="X595" s="488"/>
      <c r="Y595" s="488"/>
      <c r="Z595" s="488"/>
      <c r="AA595" s="488"/>
      <c r="AB595" s="488"/>
      <c r="AC595" s="488"/>
      <c r="AD595" s="488"/>
      <c r="AE595" s="488"/>
      <c r="AF595" s="488"/>
      <c r="AG595" s="488"/>
      <c r="AH595" s="488"/>
      <c r="AI595" s="488"/>
      <c r="AJ595" s="488"/>
    </row>
    <row r="596" spans="1:36" s="496" customFormat="1">
      <c r="A596" s="488"/>
      <c r="C596" s="488"/>
      <c r="D596" s="488"/>
      <c r="E596" s="488"/>
      <c r="F596" s="488"/>
      <c r="G596" s="488"/>
      <c r="H596" s="488"/>
      <c r="I596" s="488"/>
      <c r="J596" s="488"/>
      <c r="K596" s="488"/>
      <c r="L596" s="488"/>
      <c r="M596" s="488"/>
      <c r="N596" s="488"/>
      <c r="O596" s="488"/>
      <c r="P596" s="488"/>
      <c r="Q596" s="488"/>
      <c r="R596" s="488"/>
      <c r="S596" s="488"/>
      <c r="T596" s="488"/>
      <c r="U596" s="488"/>
      <c r="V596" s="488"/>
      <c r="W596" s="488"/>
      <c r="X596" s="488"/>
      <c r="Y596" s="488"/>
      <c r="Z596" s="488"/>
      <c r="AA596" s="488"/>
      <c r="AB596" s="488"/>
      <c r="AC596" s="488"/>
      <c r="AD596" s="488"/>
      <c r="AE596" s="488"/>
      <c r="AF596" s="488"/>
      <c r="AG596" s="488"/>
      <c r="AH596" s="488"/>
      <c r="AI596" s="488"/>
      <c r="AJ596" s="488"/>
    </row>
    <row r="597" spans="1:36" s="496" customFormat="1">
      <c r="A597" s="488"/>
      <c r="C597" s="488"/>
      <c r="D597" s="488"/>
      <c r="E597" s="488"/>
      <c r="F597" s="488"/>
      <c r="G597" s="488"/>
      <c r="H597" s="488"/>
      <c r="I597" s="488"/>
      <c r="J597" s="488"/>
      <c r="K597" s="488"/>
      <c r="L597" s="488"/>
      <c r="M597" s="488"/>
      <c r="N597" s="488"/>
      <c r="O597" s="488"/>
      <c r="P597" s="488"/>
      <c r="Q597" s="488"/>
      <c r="R597" s="488"/>
      <c r="S597" s="488"/>
      <c r="T597" s="488"/>
      <c r="U597" s="488"/>
      <c r="V597" s="488"/>
      <c r="W597" s="488"/>
      <c r="X597" s="488"/>
      <c r="Y597" s="488"/>
      <c r="Z597" s="488"/>
      <c r="AA597" s="488"/>
      <c r="AB597" s="488"/>
      <c r="AC597" s="488"/>
      <c r="AD597" s="488"/>
      <c r="AE597" s="488"/>
      <c r="AF597" s="488"/>
      <c r="AG597" s="488"/>
      <c r="AH597" s="488"/>
      <c r="AI597" s="488"/>
      <c r="AJ597" s="488"/>
    </row>
    <row r="598" spans="1:36" s="496" customFormat="1">
      <c r="A598" s="488"/>
      <c r="C598" s="488"/>
      <c r="D598" s="488"/>
      <c r="E598" s="488"/>
      <c r="F598" s="488"/>
      <c r="G598" s="488"/>
      <c r="H598" s="488"/>
      <c r="I598" s="488"/>
      <c r="J598" s="488"/>
      <c r="K598" s="488"/>
      <c r="L598" s="488"/>
      <c r="M598" s="488"/>
      <c r="N598" s="488"/>
      <c r="O598" s="488"/>
      <c r="P598" s="488"/>
      <c r="Q598" s="488"/>
      <c r="R598" s="488"/>
      <c r="S598" s="488"/>
      <c r="T598" s="488"/>
      <c r="U598" s="488"/>
      <c r="V598" s="488"/>
      <c r="W598" s="488"/>
      <c r="X598" s="488"/>
      <c r="Y598" s="488"/>
      <c r="Z598" s="488"/>
      <c r="AA598" s="488"/>
      <c r="AB598" s="488"/>
      <c r="AC598" s="488"/>
      <c r="AD598" s="488"/>
      <c r="AE598" s="488"/>
      <c r="AF598" s="488"/>
      <c r="AG598" s="488"/>
      <c r="AH598" s="488"/>
      <c r="AI598" s="488"/>
      <c r="AJ598" s="488"/>
    </row>
    <row r="599" spans="1:36" s="496" customFormat="1">
      <c r="A599" s="488"/>
      <c r="C599" s="488"/>
      <c r="D599" s="488"/>
      <c r="E599" s="488"/>
      <c r="F599" s="488"/>
      <c r="G599" s="488"/>
      <c r="H599" s="488"/>
      <c r="I599" s="488"/>
      <c r="J599" s="488"/>
      <c r="K599" s="488"/>
      <c r="L599" s="488"/>
      <c r="M599" s="488"/>
      <c r="N599" s="488"/>
      <c r="O599" s="488"/>
      <c r="P599" s="488"/>
      <c r="Q599" s="488"/>
      <c r="R599" s="488"/>
      <c r="S599" s="488"/>
      <c r="T599" s="488"/>
      <c r="U599" s="488"/>
      <c r="V599" s="488"/>
      <c r="W599" s="488"/>
      <c r="X599" s="488"/>
      <c r="Y599" s="488"/>
      <c r="Z599" s="488"/>
      <c r="AA599" s="488"/>
      <c r="AB599" s="488"/>
      <c r="AC599" s="488"/>
      <c r="AD599" s="488"/>
      <c r="AE599" s="488"/>
      <c r="AF599" s="488"/>
      <c r="AG599" s="488"/>
      <c r="AH599" s="488"/>
      <c r="AI599" s="488"/>
      <c r="AJ599" s="488"/>
    </row>
    <row r="600" spans="1:36" s="496" customFormat="1">
      <c r="A600" s="488"/>
      <c r="C600" s="488"/>
      <c r="D600" s="488"/>
      <c r="E600" s="488"/>
      <c r="F600" s="488"/>
      <c r="G600" s="488"/>
      <c r="H600" s="488"/>
      <c r="I600" s="488"/>
      <c r="J600" s="488"/>
      <c r="K600" s="488"/>
      <c r="L600" s="488"/>
      <c r="M600" s="488"/>
      <c r="N600" s="488"/>
      <c r="O600" s="488"/>
      <c r="P600" s="488"/>
      <c r="Q600" s="488"/>
      <c r="R600" s="488"/>
      <c r="S600" s="488"/>
      <c r="T600" s="488"/>
      <c r="U600" s="488"/>
      <c r="V600" s="488"/>
      <c r="W600" s="488"/>
      <c r="X600" s="488"/>
      <c r="Y600" s="488"/>
      <c r="Z600" s="488"/>
      <c r="AA600" s="488"/>
      <c r="AB600" s="488"/>
      <c r="AC600" s="488"/>
      <c r="AD600" s="488"/>
      <c r="AE600" s="488"/>
      <c r="AF600" s="488"/>
      <c r="AG600" s="488"/>
      <c r="AH600" s="488"/>
      <c r="AI600" s="488"/>
      <c r="AJ600" s="488"/>
    </row>
    <row r="601" spans="1:36" s="496" customFormat="1">
      <c r="A601" s="488"/>
      <c r="C601" s="488"/>
      <c r="D601" s="488"/>
      <c r="E601" s="488"/>
      <c r="F601" s="488"/>
      <c r="G601" s="488"/>
      <c r="H601" s="488"/>
      <c r="I601" s="488"/>
      <c r="J601" s="488"/>
      <c r="K601" s="488"/>
      <c r="L601" s="488"/>
      <c r="M601" s="488"/>
      <c r="N601" s="488"/>
      <c r="O601" s="488"/>
      <c r="P601" s="488"/>
      <c r="Q601" s="488"/>
      <c r="R601" s="488"/>
      <c r="S601" s="488"/>
      <c r="T601" s="488"/>
      <c r="U601" s="488"/>
      <c r="V601" s="488"/>
      <c r="W601" s="488"/>
      <c r="X601" s="488"/>
      <c r="Y601" s="488"/>
      <c r="Z601" s="488"/>
      <c r="AA601" s="488"/>
      <c r="AB601" s="488"/>
      <c r="AC601" s="488"/>
      <c r="AD601" s="488"/>
      <c r="AE601" s="488"/>
      <c r="AF601" s="488"/>
      <c r="AG601" s="488"/>
      <c r="AH601" s="488"/>
      <c r="AI601" s="488"/>
      <c r="AJ601" s="488"/>
    </row>
    <row r="602" spans="1:36" s="496" customFormat="1">
      <c r="A602" s="488"/>
      <c r="C602" s="488"/>
      <c r="D602" s="488"/>
      <c r="E602" s="488"/>
      <c r="F602" s="488"/>
      <c r="G602" s="488"/>
      <c r="H602" s="488"/>
      <c r="I602" s="488"/>
      <c r="J602" s="488"/>
      <c r="K602" s="488"/>
      <c r="L602" s="488"/>
      <c r="M602" s="488"/>
      <c r="N602" s="488"/>
      <c r="O602" s="488"/>
      <c r="P602" s="488"/>
      <c r="Q602" s="488"/>
      <c r="R602" s="488"/>
      <c r="S602" s="488"/>
      <c r="T602" s="488"/>
      <c r="U602" s="488"/>
      <c r="V602" s="488"/>
      <c r="W602" s="488"/>
      <c r="X602" s="488"/>
      <c r="Y602" s="488"/>
      <c r="Z602" s="488"/>
      <c r="AA602" s="488"/>
      <c r="AB602" s="488"/>
      <c r="AC602" s="488"/>
      <c r="AD602" s="488"/>
      <c r="AE602" s="488"/>
      <c r="AF602" s="488"/>
      <c r="AG602" s="488"/>
      <c r="AH602" s="488"/>
      <c r="AI602" s="488"/>
      <c r="AJ602" s="488"/>
    </row>
    <row r="603" spans="1:36" s="496" customFormat="1">
      <c r="A603" s="488"/>
      <c r="C603" s="488"/>
      <c r="D603" s="488"/>
      <c r="E603" s="488"/>
      <c r="F603" s="488"/>
      <c r="G603" s="488"/>
      <c r="H603" s="488"/>
      <c r="I603" s="488"/>
      <c r="J603" s="488"/>
      <c r="K603" s="488"/>
      <c r="L603" s="488"/>
      <c r="M603" s="488"/>
      <c r="N603" s="488"/>
      <c r="O603" s="488"/>
      <c r="P603" s="488"/>
      <c r="Q603" s="488"/>
      <c r="R603" s="488"/>
      <c r="S603" s="488"/>
      <c r="T603" s="488"/>
      <c r="U603" s="488"/>
      <c r="V603" s="488"/>
      <c r="W603" s="488"/>
      <c r="X603" s="488"/>
      <c r="Y603" s="488"/>
      <c r="Z603" s="488"/>
      <c r="AA603" s="488"/>
      <c r="AB603" s="488"/>
      <c r="AC603" s="488"/>
      <c r="AD603" s="488"/>
      <c r="AE603" s="488"/>
      <c r="AF603" s="488"/>
      <c r="AG603" s="488"/>
      <c r="AH603" s="488"/>
      <c r="AI603" s="488"/>
      <c r="AJ603" s="488"/>
    </row>
    <row r="604" spans="1:36" s="496" customFormat="1">
      <c r="A604" s="488"/>
      <c r="C604" s="488"/>
      <c r="D604" s="488"/>
      <c r="E604" s="488"/>
      <c r="F604" s="488"/>
      <c r="G604" s="488"/>
      <c r="H604" s="488"/>
      <c r="I604" s="488"/>
      <c r="J604" s="488"/>
      <c r="K604" s="488"/>
      <c r="L604" s="488"/>
      <c r="M604" s="488"/>
      <c r="N604" s="488"/>
      <c r="O604" s="488"/>
      <c r="P604" s="488"/>
      <c r="Q604" s="488"/>
      <c r="R604" s="488"/>
      <c r="S604" s="488"/>
      <c r="T604" s="488"/>
      <c r="U604" s="488"/>
      <c r="V604" s="488"/>
      <c r="W604" s="488"/>
      <c r="X604" s="488"/>
      <c r="Y604" s="488"/>
      <c r="Z604" s="488"/>
      <c r="AA604" s="488"/>
      <c r="AB604" s="488"/>
      <c r="AC604" s="488"/>
      <c r="AD604" s="488"/>
      <c r="AE604" s="488"/>
      <c r="AF604" s="488"/>
      <c r="AG604" s="488"/>
      <c r="AH604" s="488"/>
      <c r="AI604" s="488"/>
      <c r="AJ604" s="488"/>
    </row>
    <row r="605" spans="1:36" s="496" customFormat="1">
      <c r="A605" s="488"/>
      <c r="C605" s="488"/>
      <c r="D605" s="488"/>
      <c r="E605" s="488"/>
      <c r="F605" s="488"/>
      <c r="G605" s="488"/>
      <c r="H605" s="488"/>
      <c r="I605" s="488"/>
      <c r="J605" s="488"/>
      <c r="K605" s="488"/>
      <c r="L605" s="488"/>
      <c r="M605" s="488"/>
      <c r="N605" s="488"/>
      <c r="O605" s="488"/>
      <c r="P605" s="488"/>
      <c r="Q605" s="488"/>
      <c r="R605" s="488"/>
      <c r="S605" s="488"/>
      <c r="T605" s="488"/>
      <c r="U605" s="488"/>
      <c r="V605" s="488"/>
      <c r="W605" s="488"/>
      <c r="X605" s="488"/>
      <c r="Y605" s="488"/>
      <c r="Z605" s="488"/>
      <c r="AA605" s="488"/>
      <c r="AB605" s="488"/>
      <c r="AC605" s="488"/>
      <c r="AD605" s="488"/>
      <c r="AE605" s="488"/>
      <c r="AF605" s="488"/>
      <c r="AG605" s="488"/>
      <c r="AH605" s="488"/>
      <c r="AI605" s="488"/>
      <c r="AJ605" s="488"/>
    </row>
    <row r="606" spans="1:36" s="496" customFormat="1">
      <c r="A606" s="488"/>
      <c r="C606" s="488"/>
      <c r="D606" s="488"/>
      <c r="E606" s="488"/>
      <c r="F606" s="488"/>
      <c r="G606" s="488"/>
      <c r="H606" s="488"/>
      <c r="I606" s="488"/>
      <c r="J606" s="488"/>
      <c r="K606" s="488"/>
      <c r="L606" s="488"/>
      <c r="M606" s="488"/>
      <c r="N606" s="488"/>
      <c r="O606" s="488"/>
      <c r="P606" s="488"/>
      <c r="Q606" s="488"/>
      <c r="R606" s="488"/>
      <c r="S606" s="488"/>
      <c r="T606" s="488"/>
      <c r="U606" s="488"/>
      <c r="V606" s="488"/>
      <c r="W606" s="488"/>
      <c r="X606" s="488"/>
      <c r="Y606" s="488"/>
      <c r="Z606" s="488"/>
      <c r="AA606" s="488"/>
      <c r="AB606" s="488"/>
      <c r="AC606" s="488"/>
      <c r="AD606" s="488"/>
      <c r="AE606" s="488"/>
      <c r="AF606" s="488"/>
      <c r="AG606" s="488"/>
      <c r="AH606" s="488"/>
      <c r="AI606" s="488"/>
      <c r="AJ606" s="488"/>
    </row>
    <row r="607" spans="1:36" s="496" customFormat="1">
      <c r="A607" s="488"/>
      <c r="C607" s="488"/>
      <c r="D607" s="488"/>
      <c r="E607" s="488"/>
      <c r="F607" s="488"/>
      <c r="G607" s="488"/>
      <c r="H607" s="488"/>
      <c r="I607" s="488"/>
      <c r="J607" s="488"/>
      <c r="K607" s="488"/>
      <c r="L607" s="488"/>
      <c r="M607" s="488"/>
      <c r="N607" s="488"/>
      <c r="O607" s="488"/>
      <c r="P607" s="488"/>
      <c r="Q607" s="488"/>
      <c r="R607" s="488"/>
      <c r="S607" s="488"/>
      <c r="T607" s="488"/>
      <c r="U607" s="488"/>
      <c r="V607" s="488"/>
      <c r="W607" s="488"/>
      <c r="X607" s="488"/>
      <c r="Y607" s="488"/>
      <c r="Z607" s="488"/>
      <c r="AA607" s="488"/>
      <c r="AB607" s="488"/>
      <c r="AC607" s="488"/>
      <c r="AD607" s="488"/>
      <c r="AE607" s="488"/>
      <c r="AF607" s="488"/>
      <c r="AG607" s="488"/>
      <c r="AH607" s="488"/>
      <c r="AI607" s="488"/>
      <c r="AJ607" s="488"/>
    </row>
    <row r="608" spans="1:36" s="496" customFormat="1">
      <c r="A608" s="488"/>
      <c r="C608" s="488"/>
      <c r="D608" s="488"/>
      <c r="E608" s="488"/>
      <c r="F608" s="488"/>
      <c r="G608" s="488"/>
      <c r="H608" s="488"/>
      <c r="I608" s="488"/>
      <c r="J608" s="488"/>
      <c r="K608" s="488"/>
      <c r="L608" s="488"/>
      <c r="M608" s="488"/>
      <c r="N608" s="488"/>
      <c r="O608" s="488"/>
      <c r="P608" s="488"/>
      <c r="Q608" s="488"/>
      <c r="R608" s="488"/>
      <c r="S608" s="488"/>
      <c r="T608" s="488"/>
      <c r="U608" s="488"/>
      <c r="V608" s="488"/>
      <c r="W608" s="488"/>
      <c r="X608" s="488"/>
      <c r="Y608" s="488"/>
      <c r="Z608" s="488"/>
      <c r="AA608" s="488"/>
      <c r="AB608" s="488"/>
      <c r="AC608" s="488"/>
      <c r="AD608" s="488"/>
      <c r="AE608" s="488"/>
      <c r="AF608" s="488"/>
      <c r="AG608" s="488"/>
      <c r="AH608" s="488"/>
      <c r="AI608" s="488"/>
      <c r="AJ608" s="488"/>
    </row>
    <row r="609" spans="1:36" s="496" customFormat="1">
      <c r="A609" s="488"/>
      <c r="C609" s="488"/>
      <c r="D609" s="488"/>
      <c r="E609" s="488"/>
      <c r="F609" s="488"/>
      <c r="G609" s="488"/>
      <c r="H609" s="488"/>
      <c r="I609" s="488"/>
      <c r="J609" s="488"/>
      <c r="K609" s="488"/>
      <c r="L609" s="488"/>
      <c r="M609" s="488"/>
      <c r="N609" s="488"/>
      <c r="O609" s="488"/>
      <c r="P609" s="488"/>
      <c r="Q609" s="488"/>
      <c r="R609" s="488"/>
      <c r="S609" s="488"/>
      <c r="T609" s="488"/>
      <c r="U609" s="488"/>
      <c r="V609" s="488"/>
      <c r="W609" s="488"/>
      <c r="X609" s="488"/>
      <c r="Y609" s="488"/>
      <c r="Z609" s="488"/>
      <c r="AA609" s="488"/>
      <c r="AB609" s="488"/>
      <c r="AC609" s="488"/>
      <c r="AD609" s="488"/>
      <c r="AE609" s="488"/>
      <c r="AF609" s="488"/>
      <c r="AG609" s="488"/>
      <c r="AH609" s="488"/>
      <c r="AI609" s="488"/>
      <c r="AJ609" s="488"/>
    </row>
    <row r="610" spans="1:36" s="496" customFormat="1">
      <c r="A610" s="488"/>
      <c r="C610" s="488"/>
      <c r="D610" s="488"/>
      <c r="E610" s="488"/>
      <c r="F610" s="488"/>
      <c r="G610" s="488"/>
      <c r="H610" s="488"/>
      <c r="I610" s="488"/>
      <c r="J610" s="488"/>
      <c r="K610" s="488"/>
      <c r="L610" s="488"/>
      <c r="M610" s="488"/>
      <c r="N610" s="488"/>
      <c r="O610" s="488"/>
      <c r="P610" s="488"/>
      <c r="Q610" s="488"/>
      <c r="R610" s="488"/>
      <c r="S610" s="488"/>
      <c r="T610" s="488"/>
      <c r="U610" s="488"/>
      <c r="V610" s="488"/>
      <c r="W610" s="488"/>
      <c r="X610" s="488"/>
      <c r="Y610" s="488"/>
      <c r="Z610" s="488"/>
      <c r="AA610" s="488"/>
      <c r="AB610" s="488"/>
      <c r="AC610" s="488"/>
      <c r="AD610" s="488"/>
      <c r="AE610" s="488"/>
      <c r="AF610" s="488"/>
      <c r="AG610" s="488"/>
      <c r="AH610" s="488"/>
      <c r="AI610" s="488"/>
      <c r="AJ610" s="488"/>
    </row>
    <row r="611" spans="1:36" s="496" customFormat="1">
      <c r="A611" s="488"/>
      <c r="C611" s="488"/>
      <c r="D611" s="488"/>
      <c r="E611" s="488"/>
      <c r="F611" s="488"/>
      <c r="G611" s="488"/>
      <c r="H611" s="488"/>
      <c r="I611" s="488"/>
      <c r="J611" s="488"/>
      <c r="K611" s="488"/>
      <c r="L611" s="488"/>
      <c r="M611" s="488"/>
      <c r="N611" s="488"/>
      <c r="O611" s="488"/>
      <c r="P611" s="488"/>
      <c r="Q611" s="488"/>
      <c r="R611" s="488"/>
      <c r="S611" s="488"/>
      <c r="T611" s="488"/>
      <c r="U611" s="488"/>
      <c r="V611" s="488"/>
      <c r="W611" s="488"/>
      <c r="X611" s="488"/>
      <c r="Y611" s="488"/>
      <c r="Z611" s="488"/>
      <c r="AA611" s="488"/>
      <c r="AB611" s="488"/>
      <c r="AC611" s="488"/>
      <c r="AD611" s="488"/>
      <c r="AE611" s="488"/>
      <c r="AF611" s="488"/>
      <c r="AG611" s="488"/>
      <c r="AH611" s="488"/>
      <c r="AI611" s="488"/>
      <c r="AJ611" s="488"/>
    </row>
    <row r="612" spans="1:36" s="496" customFormat="1">
      <c r="A612" s="488"/>
      <c r="C612" s="488"/>
      <c r="D612" s="488"/>
      <c r="E612" s="488"/>
      <c r="F612" s="488"/>
      <c r="G612" s="488"/>
      <c r="H612" s="488"/>
      <c r="I612" s="488"/>
      <c r="J612" s="488"/>
      <c r="K612" s="488"/>
      <c r="L612" s="488"/>
      <c r="M612" s="488"/>
      <c r="N612" s="488"/>
      <c r="O612" s="488"/>
      <c r="P612" s="488"/>
      <c r="Q612" s="488"/>
      <c r="R612" s="488"/>
      <c r="S612" s="488"/>
      <c r="T612" s="488"/>
      <c r="U612" s="488"/>
      <c r="V612" s="488"/>
      <c r="W612" s="488"/>
      <c r="X612" s="488"/>
      <c r="Y612" s="488"/>
      <c r="Z612" s="488"/>
      <c r="AA612" s="488"/>
      <c r="AB612" s="488"/>
      <c r="AC612" s="488"/>
      <c r="AD612" s="488"/>
      <c r="AE612" s="488"/>
      <c r="AF612" s="488"/>
      <c r="AG612" s="488"/>
      <c r="AH612" s="488"/>
      <c r="AI612" s="488"/>
      <c r="AJ612" s="488"/>
    </row>
    <row r="613" spans="1:36" s="496" customFormat="1">
      <c r="A613" s="488"/>
      <c r="C613" s="488"/>
      <c r="D613" s="488"/>
      <c r="E613" s="488"/>
      <c r="F613" s="488"/>
      <c r="G613" s="488"/>
      <c r="H613" s="488"/>
      <c r="I613" s="488"/>
      <c r="J613" s="488"/>
      <c r="K613" s="488"/>
      <c r="L613" s="488"/>
      <c r="M613" s="488"/>
      <c r="N613" s="488"/>
      <c r="O613" s="488"/>
      <c r="P613" s="488"/>
      <c r="Q613" s="488"/>
      <c r="R613" s="488"/>
      <c r="S613" s="488"/>
      <c r="T613" s="488"/>
      <c r="U613" s="488"/>
      <c r="V613" s="488"/>
      <c r="W613" s="488"/>
      <c r="X613" s="488"/>
      <c r="Y613" s="488"/>
      <c r="Z613" s="488"/>
      <c r="AA613" s="488"/>
      <c r="AB613" s="488"/>
      <c r="AC613" s="488"/>
      <c r="AD613" s="488"/>
      <c r="AE613" s="488"/>
      <c r="AF613" s="488"/>
      <c r="AG613" s="488"/>
      <c r="AH613" s="488"/>
      <c r="AI613" s="488"/>
      <c r="AJ613" s="488"/>
    </row>
    <row r="614" spans="1:36" s="496" customFormat="1">
      <c r="A614" s="488"/>
      <c r="C614" s="488"/>
      <c r="D614" s="488"/>
      <c r="E614" s="488"/>
      <c r="F614" s="488"/>
      <c r="G614" s="488"/>
      <c r="H614" s="488"/>
      <c r="I614" s="488"/>
      <c r="J614" s="488"/>
      <c r="K614" s="488"/>
      <c r="L614" s="488"/>
      <c r="M614" s="488"/>
      <c r="N614" s="488"/>
      <c r="O614" s="488"/>
      <c r="P614" s="488"/>
      <c r="Q614" s="488"/>
      <c r="R614" s="488"/>
      <c r="S614" s="488"/>
      <c r="T614" s="488"/>
      <c r="U614" s="488"/>
      <c r="V614" s="488"/>
      <c r="W614" s="488"/>
      <c r="X614" s="488"/>
      <c r="Y614" s="488"/>
      <c r="Z614" s="488"/>
      <c r="AA614" s="488"/>
      <c r="AB614" s="488"/>
      <c r="AC614" s="488"/>
      <c r="AD614" s="488"/>
      <c r="AE614" s="488"/>
      <c r="AF614" s="488"/>
      <c r="AG614" s="488"/>
      <c r="AH614" s="488"/>
      <c r="AI614" s="488"/>
      <c r="AJ614" s="488"/>
    </row>
    <row r="615" spans="1:36" s="496" customFormat="1">
      <c r="A615" s="488"/>
      <c r="C615" s="488"/>
      <c r="D615" s="488"/>
      <c r="E615" s="488"/>
      <c r="F615" s="488"/>
      <c r="G615" s="488"/>
      <c r="H615" s="488"/>
      <c r="I615" s="488"/>
      <c r="J615" s="488"/>
      <c r="K615" s="488"/>
      <c r="L615" s="488"/>
      <c r="M615" s="488"/>
      <c r="N615" s="488"/>
      <c r="O615" s="488"/>
      <c r="P615" s="488"/>
      <c r="Q615" s="488"/>
      <c r="R615" s="488"/>
      <c r="S615" s="488"/>
      <c r="T615" s="488"/>
      <c r="U615" s="488"/>
      <c r="V615" s="488"/>
      <c r="W615" s="488"/>
      <c r="X615" s="488"/>
      <c r="Y615" s="488"/>
      <c r="Z615" s="488"/>
      <c r="AA615" s="488"/>
      <c r="AB615" s="488"/>
      <c r="AC615" s="488"/>
      <c r="AD615" s="488"/>
      <c r="AE615" s="488"/>
      <c r="AF615" s="488"/>
      <c r="AG615" s="488"/>
      <c r="AH615" s="488"/>
      <c r="AI615" s="488"/>
      <c r="AJ615" s="488"/>
    </row>
    <row r="616" spans="1:36" s="496" customFormat="1">
      <c r="A616" s="488"/>
      <c r="C616" s="488"/>
      <c r="D616" s="488"/>
      <c r="E616" s="488"/>
      <c r="F616" s="488"/>
      <c r="G616" s="488"/>
      <c r="H616" s="488"/>
      <c r="I616" s="488"/>
      <c r="J616" s="488"/>
      <c r="K616" s="488"/>
      <c r="L616" s="488"/>
      <c r="M616" s="488"/>
      <c r="N616" s="488"/>
      <c r="O616" s="488"/>
      <c r="P616" s="488"/>
      <c r="Q616" s="488"/>
      <c r="R616" s="488"/>
      <c r="S616" s="488"/>
      <c r="T616" s="488"/>
      <c r="U616" s="488"/>
      <c r="V616" s="488"/>
      <c r="W616" s="488"/>
      <c r="X616" s="488"/>
      <c r="Y616" s="488"/>
      <c r="Z616" s="488"/>
      <c r="AA616" s="488"/>
      <c r="AB616" s="488"/>
      <c r="AC616" s="488"/>
      <c r="AD616" s="488"/>
      <c r="AE616" s="488"/>
      <c r="AF616" s="488"/>
      <c r="AG616" s="488"/>
      <c r="AH616" s="488"/>
      <c r="AI616" s="488"/>
      <c r="AJ616" s="488"/>
    </row>
    <row r="617" spans="1:36" s="496" customFormat="1">
      <c r="A617" s="488"/>
      <c r="C617" s="488"/>
      <c r="D617" s="488"/>
      <c r="E617" s="488"/>
      <c r="F617" s="488"/>
      <c r="G617" s="488"/>
      <c r="H617" s="488"/>
      <c r="I617" s="488"/>
      <c r="J617" s="488"/>
      <c r="K617" s="488"/>
      <c r="L617" s="488"/>
      <c r="M617" s="488"/>
      <c r="N617" s="488"/>
      <c r="O617" s="488"/>
      <c r="P617" s="488"/>
      <c r="Q617" s="488"/>
      <c r="R617" s="488"/>
      <c r="S617" s="488"/>
      <c r="T617" s="488"/>
      <c r="U617" s="488"/>
      <c r="V617" s="488"/>
      <c r="W617" s="488"/>
      <c r="X617" s="488"/>
      <c r="Y617" s="488"/>
      <c r="Z617" s="488"/>
      <c r="AA617" s="488"/>
      <c r="AB617" s="488"/>
      <c r="AC617" s="488"/>
      <c r="AD617" s="488"/>
      <c r="AE617" s="488"/>
      <c r="AF617" s="488"/>
      <c r="AG617" s="488"/>
      <c r="AH617" s="488"/>
      <c r="AI617" s="488"/>
      <c r="AJ617" s="488"/>
    </row>
    <row r="618" spans="1:36" s="496" customFormat="1">
      <c r="A618" s="488"/>
      <c r="C618" s="488"/>
      <c r="D618" s="488"/>
      <c r="E618" s="488"/>
      <c r="F618" s="488"/>
      <c r="G618" s="488"/>
      <c r="H618" s="488"/>
      <c r="I618" s="488"/>
      <c r="J618" s="488"/>
      <c r="K618" s="488"/>
      <c r="L618" s="488"/>
      <c r="M618" s="488"/>
      <c r="N618" s="488"/>
      <c r="O618" s="488"/>
      <c r="P618" s="488"/>
      <c r="Q618" s="488"/>
      <c r="R618" s="488"/>
      <c r="S618" s="488"/>
      <c r="T618" s="488"/>
      <c r="U618" s="488"/>
      <c r="V618" s="488"/>
      <c r="W618" s="488"/>
      <c r="X618" s="488"/>
      <c r="Y618" s="488"/>
      <c r="Z618" s="488"/>
      <c r="AA618" s="488"/>
      <c r="AB618" s="488"/>
      <c r="AC618" s="488"/>
      <c r="AD618" s="488"/>
      <c r="AE618" s="488"/>
      <c r="AF618" s="488"/>
      <c r="AG618" s="488"/>
      <c r="AH618" s="488"/>
      <c r="AI618" s="488"/>
      <c r="AJ618" s="488"/>
    </row>
    <row r="619" spans="1:36" s="496" customFormat="1">
      <c r="A619" s="488"/>
      <c r="C619" s="488"/>
      <c r="D619" s="488"/>
      <c r="E619" s="488"/>
      <c r="F619" s="488"/>
      <c r="G619" s="488"/>
      <c r="H619" s="488"/>
      <c r="I619" s="488"/>
      <c r="J619" s="488"/>
      <c r="K619" s="488"/>
      <c r="L619" s="488"/>
      <c r="M619" s="488"/>
      <c r="N619" s="488"/>
      <c r="O619" s="488"/>
      <c r="P619" s="488"/>
      <c r="Q619" s="488"/>
      <c r="R619" s="488"/>
      <c r="S619" s="488"/>
      <c r="T619" s="488"/>
      <c r="U619" s="488"/>
      <c r="V619" s="488"/>
      <c r="W619" s="488"/>
      <c r="X619" s="488"/>
      <c r="Y619" s="488"/>
      <c r="Z619" s="488"/>
      <c r="AA619" s="488"/>
      <c r="AB619" s="488"/>
      <c r="AC619" s="488"/>
      <c r="AD619" s="488"/>
      <c r="AE619" s="488"/>
      <c r="AF619" s="488"/>
      <c r="AG619" s="488"/>
      <c r="AH619" s="488"/>
      <c r="AI619" s="488"/>
      <c r="AJ619" s="488"/>
    </row>
    <row r="620" spans="1:36" s="496" customFormat="1">
      <c r="A620" s="488"/>
      <c r="C620" s="488"/>
      <c r="D620" s="488"/>
      <c r="E620" s="488"/>
      <c r="F620" s="488"/>
      <c r="G620" s="488"/>
      <c r="H620" s="488"/>
      <c r="I620" s="488"/>
      <c r="J620" s="488"/>
      <c r="K620" s="488"/>
      <c r="L620" s="488"/>
      <c r="M620" s="488"/>
      <c r="N620" s="488"/>
      <c r="O620" s="488"/>
      <c r="P620" s="488"/>
      <c r="Q620" s="488"/>
      <c r="R620" s="488"/>
      <c r="S620" s="488"/>
      <c r="T620" s="488"/>
      <c r="U620" s="488"/>
      <c r="V620" s="488"/>
      <c r="W620" s="488"/>
      <c r="X620" s="488"/>
      <c r="Y620" s="488"/>
      <c r="Z620" s="488"/>
      <c r="AA620" s="488"/>
      <c r="AB620" s="488"/>
      <c r="AC620" s="488"/>
      <c r="AD620" s="488"/>
      <c r="AE620" s="488"/>
      <c r="AF620" s="488"/>
      <c r="AG620" s="488"/>
      <c r="AH620" s="488"/>
      <c r="AI620" s="488"/>
      <c r="AJ620" s="488"/>
    </row>
    <row r="621" spans="1:36" s="496" customFormat="1">
      <c r="A621" s="488"/>
      <c r="C621" s="488"/>
      <c r="D621" s="488"/>
      <c r="E621" s="488"/>
      <c r="F621" s="488"/>
      <c r="G621" s="488"/>
      <c r="H621" s="488"/>
      <c r="I621" s="488"/>
      <c r="J621" s="488"/>
      <c r="K621" s="488"/>
      <c r="L621" s="488"/>
      <c r="M621" s="488"/>
      <c r="N621" s="488"/>
      <c r="O621" s="488"/>
      <c r="P621" s="488"/>
      <c r="Q621" s="488"/>
      <c r="R621" s="488"/>
      <c r="S621" s="488"/>
      <c r="T621" s="488"/>
      <c r="U621" s="488"/>
      <c r="V621" s="488"/>
      <c r="W621" s="488"/>
      <c r="X621" s="488"/>
      <c r="Y621" s="488"/>
      <c r="Z621" s="488"/>
      <c r="AA621" s="488"/>
      <c r="AB621" s="488"/>
      <c r="AC621" s="488"/>
      <c r="AD621" s="488"/>
      <c r="AE621" s="488"/>
      <c r="AF621" s="488"/>
      <c r="AG621" s="488"/>
      <c r="AH621" s="488"/>
      <c r="AI621" s="488"/>
      <c r="AJ621" s="488"/>
    </row>
    <row r="622" spans="1:36" s="496" customFormat="1">
      <c r="A622" s="488"/>
      <c r="C622" s="488"/>
      <c r="D622" s="488"/>
      <c r="E622" s="488"/>
      <c r="F622" s="488"/>
      <c r="G622" s="488"/>
      <c r="H622" s="488"/>
      <c r="I622" s="488"/>
      <c r="J622" s="488"/>
      <c r="K622" s="488"/>
      <c r="L622" s="488"/>
      <c r="M622" s="488"/>
      <c r="N622" s="488"/>
      <c r="O622" s="488"/>
      <c r="P622" s="488"/>
      <c r="Q622" s="488"/>
      <c r="R622" s="488"/>
      <c r="S622" s="488"/>
      <c r="T622" s="488"/>
      <c r="U622" s="488"/>
      <c r="V622" s="488"/>
      <c r="W622" s="488"/>
      <c r="X622" s="488"/>
      <c r="Y622" s="488"/>
      <c r="Z622" s="488"/>
      <c r="AA622" s="488"/>
      <c r="AB622" s="488"/>
      <c r="AC622" s="488"/>
      <c r="AD622" s="488"/>
      <c r="AE622" s="488"/>
      <c r="AF622" s="488"/>
      <c r="AG622" s="488"/>
      <c r="AH622" s="488"/>
      <c r="AI622" s="488"/>
      <c r="AJ622" s="488"/>
    </row>
    <row r="623" spans="1:36" s="496" customFormat="1">
      <c r="A623" s="488"/>
      <c r="C623" s="488"/>
      <c r="D623" s="488"/>
      <c r="E623" s="488"/>
      <c r="F623" s="488"/>
      <c r="G623" s="488"/>
      <c r="H623" s="488"/>
      <c r="I623" s="488"/>
      <c r="J623" s="488"/>
      <c r="K623" s="488"/>
      <c r="L623" s="488"/>
      <c r="M623" s="488"/>
      <c r="N623" s="488"/>
      <c r="O623" s="488"/>
      <c r="P623" s="488"/>
      <c r="Q623" s="488"/>
      <c r="R623" s="488"/>
      <c r="S623" s="488"/>
      <c r="T623" s="488"/>
      <c r="U623" s="488"/>
      <c r="V623" s="488"/>
      <c r="W623" s="488"/>
      <c r="X623" s="488"/>
      <c r="Y623" s="488"/>
      <c r="Z623" s="488"/>
      <c r="AA623" s="488"/>
      <c r="AB623" s="488"/>
      <c r="AC623" s="488"/>
      <c r="AD623" s="488"/>
      <c r="AE623" s="488"/>
      <c r="AF623" s="488"/>
      <c r="AG623" s="488"/>
      <c r="AH623" s="488"/>
      <c r="AI623" s="488"/>
      <c r="AJ623" s="488"/>
    </row>
    <row r="624" spans="1:36" s="496" customFormat="1">
      <c r="A624" s="488"/>
      <c r="C624" s="488"/>
      <c r="D624" s="488"/>
      <c r="E624" s="488"/>
      <c r="F624" s="488"/>
      <c r="G624" s="488"/>
      <c r="H624" s="488"/>
      <c r="I624" s="488"/>
      <c r="J624" s="488"/>
      <c r="K624" s="488"/>
      <c r="L624" s="488"/>
      <c r="M624" s="488"/>
      <c r="N624" s="488"/>
      <c r="O624" s="488"/>
      <c r="P624" s="488"/>
      <c r="Q624" s="488"/>
      <c r="R624" s="488"/>
      <c r="S624" s="488"/>
      <c r="T624" s="488"/>
      <c r="U624" s="488"/>
      <c r="V624" s="488"/>
      <c r="W624" s="488"/>
      <c r="X624" s="488"/>
      <c r="Y624" s="488"/>
      <c r="Z624" s="488"/>
      <c r="AA624" s="488"/>
      <c r="AB624" s="488"/>
      <c r="AC624" s="488"/>
      <c r="AD624" s="488"/>
      <c r="AE624" s="488"/>
      <c r="AF624" s="488"/>
      <c r="AG624" s="488"/>
      <c r="AH624" s="488"/>
      <c r="AI624" s="488"/>
      <c r="AJ624" s="488"/>
    </row>
    <row r="625" spans="1:36" s="496" customFormat="1">
      <c r="A625" s="488"/>
      <c r="C625" s="488"/>
      <c r="D625" s="488"/>
      <c r="E625" s="488"/>
      <c r="F625" s="488"/>
      <c r="G625" s="488"/>
      <c r="H625" s="488"/>
      <c r="I625" s="488"/>
      <c r="J625" s="488"/>
      <c r="K625" s="488"/>
      <c r="L625" s="488"/>
      <c r="M625" s="488"/>
      <c r="N625" s="488"/>
      <c r="O625" s="488"/>
      <c r="P625" s="488"/>
      <c r="Q625" s="488"/>
      <c r="R625" s="488"/>
      <c r="S625" s="488"/>
      <c r="T625" s="488"/>
      <c r="U625" s="488"/>
      <c r="V625" s="488"/>
      <c r="W625" s="488"/>
      <c r="X625" s="488"/>
      <c r="Y625" s="488"/>
      <c r="Z625" s="488"/>
      <c r="AA625" s="488"/>
      <c r="AB625" s="488"/>
      <c r="AC625" s="488"/>
      <c r="AD625" s="488"/>
      <c r="AE625" s="488"/>
      <c r="AF625" s="488"/>
      <c r="AG625" s="488"/>
      <c r="AH625" s="488"/>
      <c r="AI625" s="488"/>
      <c r="AJ625" s="488"/>
    </row>
    <row r="626" spans="1:36" s="496" customFormat="1">
      <c r="A626" s="488"/>
      <c r="C626" s="488"/>
      <c r="D626" s="488"/>
      <c r="E626" s="488"/>
      <c r="F626" s="488"/>
      <c r="G626" s="488"/>
      <c r="H626" s="488"/>
      <c r="I626" s="488"/>
      <c r="J626" s="488"/>
      <c r="K626" s="488"/>
      <c r="L626" s="488"/>
      <c r="M626" s="488"/>
      <c r="N626" s="488"/>
      <c r="O626" s="488"/>
      <c r="P626" s="488"/>
      <c r="Q626" s="488"/>
      <c r="R626" s="488"/>
      <c r="S626" s="488"/>
      <c r="T626" s="488"/>
      <c r="U626" s="488"/>
      <c r="V626" s="488"/>
      <c r="W626" s="488"/>
      <c r="X626" s="488"/>
      <c r="Y626" s="488"/>
      <c r="Z626" s="488"/>
      <c r="AA626" s="488"/>
      <c r="AB626" s="488"/>
      <c r="AC626" s="488"/>
      <c r="AD626" s="488"/>
      <c r="AE626" s="488"/>
      <c r="AF626" s="488"/>
      <c r="AG626" s="488"/>
      <c r="AH626" s="488"/>
      <c r="AI626" s="488"/>
      <c r="AJ626" s="488"/>
    </row>
    <row r="627" spans="1:36" s="496" customFormat="1">
      <c r="A627" s="488"/>
      <c r="C627" s="488"/>
      <c r="D627" s="488"/>
      <c r="E627" s="488"/>
      <c r="F627" s="488"/>
      <c r="G627" s="488"/>
      <c r="H627" s="488"/>
      <c r="I627" s="488"/>
      <c r="J627" s="488"/>
      <c r="K627" s="488"/>
      <c r="L627" s="488"/>
      <c r="M627" s="488"/>
      <c r="N627" s="488"/>
      <c r="O627" s="488"/>
      <c r="P627" s="488"/>
      <c r="Q627" s="488"/>
      <c r="R627" s="488"/>
      <c r="S627" s="488"/>
      <c r="T627" s="488"/>
      <c r="U627" s="488"/>
      <c r="V627" s="488"/>
      <c r="W627" s="488"/>
      <c r="X627" s="488"/>
      <c r="Y627" s="488"/>
      <c r="Z627" s="488"/>
      <c r="AA627" s="488"/>
      <c r="AB627" s="488"/>
      <c r="AC627" s="488"/>
      <c r="AD627" s="488"/>
      <c r="AE627" s="488"/>
      <c r="AF627" s="488"/>
      <c r="AG627" s="488"/>
      <c r="AH627" s="488"/>
      <c r="AI627" s="488"/>
      <c r="AJ627" s="488"/>
    </row>
    <row r="628" spans="1:36" s="496" customFormat="1">
      <c r="A628" s="488"/>
      <c r="C628" s="488"/>
      <c r="D628" s="488"/>
      <c r="E628" s="488"/>
      <c r="F628" s="488"/>
      <c r="G628" s="488"/>
      <c r="H628" s="488"/>
      <c r="I628" s="488"/>
      <c r="J628" s="488"/>
      <c r="K628" s="488"/>
      <c r="L628" s="488"/>
      <c r="M628" s="488"/>
      <c r="N628" s="488"/>
      <c r="O628" s="488"/>
      <c r="P628" s="488"/>
      <c r="Q628" s="488"/>
      <c r="R628" s="488"/>
      <c r="S628" s="488"/>
      <c r="T628" s="488"/>
      <c r="U628" s="488"/>
      <c r="V628" s="488"/>
      <c r="W628" s="488"/>
      <c r="X628" s="488"/>
      <c r="Y628" s="488"/>
      <c r="Z628" s="488"/>
      <c r="AA628" s="488"/>
      <c r="AB628" s="488"/>
      <c r="AC628" s="488"/>
      <c r="AD628" s="488"/>
      <c r="AE628" s="488"/>
      <c r="AF628" s="488"/>
      <c r="AG628" s="488"/>
      <c r="AH628" s="488"/>
      <c r="AI628" s="488"/>
      <c r="AJ628" s="488"/>
    </row>
    <row r="629" spans="1:36" s="496" customFormat="1">
      <c r="A629" s="488"/>
      <c r="C629" s="488"/>
      <c r="D629" s="488"/>
      <c r="E629" s="488"/>
      <c r="F629" s="488"/>
      <c r="G629" s="488"/>
      <c r="H629" s="488"/>
      <c r="I629" s="488"/>
      <c r="J629" s="488"/>
      <c r="K629" s="488"/>
      <c r="L629" s="488"/>
      <c r="M629" s="488"/>
      <c r="N629" s="488"/>
      <c r="O629" s="488"/>
      <c r="P629" s="488"/>
      <c r="Q629" s="488"/>
      <c r="R629" s="488"/>
      <c r="S629" s="488"/>
      <c r="T629" s="488"/>
      <c r="U629" s="488"/>
      <c r="V629" s="488"/>
      <c r="W629" s="488"/>
      <c r="X629" s="488"/>
      <c r="Y629" s="488"/>
      <c r="Z629" s="488"/>
      <c r="AA629" s="488"/>
      <c r="AB629" s="488"/>
      <c r="AC629" s="488"/>
      <c r="AD629" s="488"/>
      <c r="AE629" s="488"/>
      <c r="AF629" s="488"/>
      <c r="AG629" s="488"/>
      <c r="AH629" s="488"/>
      <c r="AI629" s="488"/>
      <c r="AJ629" s="488"/>
    </row>
    <row r="630" spans="1:36" s="496" customFormat="1">
      <c r="A630" s="488"/>
      <c r="C630" s="488"/>
      <c r="D630" s="488"/>
      <c r="E630" s="488"/>
      <c r="F630" s="488"/>
      <c r="G630" s="488"/>
      <c r="H630" s="488"/>
      <c r="I630" s="488"/>
      <c r="J630" s="488"/>
      <c r="K630" s="488"/>
      <c r="L630" s="488"/>
      <c r="M630" s="488"/>
      <c r="N630" s="488"/>
      <c r="O630" s="488"/>
      <c r="P630" s="488"/>
      <c r="Q630" s="488"/>
      <c r="R630" s="488"/>
      <c r="S630" s="488"/>
      <c r="T630" s="488"/>
      <c r="U630" s="488"/>
      <c r="V630" s="488"/>
      <c r="W630" s="488"/>
      <c r="X630" s="488"/>
      <c r="Y630" s="488"/>
      <c r="Z630" s="488"/>
      <c r="AA630" s="488"/>
      <c r="AB630" s="488"/>
      <c r="AC630" s="488"/>
      <c r="AD630" s="488"/>
      <c r="AE630" s="488"/>
      <c r="AF630" s="488"/>
      <c r="AG630" s="488"/>
      <c r="AH630" s="488"/>
      <c r="AI630" s="488"/>
      <c r="AJ630" s="488"/>
    </row>
    <row r="631" spans="1:36" s="496" customFormat="1">
      <c r="A631" s="488"/>
      <c r="C631" s="488"/>
      <c r="D631" s="488"/>
      <c r="E631" s="488"/>
      <c r="F631" s="488"/>
      <c r="G631" s="488"/>
      <c r="H631" s="488"/>
      <c r="I631" s="488"/>
      <c r="J631" s="488"/>
      <c r="K631" s="488"/>
      <c r="L631" s="488"/>
      <c r="M631" s="488"/>
      <c r="N631" s="488"/>
      <c r="O631" s="488"/>
      <c r="P631" s="488"/>
      <c r="Q631" s="488"/>
      <c r="R631" s="488"/>
      <c r="S631" s="488"/>
      <c r="T631" s="488"/>
      <c r="U631" s="488"/>
      <c r="V631" s="488"/>
      <c r="W631" s="488"/>
      <c r="X631" s="488"/>
      <c r="Y631" s="488"/>
      <c r="Z631" s="488"/>
      <c r="AA631" s="488"/>
      <c r="AB631" s="488"/>
      <c r="AC631" s="488"/>
      <c r="AD631" s="488"/>
      <c r="AE631" s="488"/>
      <c r="AF631" s="488"/>
      <c r="AG631" s="488"/>
      <c r="AH631" s="488"/>
      <c r="AI631" s="488"/>
      <c r="AJ631" s="488"/>
    </row>
    <row r="632" spans="1:36" s="496" customFormat="1">
      <c r="A632" s="488"/>
      <c r="C632" s="488"/>
      <c r="D632" s="488"/>
      <c r="E632" s="488"/>
      <c r="F632" s="488"/>
      <c r="G632" s="488"/>
      <c r="H632" s="488"/>
      <c r="I632" s="488"/>
      <c r="J632" s="488"/>
      <c r="K632" s="488"/>
      <c r="L632" s="488"/>
      <c r="M632" s="488"/>
      <c r="N632" s="488"/>
      <c r="O632" s="488"/>
      <c r="P632" s="488"/>
      <c r="Q632" s="488"/>
      <c r="R632" s="488"/>
      <c r="S632" s="488"/>
      <c r="T632" s="488"/>
      <c r="U632" s="488"/>
      <c r="V632" s="488"/>
      <c r="W632" s="488"/>
      <c r="X632" s="488"/>
      <c r="Y632" s="488"/>
      <c r="Z632" s="488"/>
      <c r="AA632" s="488"/>
      <c r="AB632" s="488"/>
      <c r="AC632" s="488"/>
      <c r="AD632" s="488"/>
      <c r="AE632" s="488"/>
      <c r="AF632" s="488"/>
      <c r="AG632" s="488"/>
      <c r="AH632" s="488"/>
      <c r="AI632" s="488"/>
      <c r="AJ632" s="488"/>
    </row>
    <row r="633" spans="1:36" s="496" customFormat="1">
      <c r="A633" s="488"/>
      <c r="C633" s="488"/>
      <c r="D633" s="488"/>
      <c r="E633" s="488"/>
      <c r="F633" s="488"/>
      <c r="G633" s="488"/>
      <c r="H633" s="488"/>
      <c r="I633" s="488"/>
      <c r="J633" s="488"/>
      <c r="K633" s="488"/>
      <c r="L633" s="488"/>
      <c r="M633" s="488"/>
      <c r="N633" s="488"/>
      <c r="O633" s="488"/>
      <c r="P633" s="488"/>
      <c r="Q633" s="488"/>
      <c r="R633" s="488"/>
      <c r="S633" s="488"/>
      <c r="T633" s="488"/>
      <c r="U633" s="488"/>
      <c r="V633" s="488"/>
      <c r="W633" s="488"/>
      <c r="X633" s="488"/>
      <c r="Y633" s="488"/>
      <c r="Z633" s="488"/>
      <c r="AA633" s="488"/>
      <c r="AB633" s="488"/>
      <c r="AC633" s="488"/>
      <c r="AD633" s="488"/>
      <c r="AE633" s="488"/>
      <c r="AF633" s="488"/>
      <c r="AG633" s="488"/>
      <c r="AH633" s="488"/>
      <c r="AI633" s="488"/>
      <c r="AJ633" s="488"/>
    </row>
    <row r="634" spans="1:36" s="496" customFormat="1">
      <c r="A634" s="488"/>
      <c r="C634" s="488"/>
      <c r="D634" s="488"/>
      <c r="E634" s="488"/>
      <c r="F634" s="488"/>
      <c r="G634" s="488"/>
      <c r="H634" s="488"/>
      <c r="I634" s="488"/>
      <c r="J634" s="488"/>
      <c r="K634" s="488"/>
      <c r="L634" s="488"/>
      <c r="M634" s="488"/>
      <c r="N634" s="488"/>
      <c r="O634" s="488"/>
      <c r="P634" s="488"/>
      <c r="Q634" s="488"/>
      <c r="R634" s="488"/>
      <c r="S634" s="488"/>
      <c r="T634" s="488"/>
      <c r="U634" s="488"/>
      <c r="V634" s="488"/>
      <c r="W634" s="488"/>
      <c r="X634" s="488"/>
      <c r="Y634" s="488"/>
      <c r="Z634" s="488"/>
      <c r="AA634" s="488"/>
      <c r="AB634" s="488"/>
      <c r="AC634" s="488"/>
      <c r="AD634" s="488"/>
      <c r="AE634" s="488"/>
      <c r="AF634" s="488"/>
      <c r="AG634" s="488"/>
      <c r="AH634" s="488"/>
      <c r="AI634" s="488"/>
      <c r="AJ634" s="488"/>
    </row>
    <row r="635" spans="1:36" s="496" customFormat="1">
      <c r="A635" s="488"/>
      <c r="C635" s="488"/>
      <c r="D635" s="488"/>
      <c r="E635" s="488"/>
      <c r="F635" s="488"/>
      <c r="G635" s="488"/>
      <c r="H635" s="488"/>
      <c r="I635" s="488"/>
      <c r="J635" s="488"/>
      <c r="K635" s="488"/>
      <c r="L635" s="488"/>
      <c r="M635" s="488"/>
      <c r="N635" s="488"/>
      <c r="O635" s="488"/>
      <c r="P635" s="488"/>
      <c r="Q635" s="488"/>
      <c r="R635" s="488"/>
      <c r="S635" s="488"/>
      <c r="T635" s="488"/>
      <c r="U635" s="488"/>
      <c r="V635" s="488"/>
      <c r="W635" s="488"/>
      <c r="X635" s="488"/>
      <c r="Y635" s="488"/>
      <c r="Z635" s="488"/>
      <c r="AA635" s="488"/>
      <c r="AB635" s="488"/>
      <c r="AC635" s="488"/>
      <c r="AD635" s="488"/>
      <c r="AE635" s="488"/>
      <c r="AF635" s="488"/>
      <c r="AG635" s="488"/>
      <c r="AH635" s="488"/>
      <c r="AI635" s="488"/>
      <c r="AJ635" s="488"/>
    </row>
    <row r="636" spans="1:36" s="496" customFormat="1">
      <c r="A636" s="488"/>
      <c r="C636" s="488"/>
      <c r="D636" s="488"/>
      <c r="E636" s="488"/>
      <c r="F636" s="488"/>
      <c r="G636" s="488"/>
      <c r="H636" s="488"/>
      <c r="I636" s="488"/>
      <c r="J636" s="488"/>
      <c r="K636" s="488"/>
      <c r="L636" s="488"/>
      <c r="M636" s="488"/>
      <c r="N636" s="488"/>
      <c r="O636" s="488"/>
      <c r="P636" s="488"/>
      <c r="Q636" s="488"/>
      <c r="R636" s="488"/>
      <c r="S636" s="488"/>
      <c r="T636" s="488"/>
      <c r="U636" s="488"/>
      <c r="V636" s="488"/>
      <c r="W636" s="488"/>
      <c r="X636" s="488"/>
      <c r="Y636" s="488"/>
      <c r="Z636" s="488"/>
      <c r="AA636" s="488"/>
      <c r="AB636" s="488"/>
      <c r="AC636" s="488"/>
      <c r="AD636" s="488"/>
      <c r="AE636" s="488"/>
      <c r="AF636" s="488"/>
      <c r="AG636" s="488"/>
      <c r="AH636" s="488"/>
      <c r="AI636" s="488"/>
      <c r="AJ636" s="488"/>
    </row>
    <row r="637" spans="1:36" s="496" customFormat="1">
      <c r="A637" s="488"/>
      <c r="C637" s="488"/>
      <c r="D637" s="488"/>
      <c r="E637" s="488"/>
      <c r="F637" s="488"/>
      <c r="G637" s="488"/>
      <c r="H637" s="488"/>
      <c r="I637" s="488"/>
      <c r="J637" s="488"/>
      <c r="K637" s="488"/>
      <c r="L637" s="488"/>
      <c r="M637" s="488"/>
      <c r="N637" s="488"/>
      <c r="O637" s="488"/>
      <c r="P637" s="488"/>
      <c r="Q637" s="488"/>
      <c r="R637" s="488"/>
      <c r="S637" s="488"/>
      <c r="T637" s="488"/>
      <c r="U637" s="488"/>
      <c r="V637" s="488"/>
      <c r="W637" s="488"/>
      <c r="X637" s="488"/>
      <c r="Y637" s="488"/>
      <c r="Z637" s="488"/>
      <c r="AA637" s="488"/>
      <c r="AB637" s="488"/>
      <c r="AC637" s="488"/>
      <c r="AD637" s="488"/>
      <c r="AE637" s="488"/>
      <c r="AF637" s="488"/>
      <c r="AG637" s="488"/>
      <c r="AH637" s="488"/>
      <c r="AI637" s="488"/>
      <c r="AJ637" s="488"/>
    </row>
    <row r="638" spans="1:36" s="496" customFormat="1">
      <c r="A638" s="488"/>
      <c r="C638" s="488"/>
      <c r="D638" s="488"/>
      <c r="E638" s="488"/>
      <c r="F638" s="488"/>
      <c r="G638" s="488"/>
      <c r="H638" s="488"/>
      <c r="I638" s="488"/>
      <c r="J638" s="488"/>
      <c r="K638" s="488"/>
      <c r="L638" s="488"/>
      <c r="M638" s="488"/>
      <c r="N638" s="488"/>
      <c r="O638" s="488"/>
      <c r="P638" s="488"/>
      <c r="Q638" s="488"/>
      <c r="R638" s="488"/>
      <c r="S638" s="488"/>
      <c r="T638" s="488"/>
      <c r="U638" s="488"/>
      <c r="V638" s="488"/>
      <c r="W638" s="488"/>
      <c r="X638" s="488"/>
      <c r="Y638" s="488"/>
      <c r="Z638" s="488"/>
      <c r="AA638" s="488"/>
      <c r="AB638" s="488"/>
      <c r="AC638" s="488"/>
      <c r="AD638" s="488"/>
      <c r="AE638" s="488"/>
      <c r="AF638" s="488"/>
      <c r="AG638" s="488"/>
      <c r="AH638" s="488"/>
      <c r="AI638" s="488"/>
      <c r="AJ638" s="488"/>
    </row>
    <row r="639" spans="1:36" s="496" customFormat="1">
      <c r="A639" s="488"/>
      <c r="C639" s="488"/>
      <c r="D639" s="488"/>
      <c r="E639" s="488"/>
      <c r="F639" s="488"/>
      <c r="G639" s="488"/>
      <c r="H639" s="488"/>
      <c r="I639" s="488"/>
      <c r="J639" s="488"/>
      <c r="K639" s="488"/>
      <c r="L639" s="488"/>
      <c r="M639" s="488"/>
      <c r="N639" s="488"/>
      <c r="O639" s="488"/>
      <c r="P639" s="488"/>
      <c r="Q639" s="488"/>
      <c r="R639" s="488"/>
      <c r="S639" s="488"/>
      <c r="T639" s="488"/>
      <c r="U639" s="488"/>
      <c r="V639" s="488"/>
      <c r="W639" s="488"/>
      <c r="X639" s="488"/>
      <c r="Y639" s="488"/>
      <c r="Z639" s="488"/>
      <c r="AA639" s="488"/>
      <c r="AB639" s="488"/>
      <c r="AC639" s="488"/>
      <c r="AD639" s="488"/>
      <c r="AE639" s="488"/>
      <c r="AF639" s="488"/>
      <c r="AG639" s="488"/>
      <c r="AH639" s="488"/>
      <c r="AI639" s="488"/>
      <c r="AJ639" s="488"/>
    </row>
    <row r="640" spans="1:36" s="496" customFormat="1">
      <c r="A640" s="488"/>
      <c r="C640" s="488"/>
      <c r="D640" s="488"/>
      <c r="E640" s="488"/>
      <c r="F640" s="488"/>
      <c r="G640" s="488"/>
      <c r="H640" s="488"/>
      <c r="I640" s="488"/>
      <c r="J640" s="488"/>
      <c r="K640" s="488"/>
      <c r="L640" s="488"/>
      <c r="M640" s="488"/>
      <c r="N640" s="488"/>
      <c r="O640" s="488"/>
      <c r="P640" s="488"/>
      <c r="Q640" s="488"/>
      <c r="R640" s="488"/>
      <c r="S640" s="488"/>
      <c r="T640" s="488"/>
      <c r="U640" s="488"/>
      <c r="V640" s="488"/>
      <c r="W640" s="488"/>
      <c r="X640" s="488"/>
      <c r="Y640" s="488"/>
      <c r="Z640" s="488"/>
      <c r="AA640" s="488"/>
      <c r="AB640" s="488"/>
      <c r="AC640" s="488"/>
      <c r="AD640" s="488"/>
      <c r="AE640" s="488"/>
      <c r="AF640" s="488"/>
      <c r="AG640" s="488"/>
      <c r="AH640" s="488"/>
      <c r="AI640" s="488"/>
      <c r="AJ640" s="488"/>
    </row>
    <row r="641" spans="1:36" s="496" customFormat="1">
      <c r="A641" s="488"/>
      <c r="C641" s="488"/>
      <c r="D641" s="488"/>
      <c r="E641" s="488"/>
      <c r="F641" s="488"/>
      <c r="G641" s="488"/>
      <c r="H641" s="488"/>
      <c r="I641" s="488"/>
      <c r="J641" s="488"/>
      <c r="K641" s="488"/>
      <c r="L641" s="488"/>
      <c r="M641" s="488"/>
      <c r="N641" s="488"/>
      <c r="O641" s="488"/>
      <c r="P641" s="488"/>
      <c r="Q641" s="488"/>
      <c r="R641" s="488"/>
      <c r="S641" s="488"/>
      <c r="T641" s="488"/>
      <c r="U641" s="488"/>
      <c r="V641" s="488"/>
      <c r="W641" s="488"/>
      <c r="X641" s="488"/>
      <c r="Y641" s="488"/>
      <c r="Z641" s="488"/>
      <c r="AA641" s="488"/>
      <c r="AB641" s="488"/>
      <c r="AC641" s="488"/>
      <c r="AD641" s="488"/>
      <c r="AE641" s="488"/>
      <c r="AF641" s="488"/>
      <c r="AG641" s="488"/>
      <c r="AH641" s="488"/>
      <c r="AI641" s="488"/>
      <c r="AJ641" s="488"/>
    </row>
    <row r="642" spans="1:36" s="496" customFormat="1">
      <c r="A642" s="488"/>
      <c r="C642" s="488"/>
      <c r="D642" s="488"/>
      <c r="E642" s="488"/>
      <c r="F642" s="488"/>
      <c r="G642" s="488"/>
      <c r="H642" s="488"/>
      <c r="I642" s="488"/>
      <c r="J642" s="488"/>
      <c r="K642" s="488"/>
      <c r="L642" s="488"/>
      <c r="M642" s="488"/>
      <c r="N642" s="488"/>
      <c r="O642" s="488"/>
      <c r="P642" s="488"/>
      <c r="Q642" s="488"/>
      <c r="R642" s="488"/>
      <c r="S642" s="488"/>
      <c r="T642" s="488"/>
      <c r="U642" s="488"/>
      <c r="V642" s="488"/>
      <c r="W642" s="488"/>
      <c r="X642" s="488"/>
      <c r="Y642" s="488"/>
      <c r="Z642" s="488"/>
      <c r="AA642" s="488"/>
      <c r="AB642" s="488"/>
      <c r="AC642" s="488"/>
      <c r="AD642" s="488"/>
      <c r="AE642" s="488"/>
      <c r="AF642" s="488"/>
      <c r="AG642" s="488"/>
      <c r="AH642" s="488"/>
      <c r="AI642" s="488"/>
      <c r="AJ642" s="488"/>
    </row>
    <row r="643" spans="1:36" s="496" customFormat="1">
      <c r="A643" s="488"/>
      <c r="C643" s="488"/>
      <c r="D643" s="488"/>
      <c r="E643" s="488"/>
      <c r="F643" s="488"/>
      <c r="G643" s="488"/>
      <c r="H643" s="488"/>
      <c r="I643" s="488"/>
      <c r="J643" s="488"/>
      <c r="K643" s="488"/>
      <c r="L643" s="488"/>
      <c r="M643" s="488"/>
      <c r="N643" s="488"/>
      <c r="O643" s="488"/>
      <c r="P643" s="488"/>
      <c r="Q643" s="488"/>
      <c r="R643" s="488"/>
      <c r="S643" s="488"/>
      <c r="T643" s="488"/>
      <c r="U643" s="488"/>
      <c r="V643" s="488"/>
      <c r="W643" s="488"/>
      <c r="X643" s="488"/>
      <c r="Y643" s="488"/>
      <c r="Z643" s="488"/>
      <c r="AA643" s="488"/>
      <c r="AB643" s="488"/>
      <c r="AC643" s="488"/>
      <c r="AD643" s="488"/>
      <c r="AE643" s="488"/>
      <c r="AF643" s="488"/>
      <c r="AG643" s="488"/>
      <c r="AH643" s="488"/>
      <c r="AI643" s="488"/>
      <c r="AJ643" s="488"/>
    </row>
    <row r="644" spans="1:36" s="496" customFormat="1">
      <c r="A644" s="488"/>
      <c r="C644" s="488"/>
      <c r="D644" s="488"/>
      <c r="E644" s="488"/>
      <c r="F644" s="488"/>
      <c r="G644" s="488"/>
      <c r="H644" s="488"/>
      <c r="I644" s="488"/>
      <c r="J644" s="488"/>
      <c r="K644" s="488"/>
      <c r="L644" s="488"/>
      <c r="M644" s="488"/>
      <c r="N644" s="488"/>
      <c r="O644" s="488"/>
      <c r="P644" s="488"/>
      <c r="Q644" s="488"/>
      <c r="R644" s="488"/>
      <c r="S644" s="488"/>
      <c r="T644" s="488"/>
      <c r="U644" s="488"/>
      <c r="V644" s="488"/>
      <c r="W644" s="488"/>
      <c r="X644" s="488"/>
      <c r="Y644" s="488"/>
      <c r="Z644" s="488"/>
      <c r="AA644" s="488"/>
      <c r="AB644" s="488"/>
      <c r="AC644" s="488"/>
      <c r="AD644" s="488"/>
      <c r="AE644" s="488"/>
      <c r="AF644" s="488"/>
      <c r="AG644" s="488"/>
      <c r="AH644" s="488"/>
      <c r="AI644" s="488"/>
      <c r="AJ644" s="488"/>
    </row>
    <row r="645" spans="1:36" s="496" customFormat="1">
      <c r="A645" s="488"/>
      <c r="C645" s="488"/>
      <c r="D645" s="488"/>
      <c r="E645" s="488"/>
      <c r="F645" s="488"/>
      <c r="G645" s="488"/>
      <c r="H645" s="488"/>
      <c r="I645" s="488"/>
      <c r="J645" s="488"/>
      <c r="K645" s="488"/>
      <c r="L645" s="488"/>
      <c r="M645" s="488"/>
      <c r="N645" s="488"/>
      <c r="O645" s="488"/>
      <c r="P645" s="488"/>
      <c r="Q645" s="488"/>
      <c r="R645" s="488"/>
      <c r="S645" s="488"/>
      <c r="T645" s="488"/>
      <c r="U645" s="488"/>
      <c r="V645" s="488"/>
      <c r="W645" s="488"/>
      <c r="X645" s="488"/>
      <c r="Y645" s="488"/>
      <c r="Z645" s="488"/>
      <c r="AA645" s="488"/>
      <c r="AB645" s="488"/>
      <c r="AC645" s="488"/>
      <c r="AD645" s="488"/>
      <c r="AE645" s="488"/>
      <c r="AF645" s="488"/>
      <c r="AG645" s="488"/>
      <c r="AH645" s="488"/>
      <c r="AI645" s="488"/>
      <c r="AJ645" s="488"/>
    </row>
    <row r="646" spans="1:36" s="496" customFormat="1">
      <c r="A646" s="488"/>
      <c r="C646" s="488"/>
      <c r="D646" s="488"/>
      <c r="E646" s="488"/>
      <c r="F646" s="488"/>
      <c r="G646" s="488"/>
      <c r="H646" s="488"/>
      <c r="I646" s="488"/>
      <c r="J646" s="488"/>
      <c r="K646" s="488"/>
      <c r="L646" s="488"/>
      <c r="M646" s="488"/>
      <c r="N646" s="488"/>
      <c r="O646" s="488"/>
      <c r="P646" s="488"/>
      <c r="Q646" s="488"/>
      <c r="R646" s="488"/>
      <c r="S646" s="488"/>
      <c r="T646" s="488"/>
      <c r="U646" s="488"/>
      <c r="V646" s="488"/>
      <c r="W646" s="488"/>
      <c r="X646" s="488"/>
      <c r="Y646" s="488"/>
      <c r="Z646" s="488"/>
      <c r="AA646" s="488"/>
      <c r="AB646" s="488"/>
      <c r="AC646" s="488"/>
      <c r="AD646" s="488"/>
      <c r="AE646" s="488"/>
      <c r="AF646" s="488"/>
      <c r="AG646" s="488"/>
      <c r="AH646" s="488"/>
      <c r="AI646" s="488"/>
      <c r="AJ646" s="488"/>
    </row>
    <row r="647" spans="1:36" s="496" customFormat="1">
      <c r="A647" s="488"/>
      <c r="C647" s="488"/>
      <c r="D647" s="488"/>
      <c r="E647" s="488"/>
      <c r="F647" s="488"/>
      <c r="G647" s="488"/>
      <c r="H647" s="488"/>
      <c r="I647" s="488"/>
      <c r="J647" s="488"/>
      <c r="K647" s="488"/>
      <c r="L647" s="488"/>
      <c r="M647" s="488"/>
      <c r="N647" s="488"/>
      <c r="O647" s="488"/>
      <c r="P647" s="488"/>
      <c r="Q647" s="488"/>
      <c r="R647" s="488"/>
      <c r="S647" s="488"/>
      <c r="T647" s="488"/>
      <c r="U647" s="488"/>
      <c r="V647" s="488"/>
      <c r="W647" s="488"/>
      <c r="X647" s="488"/>
      <c r="Y647" s="488"/>
      <c r="Z647" s="488"/>
      <c r="AA647" s="488"/>
      <c r="AB647" s="488"/>
      <c r="AC647" s="488"/>
      <c r="AD647" s="488"/>
      <c r="AE647" s="488"/>
      <c r="AF647" s="488"/>
      <c r="AG647" s="488"/>
      <c r="AH647" s="488"/>
      <c r="AI647" s="488"/>
      <c r="AJ647" s="488"/>
    </row>
    <row r="648" spans="1:36" s="496" customFormat="1">
      <c r="A648" s="488"/>
      <c r="C648" s="488"/>
      <c r="D648" s="488"/>
      <c r="E648" s="488"/>
      <c r="F648" s="488"/>
      <c r="G648" s="488"/>
      <c r="H648" s="488"/>
      <c r="I648" s="488"/>
      <c r="J648" s="488"/>
      <c r="K648" s="488"/>
      <c r="L648" s="488"/>
      <c r="M648" s="488"/>
      <c r="N648" s="488"/>
      <c r="O648" s="488"/>
      <c r="P648" s="488"/>
      <c r="Q648" s="488"/>
      <c r="R648" s="488"/>
      <c r="S648" s="488"/>
      <c r="T648" s="488"/>
      <c r="U648" s="488"/>
      <c r="V648" s="488"/>
      <c r="W648" s="488"/>
      <c r="X648" s="488"/>
      <c r="Y648" s="488"/>
      <c r="Z648" s="488"/>
      <c r="AA648" s="488"/>
      <c r="AB648" s="488"/>
      <c r="AC648" s="488"/>
      <c r="AD648" s="488"/>
      <c r="AE648" s="488"/>
      <c r="AF648" s="488"/>
      <c r="AG648" s="488"/>
      <c r="AH648" s="488"/>
      <c r="AI648" s="488"/>
      <c r="AJ648" s="488"/>
    </row>
    <row r="649" spans="1:36" s="496" customFormat="1">
      <c r="A649" s="488"/>
      <c r="C649" s="488"/>
      <c r="D649" s="488"/>
      <c r="E649" s="488"/>
      <c r="F649" s="488"/>
      <c r="G649" s="488"/>
      <c r="H649" s="488"/>
      <c r="I649" s="488"/>
      <c r="J649" s="488"/>
      <c r="K649" s="488"/>
      <c r="L649" s="488"/>
      <c r="M649" s="488"/>
      <c r="N649" s="488"/>
      <c r="O649" s="488"/>
      <c r="P649" s="488"/>
      <c r="Q649" s="488"/>
      <c r="R649" s="488"/>
      <c r="S649" s="488"/>
      <c r="T649" s="488"/>
      <c r="U649" s="488"/>
      <c r="V649" s="488"/>
      <c r="W649" s="488"/>
      <c r="X649" s="488"/>
      <c r="Y649" s="488"/>
      <c r="Z649" s="488"/>
      <c r="AA649" s="488"/>
      <c r="AB649" s="488"/>
      <c r="AC649" s="488"/>
      <c r="AD649" s="488"/>
      <c r="AE649" s="488"/>
      <c r="AF649" s="488"/>
      <c r="AG649" s="488"/>
      <c r="AH649" s="488"/>
      <c r="AI649" s="488"/>
      <c r="AJ649" s="488"/>
    </row>
    <row r="650" spans="1:36" s="496" customFormat="1">
      <c r="A650" s="488"/>
      <c r="C650" s="488"/>
      <c r="D650" s="488"/>
      <c r="E650" s="488"/>
      <c r="F650" s="488"/>
      <c r="G650" s="488"/>
      <c r="H650" s="488"/>
      <c r="I650" s="488"/>
      <c r="J650" s="488"/>
      <c r="K650" s="488"/>
      <c r="L650" s="488"/>
      <c r="M650" s="488"/>
      <c r="N650" s="488"/>
      <c r="O650" s="488"/>
      <c r="P650" s="488"/>
      <c r="Q650" s="488"/>
      <c r="R650" s="488"/>
      <c r="S650" s="488"/>
      <c r="T650" s="488"/>
      <c r="U650" s="488"/>
      <c r="V650" s="488"/>
      <c r="W650" s="488"/>
      <c r="X650" s="488"/>
      <c r="Y650" s="488"/>
      <c r="Z650" s="488"/>
      <c r="AA650" s="488"/>
      <c r="AB650" s="488"/>
      <c r="AC650" s="488"/>
      <c r="AD650" s="488"/>
      <c r="AE650" s="488"/>
      <c r="AF650" s="488"/>
      <c r="AG650" s="488"/>
      <c r="AH650" s="488"/>
      <c r="AI650" s="488"/>
      <c r="AJ650" s="488"/>
    </row>
    <row r="651" spans="1:36" s="496" customFormat="1">
      <c r="A651" s="488"/>
      <c r="C651" s="488"/>
      <c r="D651" s="488"/>
      <c r="E651" s="488"/>
      <c r="F651" s="488"/>
      <c r="G651" s="488"/>
      <c r="H651" s="488"/>
      <c r="I651" s="488"/>
      <c r="J651" s="488"/>
      <c r="K651" s="488"/>
      <c r="L651" s="488"/>
      <c r="M651" s="488"/>
      <c r="N651" s="488"/>
      <c r="O651" s="488"/>
      <c r="P651" s="488"/>
      <c r="Q651" s="488"/>
      <c r="R651" s="488"/>
      <c r="S651" s="488"/>
      <c r="T651" s="488"/>
      <c r="U651" s="488"/>
      <c r="V651" s="488"/>
      <c r="W651" s="488"/>
      <c r="X651" s="488"/>
      <c r="Y651" s="488"/>
      <c r="Z651" s="488"/>
      <c r="AA651" s="488"/>
      <c r="AB651" s="488"/>
      <c r="AC651" s="488"/>
      <c r="AD651" s="488"/>
      <c r="AE651" s="488"/>
      <c r="AF651" s="488"/>
      <c r="AG651" s="488"/>
      <c r="AH651" s="488"/>
      <c r="AI651" s="488"/>
      <c r="AJ651" s="488"/>
    </row>
    <row r="652" spans="1:36" s="496" customFormat="1">
      <c r="A652" s="488"/>
      <c r="C652" s="488"/>
      <c r="D652" s="488"/>
      <c r="E652" s="488"/>
      <c r="F652" s="488"/>
      <c r="G652" s="488"/>
      <c r="H652" s="488"/>
      <c r="I652" s="488"/>
      <c r="J652" s="488"/>
      <c r="K652" s="488"/>
      <c r="L652" s="488"/>
      <c r="M652" s="488"/>
      <c r="N652" s="488"/>
      <c r="O652" s="488"/>
      <c r="P652" s="488"/>
      <c r="Q652" s="488"/>
      <c r="R652" s="488"/>
      <c r="S652" s="488"/>
      <c r="T652" s="488"/>
      <c r="U652" s="488"/>
      <c r="V652" s="488"/>
      <c r="W652" s="488"/>
      <c r="X652" s="488"/>
      <c r="Y652" s="488"/>
      <c r="Z652" s="488"/>
      <c r="AA652" s="488"/>
      <c r="AB652" s="488"/>
      <c r="AC652" s="488"/>
      <c r="AD652" s="488"/>
      <c r="AE652" s="488"/>
      <c r="AF652" s="488"/>
      <c r="AG652" s="488"/>
      <c r="AH652" s="488"/>
      <c r="AI652" s="488"/>
      <c r="AJ652" s="488"/>
    </row>
    <row r="653" spans="1:36" s="496" customFormat="1">
      <c r="A653" s="488"/>
      <c r="C653" s="488"/>
      <c r="D653" s="488"/>
      <c r="E653" s="488"/>
      <c r="F653" s="488"/>
      <c r="G653" s="488"/>
      <c r="H653" s="488"/>
      <c r="I653" s="488"/>
      <c r="J653" s="488"/>
      <c r="K653" s="488"/>
      <c r="L653" s="488"/>
      <c r="M653" s="488"/>
      <c r="N653" s="488"/>
      <c r="O653" s="488"/>
      <c r="P653" s="488"/>
      <c r="Q653" s="488"/>
      <c r="R653" s="488"/>
      <c r="S653" s="488"/>
      <c r="T653" s="488"/>
      <c r="U653" s="488"/>
      <c r="V653" s="488"/>
      <c r="W653" s="488"/>
      <c r="X653" s="488"/>
      <c r="Y653" s="488"/>
      <c r="Z653" s="488"/>
      <c r="AA653" s="488"/>
      <c r="AB653" s="488"/>
      <c r="AC653" s="488"/>
      <c r="AD653" s="488"/>
      <c r="AE653" s="488"/>
      <c r="AF653" s="488"/>
      <c r="AG653" s="488"/>
      <c r="AH653" s="488"/>
      <c r="AI653" s="488"/>
      <c r="AJ653" s="488"/>
    </row>
    <row r="654" spans="1:36" s="496" customFormat="1">
      <c r="A654" s="488"/>
      <c r="C654" s="488"/>
      <c r="D654" s="488"/>
      <c r="E654" s="488"/>
      <c r="F654" s="488"/>
      <c r="G654" s="488"/>
      <c r="H654" s="488"/>
      <c r="I654" s="488"/>
      <c r="J654" s="488"/>
      <c r="K654" s="488"/>
      <c r="L654" s="488"/>
      <c r="M654" s="488"/>
      <c r="N654" s="488"/>
      <c r="O654" s="488"/>
      <c r="P654" s="488"/>
      <c r="Q654" s="488"/>
      <c r="R654" s="488"/>
      <c r="S654" s="488"/>
      <c r="T654" s="488"/>
      <c r="U654" s="488"/>
      <c r="V654" s="488"/>
      <c r="W654" s="488"/>
      <c r="X654" s="488"/>
      <c r="Y654" s="488"/>
      <c r="Z654" s="488"/>
      <c r="AA654" s="488"/>
      <c r="AB654" s="488"/>
      <c r="AC654" s="488"/>
      <c r="AD654" s="488"/>
      <c r="AE654" s="488"/>
      <c r="AF654" s="488"/>
      <c r="AG654" s="488"/>
      <c r="AH654" s="488"/>
      <c r="AI654" s="488"/>
      <c r="AJ654" s="488"/>
    </row>
    <row r="655" spans="1:36" s="496" customFormat="1">
      <c r="A655" s="488"/>
      <c r="C655" s="488"/>
      <c r="D655" s="488"/>
      <c r="E655" s="488"/>
      <c r="F655" s="488"/>
      <c r="G655" s="488"/>
      <c r="H655" s="488"/>
      <c r="I655" s="488"/>
      <c r="J655" s="488"/>
      <c r="K655" s="488"/>
      <c r="L655" s="488"/>
      <c r="M655" s="488"/>
      <c r="N655" s="488"/>
      <c r="O655" s="488"/>
      <c r="P655" s="488"/>
      <c r="Q655" s="488"/>
      <c r="R655" s="488"/>
      <c r="S655" s="488"/>
      <c r="T655" s="488"/>
      <c r="U655" s="488"/>
      <c r="V655" s="488"/>
      <c r="W655" s="488"/>
      <c r="X655" s="488"/>
      <c r="Y655" s="488"/>
      <c r="Z655" s="488"/>
      <c r="AA655" s="488"/>
      <c r="AB655" s="488"/>
      <c r="AC655" s="488"/>
      <c r="AD655" s="488"/>
      <c r="AE655" s="488"/>
      <c r="AF655" s="488"/>
      <c r="AG655" s="488"/>
      <c r="AH655" s="488"/>
      <c r="AI655" s="488"/>
      <c r="AJ655" s="488"/>
    </row>
    <row r="656" spans="1:36" s="496" customFormat="1">
      <c r="A656" s="488"/>
      <c r="C656" s="488"/>
      <c r="D656" s="488"/>
      <c r="E656" s="488"/>
      <c r="F656" s="488"/>
      <c r="G656" s="488"/>
      <c r="H656" s="488"/>
      <c r="I656" s="488"/>
      <c r="J656" s="488"/>
      <c r="K656" s="488"/>
      <c r="L656" s="488"/>
      <c r="M656" s="488"/>
      <c r="N656" s="488"/>
      <c r="O656" s="488"/>
      <c r="P656" s="488"/>
      <c r="Q656" s="488"/>
      <c r="R656" s="488"/>
      <c r="S656" s="488"/>
      <c r="T656" s="488"/>
      <c r="U656" s="488"/>
      <c r="V656" s="488"/>
      <c r="W656" s="488"/>
      <c r="X656" s="488"/>
      <c r="Y656" s="488"/>
      <c r="Z656" s="488"/>
      <c r="AA656" s="488"/>
      <c r="AB656" s="488"/>
      <c r="AC656" s="488"/>
      <c r="AD656" s="488"/>
      <c r="AE656" s="488"/>
      <c r="AF656" s="488"/>
      <c r="AG656" s="488"/>
      <c r="AH656" s="488"/>
      <c r="AI656" s="488"/>
      <c r="AJ656" s="488"/>
    </row>
    <row r="657" spans="1:36" s="496" customFormat="1">
      <c r="A657" s="488"/>
      <c r="C657" s="488"/>
      <c r="D657" s="488"/>
      <c r="E657" s="488"/>
      <c r="F657" s="488"/>
      <c r="G657" s="488"/>
      <c r="H657" s="488"/>
      <c r="I657" s="488"/>
      <c r="J657" s="488"/>
      <c r="K657" s="488"/>
      <c r="L657" s="488"/>
      <c r="M657" s="488"/>
      <c r="N657" s="488"/>
      <c r="O657" s="488"/>
      <c r="P657" s="488"/>
      <c r="Q657" s="488"/>
      <c r="R657" s="488"/>
      <c r="S657" s="488"/>
      <c r="T657" s="488"/>
      <c r="U657" s="488"/>
      <c r="V657" s="488"/>
      <c r="W657" s="488"/>
      <c r="X657" s="488"/>
      <c r="Y657" s="488"/>
      <c r="Z657" s="488"/>
      <c r="AA657" s="488"/>
      <c r="AB657" s="488"/>
      <c r="AC657" s="488"/>
      <c r="AD657" s="488"/>
      <c r="AE657" s="488"/>
      <c r="AF657" s="488"/>
      <c r="AG657" s="488"/>
      <c r="AH657" s="488"/>
      <c r="AI657" s="488"/>
      <c r="AJ657" s="488"/>
    </row>
    <row r="658" spans="1:36" s="496" customFormat="1">
      <c r="A658" s="488"/>
      <c r="C658" s="488"/>
      <c r="D658" s="488"/>
      <c r="E658" s="488"/>
      <c r="F658" s="488"/>
      <c r="G658" s="488"/>
      <c r="H658" s="488"/>
      <c r="I658" s="488"/>
      <c r="J658" s="488"/>
      <c r="K658" s="488"/>
      <c r="L658" s="488"/>
      <c r="M658" s="488"/>
      <c r="N658" s="488"/>
      <c r="O658" s="488"/>
      <c r="P658" s="488"/>
      <c r="Q658" s="488"/>
      <c r="R658" s="488"/>
      <c r="S658" s="488"/>
      <c r="T658" s="488"/>
      <c r="U658" s="488"/>
      <c r="V658" s="488"/>
      <c r="W658" s="488"/>
      <c r="X658" s="488"/>
      <c r="Y658" s="488"/>
      <c r="Z658" s="488"/>
      <c r="AA658" s="488"/>
      <c r="AB658" s="488"/>
      <c r="AC658" s="488"/>
      <c r="AD658" s="488"/>
      <c r="AE658" s="488"/>
      <c r="AF658" s="488"/>
      <c r="AG658" s="488"/>
      <c r="AH658" s="488"/>
      <c r="AI658" s="488"/>
      <c r="AJ658" s="488"/>
    </row>
    <row r="659" spans="1:36" s="496" customFormat="1">
      <c r="A659" s="488"/>
      <c r="C659" s="488"/>
      <c r="D659" s="488"/>
      <c r="E659" s="488"/>
      <c r="F659" s="488"/>
      <c r="G659" s="488"/>
      <c r="H659" s="488"/>
      <c r="I659" s="488"/>
      <c r="J659" s="488"/>
      <c r="K659" s="488"/>
      <c r="L659" s="488"/>
      <c r="M659" s="488"/>
      <c r="N659" s="488"/>
      <c r="O659" s="488"/>
      <c r="P659" s="488"/>
      <c r="Q659" s="488"/>
      <c r="R659" s="488"/>
      <c r="S659" s="488"/>
      <c r="T659" s="488"/>
      <c r="U659" s="488"/>
      <c r="V659" s="488"/>
      <c r="W659" s="488"/>
      <c r="X659" s="488"/>
      <c r="Y659" s="488"/>
      <c r="Z659" s="488"/>
      <c r="AA659" s="488"/>
      <c r="AB659" s="488"/>
      <c r="AC659" s="488"/>
      <c r="AD659" s="488"/>
      <c r="AE659" s="488"/>
      <c r="AF659" s="488"/>
      <c r="AG659" s="488"/>
      <c r="AH659" s="488"/>
      <c r="AI659" s="488"/>
      <c r="AJ659" s="488"/>
    </row>
    <row r="660" spans="1:36" s="496" customFormat="1">
      <c r="A660" s="488"/>
      <c r="C660" s="488"/>
      <c r="D660" s="488"/>
      <c r="E660" s="488"/>
      <c r="F660" s="488"/>
      <c r="G660" s="488"/>
      <c r="H660" s="488"/>
      <c r="I660" s="488"/>
      <c r="J660" s="488"/>
      <c r="K660" s="488"/>
      <c r="L660" s="488"/>
      <c r="M660" s="488"/>
      <c r="N660" s="488"/>
      <c r="O660" s="488"/>
      <c r="P660" s="488"/>
      <c r="Q660" s="488"/>
      <c r="R660" s="488"/>
      <c r="S660" s="488"/>
      <c r="T660" s="488"/>
      <c r="U660" s="488"/>
      <c r="V660" s="488"/>
      <c r="W660" s="488"/>
      <c r="X660" s="488"/>
      <c r="Y660" s="488"/>
      <c r="Z660" s="488"/>
      <c r="AA660" s="488"/>
      <c r="AB660" s="488"/>
      <c r="AC660" s="488"/>
      <c r="AD660" s="488"/>
      <c r="AE660" s="488"/>
      <c r="AF660" s="488"/>
      <c r="AG660" s="488"/>
      <c r="AH660" s="488"/>
      <c r="AI660" s="488"/>
      <c r="AJ660" s="488"/>
    </row>
    <row r="661" spans="1:36" s="496" customFormat="1">
      <c r="A661" s="488"/>
      <c r="C661" s="488"/>
      <c r="D661" s="488"/>
      <c r="E661" s="488"/>
      <c r="F661" s="488"/>
      <c r="G661" s="488"/>
      <c r="H661" s="488"/>
      <c r="I661" s="488"/>
      <c r="J661" s="488"/>
      <c r="K661" s="488"/>
      <c r="L661" s="488"/>
      <c r="M661" s="488"/>
      <c r="N661" s="488"/>
      <c r="O661" s="488"/>
      <c r="P661" s="488"/>
      <c r="Q661" s="488"/>
      <c r="R661" s="488"/>
      <c r="S661" s="488"/>
      <c r="T661" s="488"/>
      <c r="U661" s="488"/>
      <c r="V661" s="488"/>
      <c r="W661" s="488"/>
      <c r="X661" s="488"/>
      <c r="Y661" s="488"/>
      <c r="Z661" s="488"/>
      <c r="AA661" s="488"/>
      <c r="AB661" s="488"/>
      <c r="AC661" s="488"/>
      <c r="AD661" s="488"/>
      <c r="AE661" s="488"/>
      <c r="AF661" s="488"/>
      <c r="AG661" s="488"/>
      <c r="AH661" s="488"/>
      <c r="AI661" s="488"/>
      <c r="AJ661" s="488"/>
    </row>
    <row r="662" spans="1:36" s="496" customFormat="1">
      <c r="A662" s="488"/>
      <c r="C662" s="488"/>
      <c r="D662" s="488"/>
      <c r="E662" s="488"/>
      <c r="F662" s="488"/>
      <c r="G662" s="488"/>
      <c r="H662" s="488"/>
      <c r="I662" s="488"/>
      <c r="J662" s="488"/>
      <c r="K662" s="488"/>
      <c r="L662" s="488"/>
      <c r="M662" s="488"/>
      <c r="N662" s="488"/>
      <c r="O662" s="488"/>
      <c r="P662" s="488"/>
      <c r="Q662" s="488"/>
      <c r="R662" s="488"/>
      <c r="S662" s="488"/>
      <c r="T662" s="488"/>
      <c r="U662" s="488"/>
      <c r="V662" s="488"/>
      <c r="W662" s="488"/>
      <c r="X662" s="488"/>
      <c r="Y662" s="488"/>
      <c r="Z662" s="488"/>
      <c r="AA662" s="488"/>
      <c r="AB662" s="488"/>
      <c r="AC662" s="488"/>
      <c r="AD662" s="488"/>
      <c r="AE662" s="488"/>
      <c r="AF662" s="488"/>
      <c r="AG662" s="488"/>
      <c r="AH662" s="488"/>
      <c r="AI662" s="488"/>
      <c r="AJ662" s="488"/>
    </row>
    <row r="663" spans="1:36" s="496" customFormat="1">
      <c r="A663" s="488"/>
      <c r="C663" s="488"/>
      <c r="D663" s="488"/>
      <c r="E663" s="488"/>
      <c r="F663" s="488"/>
      <c r="G663" s="488"/>
      <c r="H663" s="488"/>
      <c r="I663" s="488"/>
      <c r="J663" s="488"/>
      <c r="K663" s="488"/>
      <c r="L663" s="488"/>
      <c r="M663" s="488"/>
      <c r="N663" s="488"/>
      <c r="O663" s="488"/>
      <c r="P663" s="488"/>
      <c r="Q663" s="488"/>
      <c r="R663" s="488"/>
      <c r="S663" s="488"/>
      <c r="T663" s="488"/>
      <c r="U663" s="488"/>
      <c r="V663" s="488"/>
      <c r="W663" s="488"/>
      <c r="X663" s="488"/>
      <c r="Y663" s="488"/>
      <c r="Z663" s="488"/>
      <c r="AA663" s="488"/>
      <c r="AB663" s="488"/>
      <c r="AC663" s="488"/>
      <c r="AD663" s="488"/>
      <c r="AE663" s="488"/>
      <c r="AF663" s="488"/>
      <c r="AG663" s="488"/>
      <c r="AH663" s="488"/>
      <c r="AI663" s="488"/>
      <c r="AJ663" s="488"/>
    </row>
    <row r="664" spans="1:36" s="496" customFormat="1">
      <c r="A664" s="488"/>
      <c r="C664" s="488"/>
      <c r="D664" s="488"/>
      <c r="E664" s="488"/>
      <c r="F664" s="488"/>
      <c r="G664" s="488"/>
      <c r="H664" s="488"/>
      <c r="I664" s="488"/>
      <c r="J664" s="488"/>
      <c r="K664" s="488"/>
      <c r="L664" s="488"/>
      <c r="M664" s="488"/>
      <c r="N664" s="488"/>
      <c r="O664" s="488"/>
      <c r="P664" s="488"/>
      <c r="Q664" s="488"/>
      <c r="R664" s="488"/>
      <c r="S664" s="488"/>
      <c r="T664" s="488"/>
      <c r="U664" s="488"/>
      <c r="V664" s="488"/>
      <c r="W664" s="488"/>
      <c r="X664" s="488"/>
      <c r="Y664" s="488"/>
      <c r="Z664" s="488"/>
      <c r="AA664" s="488"/>
      <c r="AB664" s="488"/>
      <c r="AC664" s="488"/>
      <c r="AD664" s="488"/>
      <c r="AE664" s="488"/>
      <c r="AF664" s="488"/>
      <c r="AG664" s="488"/>
      <c r="AH664" s="488"/>
      <c r="AI664" s="488"/>
      <c r="AJ664" s="488"/>
    </row>
    <row r="665" spans="1:36" s="496" customFormat="1">
      <c r="A665" s="488"/>
      <c r="C665" s="488"/>
      <c r="D665" s="488"/>
      <c r="E665" s="488"/>
      <c r="F665" s="488"/>
      <c r="G665" s="488"/>
      <c r="H665" s="488"/>
      <c r="I665" s="488"/>
      <c r="J665" s="488"/>
      <c r="K665" s="488"/>
      <c r="L665" s="488"/>
      <c r="M665" s="488"/>
      <c r="N665" s="488"/>
      <c r="O665" s="488"/>
      <c r="P665" s="488"/>
      <c r="Q665" s="488"/>
      <c r="R665" s="488"/>
      <c r="S665" s="488"/>
      <c r="T665" s="488"/>
      <c r="U665" s="488"/>
      <c r="V665" s="488"/>
      <c r="W665" s="488"/>
      <c r="X665" s="488"/>
      <c r="Y665" s="488"/>
      <c r="Z665" s="488"/>
      <c r="AA665" s="488"/>
      <c r="AB665" s="488"/>
      <c r="AC665" s="488"/>
      <c r="AD665" s="488"/>
      <c r="AE665" s="488"/>
      <c r="AF665" s="488"/>
      <c r="AG665" s="488"/>
      <c r="AH665" s="488"/>
      <c r="AI665" s="488"/>
      <c r="AJ665" s="488"/>
    </row>
    <row r="666" spans="1:36" s="496" customFormat="1">
      <c r="A666" s="488"/>
      <c r="C666" s="488"/>
      <c r="D666" s="488"/>
      <c r="E666" s="488"/>
      <c r="F666" s="488"/>
      <c r="G666" s="488"/>
      <c r="H666" s="488"/>
      <c r="I666" s="488"/>
      <c r="J666" s="488"/>
      <c r="K666" s="488"/>
      <c r="L666" s="488"/>
      <c r="M666" s="488"/>
      <c r="N666" s="488"/>
      <c r="O666" s="488"/>
      <c r="P666" s="488"/>
      <c r="Q666" s="488"/>
      <c r="R666" s="488"/>
      <c r="S666" s="488"/>
      <c r="T666" s="488"/>
      <c r="U666" s="488"/>
      <c r="V666" s="488"/>
      <c r="W666" s="488"/>
      <c r="X666" s="488"/>
      <c r="Y666" s="488"/>
      <c r="Z666" s="488"/>
      <c r="AA666" s="488"/>
      <c r="AB666" s="488"/>
      <c r="AC666" s="488"/>
      <c r="AD666" s="488"/>
      <c r="AE666" s="488"/>
      <c r="AF666" s="488"/>
      <c r="AG666" s="488"/>
      <c r="AH666" s="488"/>
      <c r="AI666" s="488"/>
      <c r="AJ666" s="488"/>
    </row>
    <row r="667" spans="1:36" s="496" customFormat="1">
      <c r="A667" s="488"/>
      <c r="C667" s="488"/>
      <c r="D667" s="488"/>
      <c r="E667" s="488"/>
      <c r="F667" s="488"/>
      <c r="G667" s="488"/>
      <c r="H667" s="488"/>
      <c r="I667" s="488"/>
      <c r="J667" s="488"/>
      <c r="K667" s="488"/>
      <c r="L667" s="488"/>
      <c r="M667" s="488"/>
      <c r="N667" s="488"/>
      <c r="O667" s="488"/>
      <c r="P667" s="488"/>
      <c r="Q667" s="488"/>
      <c r="R667" s="488"/>
      <c r="S667" s="488"/>
      <c r="T667" s="488"/>
      <c r="U667" s="488"/>
      <c r="V667" s="488"/>
      <c r="W667" s="488"/>
      <c r="X667" s="488"/>
      <c r="Y667" s="488"/>
      <c r="Z667" s="488"/>
      <c r="AA667" s="488"/>
      <c r="AB667" s="488"/>
      <c r="AC667" s="488"/>
      <c r="AD667" s="488"/>
      <c r="AE667" s="488"/>
      <c r="AF667" s="488"/>
      <c r="AG667" s="488"/>
      <c r="AH667" s="488"/>
      <c r="AI667" s="488"/>
      <c r="AJ667" s="488"/>
    </row>
    <row r="668" spans="1:36" s="496" customFormat="1">
      <c r="A668" s="488"/>
      <c r="C668" s="488"/>
      <c r="D668" s="488"/>
      <c r="E668" s="488"/>
      <c r="F668" s="488"/>
      <c r="G668" s="488"/>
      <c r="H668" s="488"/>
      <c r="I668" s="488"/>
      <c r="J668" s="488"/>
      <c r="K668" s="488"/>
      <c r="L668" s="488"/>
      <c r="M668" s="488"/>
      <c r="N668" s="488"/>
      <c r="O668" s="488"/>
      <c r="P668" s="488"/>
      <c r="Q668" s="488"/>
      <c r="R668" s="488"/>
      <c r="S668" s="488"/>
      <c r="T668" s="488"/>
      <c r="U668" s="488"/>
      <c r="V668" s="488"/>
      <c r="W668" s="488"/>
      <c r="X668" s="488"/>
      <c r="Y668" s="488"/>
      <c r="Z668" s="488"/>
      <c r="AA668" s="488"/>
      <c r="AB668" s="488"/>
      <c r="AC668" s="488"/>
      <c r="AD668" s="488"/>
      <c r="AE668" s="488"/>
      <c r="AF668" s="488"/>
      <c r="AG668" s="488"/>
      <c r="AH668" s="488"/>
      <c r="AI668" s="488"/>
      <c r="AJ668" s="488"/>
    </row>
    <row r="669" spans="1:36" s="496" customFormat="1">
      <c r="A669" s="488"/>
      <c r="C669" s="488"/>
      <c r="D669" s="488"/>
      <c r="E669" s="488"/>
      <c r="F669" s="488"/>
      <c r="G669" s="488"/>
      <c r="H669" s="488"/>
      <c r="I669" s="488"/>
      <c r="J669" s="488"/>
      <c r="K669" s="488"/>
      <c r="L669" s="488"/>
      <c r="M669" s="488"/>
      <c r="N669" s="488"/>
      <c r="O669" s="488"/>
      <c r="P669" s="488"/>
      <c r="Q669" s="488"/>
      <c r="R669" s="488"/>
      <c r="S669" s="488"/>
      <c r="T669" s="488"/>
      <c r="U669" s="488"/>
      <c r="V669" s="488"/>
      <c r="W669" s="488"/>
      <c r="X669" s="488"/>
      <c r="Y669" s="488"/>
      <c r="Z669" s="488"/>
      <c r="AA669" s="488"/>
      <c r="AB669" s="488"/>
      <c r="AC669" s="488"/>
      <c r="AD669" s="488"/>
      <c r="AE669" s="488"/>
      <c r="AF669" s="488"/>
      <c r="AG669" s="488"/>
      <c r="AH669" s="488"/>
      <c r="AI669" s="488"/>
      <c r="AJ669" s="488"/>
    </row>
    <row r="670" spans="1:36" s="496" customFormat="1">
      <c r="A670" s="488"/>
      <c r="C670" s="488"/>
      <c r="D670" s="488"/>
      <c r="E670" s="488"/>
      <c r="F670" s="488"/>
      <c r="G670" s="488"/>
      <c r="H670" s="488"/>
      <c r="I670" s="488"/>
      <c r="J670" s="488"/>
      <c r="K670" s="488"/>
      <c r="L670" s="488"/>
      <c r="M670" s="488"/>
      <c r="N670" s="488"/>
      <c r="O670" s="488"/>
      <c r="P670" s="488"/>
      <c r="Q670" s="488"/>
      <c r="R670" s="488"/>
      <c r="S670" s="488"/>
      <c r="T670" s="488"/>
      <c r="U670" s="488"/>
      <c r="V670" s="488"/>
      <c r="W670" s="488"/>
      <c r="X670" s="488"/>
      <c r="Y670" s="488"/>
      <c r="Z670" s="488"/>
      <c r="AA670" s="488"/>
      <c r="AB670" s="488"/>
      <c r="AC670" s="488"/>
      <c r="AD670" s="488"/>
      <c r="AE670" s="488"/>
      <c r="AF670" s="488"/>
      <c r="AG670" s="488"/>
      <c r="AH670" s="488"/>
      <c r="AI670" s="488"/>
      <c r="AJ670" s="488"/>
    </row>
    <row r="671" spans="1:36" s="496" customFormat="1">
      <c r="A671" s="488"/>
      <c r="C671" s="488"/>
      <c r="D671" s="488"/>
      <c r="E671" s="488"/>
      <c r="F671" s="488"/>
      <c r="G671" s="488"/>
      <c r="H671" s="488"/>
      <c r="I671" s="488"/>
      <c r="J671" s="488"/>
      <c r="K671" s="488"/>
      <c r="L671" s="488"/>
      <c r="M671" s="488"/>
      <c r="N671" s="488"/>
      <c r="O671" s="488"/>
      <c r="P671" s="488"/>
      <c r="Q671" s="488"/>
      <c r="R671" s="488"/>
      <c r="S671" s="488"/>
      <c r="T671" s="488"/>
      <c r="U671" s="488"/>
      <c r="V671" s="488"/>
      <c r="W671" s="488"/>
      <c r="X671" s="488"/>
      <c r="Y671" s="488"/>
      <c r="Z671" s="488"/>
      <c r="AA671" s="488"/>
      <c r="AB671" s="488"/>
      <c r="AC671" s="488"/>
      <c r="AD671" s="488"/>
      <c r="AE671" s="488"/>
      <c r="AF671" s="488"/>
      <c r="AG671" s="488"/>
      <c r="AH671" s="488"/>
      <c r="AI671" s="488"/>
      <c r="AJ671" s="488"/>
    </row>
    <row r="672" spans="1:36" s="496" customFormat="1">
      <c r="A672" s="488"/>
      <c r="C672" s="488"/>
      <c r="D672" s="488"/>
      <c r="E672" s="488"/>
      <c r="F672" s="488"/>
      <c r="G672" s="488"/>
      <c r="H672" s="488"/>
      <c r="I672" s="488"/>
      <c r="J672" s="488"/>
      <c r="K672" s="488"/>
      <c r="L672" s="488"/>
      <c r="M672" s="488"/>
      <c r="N672" s="488"/>
      <c r="O672" s="488"/>
      <c r="P672" s="488"/>
      <c r="Q672" s="488"/>
      <c r="R672" s="488"/>
      <c r="S672" s="488"/>
      <c r="T672" s="488"/>
      <c r="U672" s="488"/>
      <c r="V672" s="488"/>
      <c r="W672" s="488"/>
      <c r="X672" s="488"/>
      <c r="Y672" s="488"/>
      <c r="Z672" s="488"/>
      <c r="AA672" s="488"/>
      <c r="AB672" s="488"/>
      <c r="AC672" s="488"/>
      <c r="AD672" s="488"/>
      <c r="AE672" s="488"/>
      <c r="AF672" s="488"/>
      <c r="AG672" s="488"/>
      <c r="AH672" s="488"/>
      <c r="AI672" s="488"/>
      <c r="AJ672" s="488"/>
    </row>
    <row r="673" spans="1:36" s="496" customFormat="1">
      <c r="A673" s="488"/>
      <c r="C673" s="488"/>
      <c r="D673" s="488"/>
      <c r="E673" s="488"/>
      <c r="F673" s="488"/>
      <c r="G673" s="488"/>
      <c r="H673" s="488"/>
      <c r="I673" s="488"/>
      <c r="J673" s="488"/>
      <c r="K673" s="488"/>
      <c r="L673" s="488"/>
      <c r="M673" s="488"/>
      <c r="N673" s="488"/>
      <c r="O673" s="488"/>
      <c r="P673" s="488"/>
      <c r="Q673" s="488"/>
      <c r="R673" s="488"/>
      <c r="S673" s="488"/>
      <c r="T673" s="488"/>
      <c r="U673" s="488"/>
      <c r="V673" s="488"/>
      <c r="W673" s="488"/>
      <c r="X673" s="488"/>
      <c r="Y673" s="488"/>
      <c r="Z673" s="488"/>
      <c r="AA673" s="488"/>
      <c r="AB673" s="488"/>
      <c r="AC673" s="488"/>
      <c r="AD673" s="488"/>
      <c r="AE673" s="488"/>
      <c r="AF673" s="488"/>
      <c r="AG673" s="488"/>
      <c r="AH673" s="488"/>
      <c r="AI673" s="488"/>
      <c r="AJ673" s="488"/>
    </row>
    <row r="674" spans="1:36" s="496" customFormat="1">
      <c r="A674" s="488"/>
      <c r="C674" s="488"/>
      <c r="D674" s="488"/>
      <c r="E674" s="488"/>
      <c r="F674" s="488"/>
      <c r="G674" s="488"/>
      <c r="H674" s="488"/>
      <c r="I674" s="488"/>
      <c r="J674" s="488"/>
      <c r="K674" s="488"/>
      <c r="L674" s="488"/>
      <c r="M674" s="488"/>
      <c r="N674" s="488"/>
      <c r="O674" s="488"/>
      <c r="P674" s="488"/>
      <c r="Q674" s="488"/>
      <c r="R674" s="488"/>
      <c r="S674" s="488"/>
      <c r="T674" s="488"/>
      <c r="U674" s="488"/>
      <c r="V674" s="488"/>
      <c r="W674" s="488"/>
      <c r="X674" s="488"/>
      <c r="Y674" s="488"/>
      <c r="Z674" s="488"/>
      <c r="AA674" s="488"/>
      <c r="AB674" s="488"/>
      <c r="AC674" s="488"/>
      <c r="AD674" s="488"/>
      <c r="AE674" s="488"/>
      <c r="AF674" s="488"/>
      <c r="AG674" s="488"/>
      <c r="AH674" s="488"/>
      <c r="AI674" s="488"/>
      <c r="AJ674" s="488"/>
    </row>
    <row r="675" spans="1:36" s="496" customFormat="1">
      <c r="A675" s="488"/>
      <c r="C675" s="488"/>
      <c r="D675" s="488"/>
      <c r="E675" s="488"/>
      <c r="F675" s="488"/>
      <c r="G675" s="488"/>
      <c r="H675" s="488"/>
      <c r="I675" s="488"/>
      <c r="J675" s="488"/>
      <c r="K675" s="488"/>
      <c r="L675" s="488"/>
      <c r="M675" s="488"/>
      <c r="N675" s="488"/>
      <c r="O675" s="488"/>
      <c r="P675" s="488"/>
      <c r="Q675" s="488"/>
      <c r="R675" s="488"/>
      <c r="S675" s="488"/>
      <c r="T675" s="488"/>
      <c r="U675" s="488"/>
      <c r="V675" s="488"/>
      <c r="W675" s="488"/>
      <c r="X675" s="488"/>
      <c r="Y675" s="488"/>
      <c r="Z675" s="488"/>
      <c r="AA675" s="488"/>
      <c r="AB675" s="488"/>
      <c r="AC675" s="488"/>
      <c r="AD675" s="488"/>
      <c r="AE675" s="488"/>
      <c r="AF675" s="488"/>
      <c r="AG675" s="488"/>
      <c r="AH675" s="488"/>
      <c r="AI675" s="488"/>
      <c r="AJ675" s="488"/>
    </row>
    <row r="676" spans="1:36" s="496" customFormat="1">
      <c r="A676" s="488"/>
      <c r="C676" s="488"/>
      <c r="D676" s="488"/>
      <c r="E676" s="488"/>
      <c r="F676" s="488"/>
      <c r="G676" s="488"/>
      <c r="H676" s="488"/>
      <c r="I676" s="488"/>
      <c r="J676" s="488"/>
      <c r="K676" s="488"/>
      <c r="L676" s="488"/>
      <c r="M676" s="488"/>
      <c r="N676" s="488"/>
      <c r="O676" s="488"/>
      <c r="P676" s="488"/>
      <c r="Q676" s="488"/>
      <c r="R676" s="488"/>
      <c r="S676" s="488"/>
      <c r="T676" s="488"/>
      <c r="U676" s="488"/>
      <c r="V676" s="488"/>
      <c r="W676" s="488"/>
      <c r="X676" s="488"/>
      <c r="Y676" s="488"/>
      <c r="Z676" s="488"/>
      <c r="AA676" s="488"/>
      <c r="AB676" s="488"/>
      <c r="AC676" s="488"/>
      <c r="AD676" s="488"/>
      <c r="AE676" s="488"/>
      <c r="AF676" s="488"/>
      <c r="AG676" s="488"/>
      <c r="AH676" s="488"/>
      <c r="AI676" s="488"/>
      <c r="AJ676" s="488"/>
    </row>
    <row r="677" spans="1:36" s="496" customFormat="1">
      <c r="A677" s="488"/>
      <c r="C677" s="488"/>
      <c r="D677" s="488"/>
      <c r="E677" s="488"/>
      <c r="F677" s="488"/>
      <c r="G677" s="488"/>
      <c r="H677" s="488"/>
      <c r="I677" s="488"/>
      <c r="J677" s="488"/>
      <c r="K677" s="488"/>
      <c r="L677" s="488"/>
      <c r="M677" s="488"/>
      <c r="N677" s="488"/>
      <c r="O677" s="488"/>
      <c r="P677" s="488"/>
      <c r="Q677" s="488"/>
      <c r="R677" s="488"/>
      <c r="S677" s="488"/>
      <c r="T677" s="488"/>
      <c r="U677" s="488"/>
      <c r="V677" s="488"/>
      <c r="W677" s="488"/>
      <c r="X677" s="488"/>
      <c r="Y677" s="488"/>
      <c r="Z677" s="488"/>
      <c r="AA677" s="488"/>
      <c r="AB677" s="488"/>
      <c r="AC677" s="488"/>
      <c r="AD677" s="488"/>
      <c r="AE677" s="488"/>
      <c r="AF677" s="488"/>
      <c r="AG677" s="488"/>
      <c r="AH677" s="488"/>
      <c r="AI677" s="488"/>
      <c r="AJ677" s="488"/>
    </row>
    <row r="678" spans="1:36" s="496" customFormat="1">
      <c r="A678" s="488"/>
      <c r="C678" s="488"/>
      <c r="D678" s="488"/>
      <c r="E678" s="488"/>
      <c r="F678" s="488"/>
      <c r="G678" s="488"/>
      <c r="H678" s="488"/>
      <c r="I678" s="488"/>
      <c r="J678" s="488"/>
      <c r="K678" s="488"/>
      <c r="L678" s="488"/>
      <c r="M678" s="488"/>
      <c r="N678" s="488"/>
      <c r="O678" s="488"/>
      <c r="P678" s="488"/>
      <c r="Q678" s="488"/>
      <c r="R678" s="488"/>
      <c r="S678" s="488"/>
      <c r="T678" s="488"/>
      <c r="U678" s="488"/>
      <c r="V678" s="488"/>
      <c r="W678" s="488"/>
      <c r="X678" s="488"/>
      <c r="Y678" s="488"/>
      <c r="Z678" s="488"/>
      <c r="AA678" s="488"/>
      <c r="AB678" s="488"/>
      <c r="AC678" s="488"/>
      <c r="AD678" s="488"/>
      <c r="AE678" s="488"/>
      <c r="AF678" s="488"/>
      <c r="AG678" s="488"/>
      <c r="AH678" s="488"/>
      <c r="AI678" s="488"/>
      <c r="AJ678" s="488"/>
    </row>
    <row r="679" spans="1:36" s="496" customFormat="1">
      <c r="A679" s="488"/>
      <c r="C679" s="488"/>
      <c r="D679" s="488"/>
      <c r="E679" s="488"/>
      <c r="F679" s="488"/>
      <c r="G679" s="488"/>
      <c r="H679" s="488"/>
      <c r="I679" s="488"/>
      <c r="J679" s="488"/>
      <c r="K679" s="488"/>
      <c r="L679" s="488"/>
      <c r="M679" s="488"/>
      <c r="N679" s="488"/>
      <c r="O679" s="488"/>
      <c r="P679" s="488"/>
      <c r="Q679" s="488"/>
      <c r="R679" s="488"/>
      <c r="S679" s="488"/>
      <c r="T679" s="488"/>
      <c r="U679" s="488"/>
      <c r="V679" s="488"/>
      <c r="W679" s="488"/>
      <c r="X679" s="488"/>
      <c r="Y679" s="488"/>
      <c r="Z679" s="488"/>
      <c r="AA679" s="488"/>
      <c r="AB679" s="488"/>
      <c r="AC679" s="488"/>
      <c r="AD679" s="488"/>
      <c r="AE679" s="488"/>
      <c r="AF679" s="488"/>
      <c r="AG679" s="488"/>
      <c r="AH679" s="488"/>
      <c r="AI679" s="488"/>
      <c r="AJ679" s="488"/>
    </row>
    <row r="680" spans="1:36" s="496" customFormat="1">
      <c r="A680" s="488"/>
      <c r="C680" s="488"/>
      <c r="D680" s="488"/>
      <c r="E680" s="488"/>
      <c r="F680" s="488"/>
      <c r="G680" s="488"/>
      <c r="H680" s="488"/>
      <c r="I680" s="488"/>
      <c r="J680" s="488"/>
      <c r="K680" s="488"/>
      <c r="L680" s="488"/>
      <c r="M680" s="488"/>
      <c r="N680" s="488"/>
      <c r="O680" s="488"/>
      <c r="P680" s="488"/>
      <c r="Q680" s="488"/>
      <c r="R680" s="488"/>
      <c r="S680" s="488"/>
      <c r="T680" s="488"/>
      <c r="U680" s="488"/>
      <c r="V680" s="488"/>
      <c r="W680" s="488"/>
      <c r="X680" s="488"/>
      <c r="Y680" s="488"/>
      <c r="Z680" s="488"/>
      <c r="AA680" s="488"/>
      <c r="AB680" s="488"/>
      <c r="AC680" s="488"/>
      <c r="AD680" s="488"/>
      <c r="AE680" s="488"/>
      <c r="AF680" s="488"/>
      <c r="AG680" s="488"/>
      <c r="AH680" s="488"/>
      <c r="AI680" s="488"/>
      <c r="AJ680" s="488"/>
    </row>
    <row r="681" spans="1:36" s="496" customFormat="1">
      <c r="A681" s="488"/>
      <c r="C681" s="488"/>
      <c r="D681" s="488"/>
      <c r="E681" s="488"/>
      <c r="F681" s="488"/>
      <c r="G681" s="488"/>
      <c r="H681" s="488"/>
      <c r="I681" s="488"/>
      <c r="J681" s="488"/>
      <c r="K681" s="488"/>
      <c r="L681" s="488"/>
      <c r="M681" s="488"/>
      <c r="N681" s="488"/>
      <c r="O681" s="488"/>
      <c r="P681" s="488"/>
      <c r="Q681" s="488"/>
      <c r="R681" s="488"/>
      <c r="S681" s="488"/>
      <c r="T681" s="488"/>
      <c r="U681" s="488"/>
      <c r="V681" s="488"/>
      <c r="W681" s="488"/>
      <c r="X681" s="488"/>
      <c r="Y681" s="488"/>
      <c r="Z681" s="488"/>
      <c r="AA681" s="488"/>
      <c r="AB681" s="488"/>
      <c r="AC681" s="488"/>
      <c r="AD681" s="488"/>
      <c r="AE681" s="488"/>
      <c r="AF681" s="488"/>
      <c r="AG681" s="488"/>
      <c r="AH681" s="488"/>
      <c r="AI681" s="488"/>
      <c r="AJ681" s="488"/>
    </row>
    <row r="682" spans="1:36" s="496" customFormat="1">
      <c r="A682" s="488"/>
      <c r="C682" s="488"/>
      <c r="D682" s="488"/>
      <c r="E682" s="488"/>
      <c r="F682" s="488"/>
      <c r="G682" s="488"/>
      <c r="H682" s="488"/>
      <c r="I682" s="488"/>
      <c r="J682" s="488"/>
      <c r="K682" s="488"/>
      <c r="L682" s="488"/>
      <c r="M682" s="488"/>
      <c r="N682" s="488"/>
      <c r="O682" s="488"/>
      <c r="P682" s="488"/>
      <c r="Q682" s="488"/>
      <c r="R682" s="488"/>
      <c r="S682" s="488"/>
      <c r="T682" s="488"/>
      <c r="U682" s="488"/>
      <c r="V682" s="488"/>
      <c r="W682" s="488"/>
      <c r="X682" s="488"/>
      <c r="Y682" s="488"/>
      <c r="Z682" s="488"/>
      <c r="AA682" s="488"/>
      <c r="AB682" s="488"/>
      <c r="AC682" s="488"/>
      <c r="AD682" s="488"/>
      <c r="AE682" s="488"/>
      <c r="AF682" s="488"/>
      <c r="AG682" s="488"/>
      <c r="AH682" s="488"/>
      <c r="AI682" s="488"/>
      <c r="AJ682" s="488"/>
    </row>
    <row r="683" spans="1:36" s="496" customFormat="1">
      <c r="A683" s="488"/>
      <c r="C683" s="488"/>
      <c r="D683" s="488"/>
      <c r="E683" s="488"/>
      <c r="F683" s="488"/>
      <c r="G683" s="488"/>
      <c r="H683" s="488"/>
      <c r="I683" s="488"/>
      <c r="J683" s="488"/>
      <c r="K683" s="488"/>
      <c r="L683" s="488"/>
      <c r="M683" s="488"/>
      <c r="N683" s="488"/>
      <c r="O683" s="488"/>
      <c r="P683" s="488"/>
      <c r="Q683" s="488"/>
      <c r="R683" s="488"/>
      <c r="S683" s="488"/>
      <c r="T683" s="488"/>
      <c r="U683" s="488"/>
      <c r="V683" s="488"/>
      <c r="W683" s="488"/>
      <c r="X683" s="488"/>
      <c r="Y683" s="488"/>
      <c r="Z683" s="488"/>
      <c r="AA683" s="488"/>
      <c r="AB683" s="488"/>
      <c r="AC683" s="488"/>
      <c r="AD683" s="488"/>
      <c r="AE683" s="488"/>
      <c r="AF683" s="488"/>
      <c r="AG683" s="488"/>
      <c r="AH683" s="488"/>
      <c r="AI683" s="488"/>
      <c r="AJ683" s="488"/>
    </row>
    <row r="684" spans="1:36" s="496" customFormat="1">
      <c r="A684" s="488"/>
      <c r="C684" s="488"/>
      <c r="D684" s="488"/>
      <c r="E684" s="488"/>
      <c r="F684" s="488"/>
      <c r="G684" s="488"/>
      <c r="H684" s="488"/>
      <c r="I684" s="488"/>
      <c r="J684" s="488"/>
      <c r="K684" s="488"/>
      <c r="L684" s="488"/>
      <c r="M684" s="488"/>
      <c r="N684" s="488"/>
      <c r="O684" s="488"/>
      <c r="P684" s="488"/>
      <c r="Q684" s="488"/>
      <c r="R684" s="488"/>
      <c r="S684" s="488"/>
      <c r="T684" s="488"/>
      <c r="U684" s="488"/>
      <c r="V684" s="488"/>
      <c r="W684" s="488"/>
      <c r="X684" s="488"/>
      <c r="Y684" s="488"/>
      <c r="Z684" s="488"/>
      <c r="AA684" s="488"/>
      <c r="AB684" s="488"/>
      <c r="AC684" s="488"/>
      <c r="AD684" s="488"/>
      <c r="AE684" s="488"/>
      <c r="AF684" s="488"/>
      <c r="AG684" s="488"/>
      <c r="AH684" s="488"/>
      <c r="AI684" s="488"/>
      <c r="AJ684" s="488"/>
    </row>
    <row r="685" spans="1:36" s="496" customFormat="1">
      <c r="A685" s="488"/>
      <c r="C685" s="488"/>
      <c r="D685" s="488"/>
      <c r="E685" s="488"/>
      <c r="F685" s="488"/>
      <c r="G685" s="488"/>
      <c r="H685" s="488"/>
      <c r="I685" s="488"/>
      <c r="J685" s="488"/>
      <c r="K685" s="488"/>
      <c r="L685" s="488"/>
      <c r="M685" s="488"/>
      <c r="N685" s="488"/>
      <c r="O685" s="488"/>
      <c r="P685" s="488"/>
      <c r="Q685" s="488"/>
      <c r="R685" s="488"/>
      <c r="S685" s="488"/>
      <c r="T685" s="488"/>
      <c r="U685" s="488"/>
      <c r="V685" s="488"/>
      <c r="W685" s="488"/>
      <c r="X685" s="488"/>
      <c r="Y685" s="488"/>
      <c r="Z685" s="488"/>
      <c r="AA685" s="488"/>
      <c r="AB685" s="488"/>
      <c r="AC685" s="488"/>
      <c r="AD685" s="488"/>
      <c r="AE685" s="488"/>
      <c r="AF685" s="488"/>
      <c r="AG685" s="488"/>
      <c r="AH685" s="488"/>
      <c r="AI685" s="488"/>
      <c r="AJ685" s="488"/>
    </row>
    <row r="686" spans="1:36" s="496" customFormat="1">
      <c r="A686" s="488"/>
      <c r="C686" s="488"/>
      <c r="D686" s="488"/>
      <c r="E686" s="488"/>
      <c r="F686" s="488"/>
      <c r="G686" s="488"/>
      <c r="H686" s="488"/>
      <c r="I686" s="488"/>
      <c r="J686" s="488"/>
      <c r="K686" s="488"/>
      <c r="L686" s="488"/>
      <c r="M686" s="488"/>
      <c r="N686" s="488"/>
      <c r="O686" s="488"/>
      <c r="P686" s="488"/>
      <c r="Q686" s="488"/>
      <c r="R686" s="488"/>
      <c r="S686" s="488"/>
      <c r="T686" s="488"/>
      <c r="U686" s="488"/>
      <c r="V686" s="488"/>
      <c r="W686" s="488"/>
      <c r="X686" s="488"/>
      <c r="Y686" s="488"/>
      <c r="Z686" s="488"/>
      <c r="AA686" s="488"/>
      <c r="AB686" s="488"/>
      <c r="AC686" s="488"/>
      <c r="AD686" s="488"/>
      <c r="AE686" s="488"/>
      <c r="AF686" s="488"/>
      <c r="AG686" s="488"/>
      <c r="AH686" s="488"/>
      <c r="AI686" s="488"/>
      <c r="AJ686" s="488"/>
    </row>
    <row r="687" spans="1:36" s="496" customFormat="1">
      <c r="A687" s="488"/>
      <c r="C687" s="488"/>
      <c r="D687" s="488"/>
      <c r="E687" s="488"/>
      <c r="F687" s="488"/>
      <c r="G687" s="488"/>
      <c r="H687" s="488"/>
      <c r="I687" s="488"/>
      <c r="J687" s="488"/>
      <c r="K687" s="488"/>
      <c r="L687" s="488"/>
      <c r="M687" s="488"/>
      <c r="N687" s="488"/>
      <c r="O687" s="488"/>
      <c r="P687" s="488"/>
      <c r="Q687" s="488"/>
      <c r="R687" s="488"/>
      <c r="S687" s="488"/>
      <c r="T687" s="488"/>
      <c r="U687" s="488"/>
      <c r="V687" s="488"/>
      <c r="W687" s="488"/>
      <c r="X687" s="488"/>
      <c r="Y687" s="488"/>
      <c r="Z687" s="488"/>
      <c r="AA687" s="488"/>
      <c r="AB687" s="488"/>
      <c r="AC687" s="488"/>
      <c r="AD687" s="488"/>
      <c r="AE687" s="488"/>
      <c r="AF687" s="488"/>
      <c r="AG687" s="488"/>
      <c r="AH687" s="488"/>
      <c r="AI687" s="488"/>
      <c r="AJ687" s="488"/>
    </row>
    <row r="688" spans="1:36" s="496" customFormat="1">
      <c r="A688" s="488"/>
      <c r="C688" s="488"/>
      <c r="D688" s="488"/>
      <c r="E688" s="488"/>
      <c r="F688" s="488"/>
      <c r="G688" s="488"/>
      <c r="H688" s="488"/>
      <c r="I688" s="488"/>
      <c r="J688" s="488"/>
      <c r="K688" s="488"/>
      <c r="L688" s="488"/>
      <c r="M688" s="488"/>
      <c r="N688" s="488"/>
      <c r="O688" s="488"/>
      <c r="P688" s="488"/>
      <c r="Q688" s="488"/>
      <c r="R688" s="488"/>
      <c r="S688" s="488"/>
      <c r="T688" s="488"/>
      <c r="U688" s="488"/>
      <c r="V688" s="488"/>
      <c r="W688" s="488"/>
      <c r="X688" s="488"/>
      <c r="Y688" s="488"/>
      <c r="Z688" s="488"/>
      <c r="AA688" s="488"/>
      <c r="AB688" s="488"/>
      <c r="AC688" s="488"/>
      <c r="AD688" s="488"/>
      <c r="AE688" s="488"/>
      <c r="AF688" s="488"/>
      <c r="AG688" s="488"/>
      <c r="AH688" s="488"/>
      <c r="AI688" s="488"/>
      <c r="AJ688" s="488"/>
    </row>
    <row r="689" spans="1:36" s="496" customFormat="1">
      <c r="A689" s="488"/>
      <c r="C689" s="488"/>
      <c r="D689" s="488"/>
      <c r="E689" s="488"/>
      <c r="F689" s="488"/>
      <c r="G689" s="488"/>
      <c r="H689" s="488"/>
      <c r="I689" s="488"/>
      <c r="J689" s="488"/>
      <c r="K689" s="488"/>
      <c r="L689" s="488"/>
      <c r="M689" s="488"/>
      <c r="N689" s="488"/>
      <c r="O689" s="488"/>
      <c r="P689" s="488"/>
      <c r="Q689" s="488"/>
      <c r="R689" s="488"/>
      <c r="S689" s="488"/>
      <c r="T689" s="488"/>
      <c r="U689" s="488"/>
      <c r="V689" s="488"/>
      <c r="W689" s="488"/>
      <c r="X689" s="488"/>
      <c r="Y689" s="488"/>
      <c r="Z689" s="488"/>
      <c r="AA689" s="488"/>
      <c r="AB689" s="488"/>
      <c r="AC689" s="488"/>
      <c r="AD689" s="488"/>
      <c r="AE689" s="488"/>
      <c r="AF689" s="488"/>
      <c r="AG689" s="488"/>
      <c r="AH689" s="488"/>
      <c r="AI689" s="488"/>
      <c r="AJ689" s="488"/>
    </row>
    <row r="690" spans="1:36" s="496" customFormat="1">
      <c r="A690" s="488"/>
      <c r="C690" s="488"/>
      <c r="D690" s="488"/>
      <c r="E690" s="488"/>
      <c r="F690" s="488"/>
      <c r="G690" s="488"/>
      <c r="H690" s="488"/>
      <c r="I690" s="488"/>
      <c r="J690" s="488"/>
      <c r="K690" s="488"/>
      <c r="L690" s="488"/>
      <c r="M690" s="488"/>
      <c r="N690" s="488"/>
      <c r="O690" s="488"/>
      <c r="P690" s="488"/>
      <c r="Q690" s="488"/>
      <c r="R690" s="488"/>
      <c r="S690" s="488"/>
      <c r="T690" s="488"/>
      <c r="U690" s="488"/>
      <c r="V690" s="488"/>
      <c r="W690" s="488"/>
      <c r="X690" s="488"/>
      <c r="Y690" s="488"/>
      <c r="Z690" s="488"/>
      <c r="AA690" s="488"/>
      <c r="AB690" s="488"/>
      <c r="AC690" s="488"/>
      <c r="AD690" s="488"/>
      <c r="AE690" s="488"/>
      <c r="AF690" s="488"/>
      <c r="AG690" s="488"/>
      <c r="AH690" s="488"/>
      <c r="AI690" s="488"/>
      <c r="AJ690" s="488"/>
    </row>
    <row r="691" spans="1:36" s="496" customFormat="1">
      <c r="A691" s="488"/>
      <c r="C691" s="488"/>
      <c r="D691" s="488"/>
      <c r="E691" s="488"/>
      <c r="F691" s="488"/>
      <c r="G691" s="488"/>
      <c r="H691" s="488"/>
      <c r="I691" s="488"/>
      <c r="J691" s="488"/>
      <c r="K691" s="488"/>
      <c r="L691" s="488"/>
      <c r="M691" s="488"/>
      <c r="N691" s="488"/>
      <c r="O691" s="488"/>
      <c r="P691" s="488"/>
      <c r="Q691" s="488"/>
      <c r="R691" s="488"/>
      <c r="S691" s="488"/>
      <c r="T691" s="488"/>
      <c r="U691" s="488"/>
      <c r="V691" s="488"/>
      <c r="W691" s="488"/>
      <c r="X691" s="488"/>
      <c r="Y691" s="488"/>
      <c r="Z691" s="488"/>
      <c r="AA691" s="488"/>
      <c r="AB691" s="488"/>
      <c r="AC691" s="488"/>
      <c r="AD691" s="488"/>
      <c r="AE691" s="488"/>
      <c r="AF691" s="488"/>
      <c r="AG691" s="488"/>
      <c r="AH691" s="488"/>
      <c r="AI691" s="488"/>
      <c r="AJ691" s="488"/>
    </row>
    <row r="692" spans="1:36" s="496" customFormat="1">
      <c r="A692" s="488"/>
      <c r="C692" s="488"/>
      <c r="D692" s="488"/>
      <c r="E692" s="488"/>
      <c r="F692" s="488"/>
      <c r="G692" s="488"/>
      <c r="H692" s="488"/>
      <c r="I692" s="488"/>
      <c r="J692" s="488"/>
      <c r="K692" s="488"/>
      <c r="L692" s="488"/>
      <c r="M692" s="488"/>
      <c r="N692" s="488"/>
      <c r="O692" s="488"/>
      <c r="P692" s="488"/>
      <c r="Q692" s="488"/>
      <c r="R692" s="488"/>
      <c r="S692" s="488"/>
      <c r="T692" s="488"/>
      <c r="U692" s="488"/>
      <c r="V692" s="488"/>
      <c r="W692" s="488"/>
      <c r="X692" s="488"/>
      <c r="Y692" s="488"/>
      <c r="Z692" s="488"/>
      <c r="AA692" s="488"/>
      <c r="AB692" s="488"/>
      <c r="AC692" s="488"/>
      <c r="AD692" s="488"/>
      <c r="AE692" s="488"/>
      <c r="AF692" s="488"/>
      <c r="AG692" s="488"/>
      <c r="AH692" s="488"/>
      <c r="AI692" s="488"/>
      <c r="AJ692" s="488"/>
    </row>
    <row r="693" spans="1:36" s="496" customFormat="1">
      <c r="A693" s="488"/>
      <c r="C693" s="488"/>
      <c r="D693" s="488"/>
      <c r="E693" s="488"/>
      <c r="F693" s="488"/>
      <c r="G693" s="488"/>
      <c r="H693" s="488"/>
      <c r="I693" s="488"/>
      <c r="J693" s="488"/>
      <c r="K693" s="488"/>
      <c r="L693" s="488"/>
      <c r="M693" s="488"/>
      <c r="N693" s="488"/>
      <c r="O693" s="488"/>
      <c r="P693" s="488"/>
      <c r="Q693" s="488"/>
      <c r="R693" s="488"/>
      <c r="S693" s="488"/>
      <c r="T693" s="488"/>
      <c r="U693" s="488"/>
      <c r="V693" s="488"/>
      <c r="W693" s="488"/>
      <c r="X693" s="488"/>
      <c r="Y693" s="488"/>
      <c r="Z693" s="488"/>
      <c r="AA693" s="488"/>
      <c r="AB693" s="488"/>
      <c r="AC693" s="488"/>
      <c r="AD693" s="488"/>
      <c r="AE693" s="488"/>
      <c r="AF693" s="488"/>
      <c r="AG693" s="488"/>
      <c r="AH693" s="488"/>
      <c r="AI693" s="488"/>
      <c r="AJ693" s="488"/>
    </row>
    <row r="694" spans="1:36" s="496" customFormat="1">
      <c r="A694" s="488"/>
      <c r="C694" s="488"/>
      <c r="D694" s="488"/>
      <c r="E694" s="488"/>
      <c r="F694" s="488"/>
      <c r="G694" s="488"/>
      <c r="H694" s="488"/>
      <c r="I694" s="488"/>
      <c r="J694" s="488"/>
      <c r="K694" s="488"/>
      <c r="L694" s="488"/>
      <c r="M694" s="488"/>
      <c r="N694" s="488"/>
      <c r="O694" s="488"/>
      <c r="P694" s="488"/>
      <c r="Q694" s="488"/>
      <c r="R694" s="488"/>
      <c r="S694" s="488"/>
      <c r="T694" s="488"/>
      <c r="U694" s="488"/>
      <c r="V694" s="488"/>
      <c r="W694" s="488"/>
      <c r="X694" s="488"/>
      <c r="Y694" s="488"/>
      <c r="Z694" s="488"/>
      <c r="AA694" s="488"/>
      <c r="AB694" s="488"/>
      <c r="AC694" s="488"/>
      <c r="AD694" s="488"/>
      <c r="AE694" s="488"/>
      <c r="AF694" s="488"/>
      <c r="AG694" s="488"/>
      <c r="AH694" s="488"/>
      <c r="AI694" s="488"/>
      <c r="AJ694" s="488"/>
    </row>
    <row r="695" spans="1:36" s="496" customFormat="1">
      <c r="A695" s="488"/>
      <c r="C695" s="488"/>
      <c r="D695" s="488"/>
      <c r="E695" s="488"/>
      <c r="F695" s="488"/>
      <c r="G695" s="488"/>
      <c r="H695" s="488"/>
      <c r="I695" s="488"/>
      <c r="J695" s="488"/>
      <c r="K695" s="488"/>
      <c r="L695" s="488"/>
      <c r="M695" s="488"/>
      <c r="N695" s="488"/>
      <c r="O695" s="488"/>
      <c r="P695" s="488"/>
      <c r="Q695" s="488"/>
      <c r="R695" s="488"/>
      <c r="S695" s="488"/>
      <c r="T695" s="488"/>
      <c r="U695" s="488"/>
      <c r="V695" s="488"/>
      <c r="W695" s="488"/>
      <c r="X695" s="488"/>
      <c r="Y695" s="488"/>
      <c r="Z695" s="488"/>
      <c r="AA695" s="488"/>
      <c r="AB695" s="488"/>
      <c r="AC695" s="488"/>
      <c r="AD695" s="488"/>
      <c r="AE695" s="488"/>
      <c r="AF695" s="488"/>
      <c r="AG695" s="488"/>
      <c r="AH695" s="488"/>
      <c r="AI695" s="488"/>
      <c r="AJ695" s="488"/>
    </row>
    <row r="696" spans="1:36" s="496" customFormat="1">
      <c r="A696" s="488"/>
      <c r="C696" s="488"/>
      <c r="D696" s="488"/>
      <c r="E696" s="488"/>
      <c r="F696" s="488"/>
      <c r="G696" s="488"/>
      <c r="H696" s="488"/>
      <c r="I696" s="488"/>
      <c r="J696" s="488"/>
      <c r="K696" s="488"/>
      <c r="L696" s="488"/>
      <c r="M696" s="488"/>
      <c r="N696" s="488"/>
      <c r="O696" s="488"/>
      <c r="P696" s="488"/>
      <c r="Q696" s="488"/>
      <c r="R696" s="488"/>
      <c r="S696" s="488"/>
      <c r="T696" s="488"/>
      <c r="U696" s="488"/>
      <c r="V696" s="488"/>
      <c r="W696" s="488"/>
      <c r="X696" s="488"/>
      <c r="Y696" s="488"/>
      <c r="Z696" s="488"/>
      <c r="AA696" s="488"/>
      <c r="AB696" s="488"/>
      <c r="AC696" s="488"/>
      <c r="AD696" s="488"/>
      <c r="AE696" s="488"/>
      <c r="AF696" s="488"/>
      <c r="AG696" s="488"/>
      <c r="AH696" s="488"/>
      <c r="AI696" s="488"/>
      <c r="AJ696" s="488"/>
    </row>
    <row r="697" spans="1:36" s="496" customFormat="1">
      <c r="A697" s="488"/>
      <c r="C697" s="488"/>
      <c r="D697" s="488"/>
      <c r="E697" s="488"/>
      <c r="F697" s="488"/>
      <c r="G697" s="488"/>
      <c r="H697" s="488"/>
      <c r="I697" s="488"/>
      <c r="J697" s="488"/>
      <c r="K697" s="488"/>
      <c r="L697" s="488"/>
      <c r="M697" s="488"/>
      <c r="N697" s="488"/>
      <c r="O697" s="488"/>
      <c r="P697" s="488"/>
      <c r="Q697" s="488"/>
      <c r="R697" s="488"/>
      <c r="S697" s="488"/>
      <c r="T697" s="488"/>
      <c r="U697" s="488"/>
      <c r="V697" s="488"/>
      <c r="W697" s="488"/>
      <c r="X697" s="488"/>
      <c r="Y697" s="488"/>
      <c r="Z697" s="488"/>
      <c r="AA697" s="488"/>
      <c r="AB697" s="488"/>
      <c r="AC697" s="488"/>
      <c r="AD697" s="488"/>
      <c r="AE697" s="488"/>
      <c r="AF697" s="488"/>
      <c r="AG697" s="488"/>
      <c r="AH697" s="488"/>
      <c r="AI697" s="488"/>
      <c r="AJ697" s="488"/>
    </row>
    <row r="698" spans="1:36" s="496" customFormat="1">
      <c r="A698" s="488"/>
      <c r="C698" s="488"/>
      <c r="D698" s="488"/>
      <c r="E698" s="488"/>
      <c r="F698" s="488"/>
      <c r="G698" s="488"/>
      <c r="H698" s="488"/>
      <c r="I698" s="488"/>
      <c r="J698" s="488"/>
      <c r="K698" s="488"/>
      <c r="L698" s="488"/>
      <c r="M698" s="488"/>
      <c r="N698" s="488"/>
      <c r="O698" s="488"/>
      <c r="P698" s="488"/>
      <c r="Q698" s="488"/>
      <c r="R698" s="488"/>
      <c r="S698" s="488"/>
      <c r="T698" s="488"/>
      <c r="U698" s="488"/>
      <c r="V698" s="488"/>
      <c r="W698" s="488"/>
      <c r="X698" s="488"/>
      <c r="Y698" s="488"/>
      <c r="Z698" s="488"/>
      <c r="AA698" s="488"/>
      <c r="AB698" s="488"/>
      <c r="AC698" s="488"/>
      <c r="AD698" s="488"/>
      <c r="AE698" s="488"/>
      <c r="AF698" s="488"/>
      <c r="AG698" s="488"/>
      <c r="AH698" s="488"/>
      <c r="AI698" s="488"/>
      <c r="AJ698" s="488"/>
    </row>
    <row r="699" spans="1:36" s="496" customFormat="1">
      <c r="A699" s="488"/>
      <c r="C699" s="488"/>
      <c r="D699" s="488"/>
      <c r="E699" s="488"/>
      <c r="F699" s="488"/>
      <c r="G699" s="488"/>
      <c r="H699" s="488"/>
      <c r="I699" s="488"/>
      <c r="J699" s="488"/>
      <c r="K699" s="488"/>
      <c r="L699" s="488"/>
      <c r="M699" s="488"/>
      <c r="N699" s="488"/>
      <c r="O699" s="488"/>
      <c r="P699" s="488"/>
      <c r="Q699" s="488"/>
      <c r="R699" s="488"/>
      <c r="S699" s="488"/>
      <c r="T699" s="488"/>
      <c r="U699" s="488"/>
      <c r="V699" s="488"/>
      <c r="W699" s="488"/>
      <c r="X699" s="488"/>
      <c r="Y699" s="488"/>
      <c r="Z699" s="488"/>
      <c r="AA699" s="488"/>
      <c r="AB699" s="488"/>
      <c r="AC699" s="488"/>
      <c r="AD699" s="488"/>
      <c r="AE699" s="488"/>
      <c r="AF699" s="488"/>
      <c r="AG699" s="488"/>
      <c r="AH699" s="488"/>
      <c r="AI699" s="488"/>
      <c r="AJ699" s="488"/>
    </row>
    <row r="700" spans="1:36" s="496" customFormat="1">
      <c r="A700" s="488"/>
      <c r="C700" s="488"/>
      <c r="D700" s="488"/>
      <c r="E700" s="488"/>
      <c r="F700" s="488"/>
      <c r="G700" s="488"/>
      <c r="H700" s="488"/>
      <c r="I700" s="488"/>
      <c r="J700" s="488"/>
      <c r="K700" s="488"/>
      <c r="L700" s="488"/>
      <c r="M700" s="488"/>
      <c r="N700" s="488"/>
      <c r="O700" s="488"/>
      <c r="P700" s="488"/>
      <c r="Q700" s="488"/>
      <c r="R700" s="488"/>
      <c r="S700" s="488"/>
      <c r="T700" s="488"/>
      <c r="U700" s="488"/>
      <c r="V700" s="488"/>
      <c r="W700" s="488"/>
      <c r="X700" s="488"/>
      <c r="Y700" s="488"/>
      <c r="Z700" s="488"/>
      <c r="AA700" s="488"/>
      <c r="AB700" s="488"/>
      <c r="AC700" s="488"/>
      <c r="AD700" s="488"/>
      <c r="AE700" s="488"/>
      <c r="AF700" s="488"/>
      <c r="AG700" s="488"/>
      <c r="AH700" s="488"/>
      <c r="AI700" s="488"/>
      <c r="AJ700" s="488"/>
    </row>
    <row r="701" spans="1:36" s="496" customFormat="1">
      <c r="A701" s="488"/>
      <c r="C701" s="488"/>
      <c r="D701" s="488"/>
      <c r="E701" s="488"/>
      <c r="F701" s="488"/>
      <c r="G701" s="488"/>
      <c r="H701" s="488"/>
      <c r="I701" s="488"/>
      <c r="J701" s="488"/>
      <c r="K701" s="488"/>
      <c r="L701" s="488"/>
      <c r="M701" s="488"/>
      <c r="N701" s="488"/>
      <c r="O701" s="488"/>
      <c r="P701" s="488"/>
      <c r="Q701" s="488"/>
      <c r="R701" s="488"/>
      <c r="S701" s="488"/>
      <c r="T701" s="488"/>
      <c r="U701" s="488"/>
      <c r="V701" s="488"/>
      <c r="W701" s="488"/>
      <c r="X701" s="488"/>
      <c r="Y701" s="488"/>
      <c r="Z701" s="488"/>
      <c r="AA701" s="488"/>
      <c r="AB701" s="488"/>
      <c r="AC701" s="488"/>
      <c r="AD701" s="488"/>
      <c r="AE701" s="488"/>
      <c r="AF701" s="488"/>
      <c r="AG701" s="488"/>
      <c r="AH701" s="488"/>
      <c r="AI701" s="488"/>
      <c r="AJ701" s="488"/>
    </row>
    <row r="702" spans="1:36" s="496" customFormat="1">
      <c r="A702" s="488"/>
      <c r="C702" s="488"/>
      <c r="D702" s="488"/>
      <c r="E702" s="488"/>
      <c r="F702" s="488"/>
      <c r="G702" s="488"/>
      <c r="H702" s="488"/>
      <c r="I702" s="488"/>
      <c r="J702" s="488"/>
      <c r="K702" s="488"/>
      <c r="L702" s="488"/>
      <c r="M702" s="488"/>
      <c r="N702" s="488"/>
      <c r="O702" s="488"/>
      <c r="P702" s="488"/>
      <c r="Q702" s="488"/>
      <c r="R702" s="488"/>
      <c r="S702" s="488"/>
      <c r="T702" s="488"/>
      <c r="U702" s="488"/>
      <c r="V702" s="488"/>
      <c r="W702" s="488"/>
      <c r="X702" s="488"/>
      <c r="Y702" s="488"/>
      <c r="Z702" s="488"/>
      <c r="AA702" s="488"/>
      <c r="AB702" s="488"/>
      <c r="AC702" s="488"/>
      <c r="AD702" s="488"/>
      <c r="AE702" s="488"/>
      <c r="AF702" s="488"/>
      <c r="AG702" s="488"/>
      <c r="AH702" s="488"/>
      <c r="AI702" s="488"/>
      <c r="AJ702" s="488"/>
    </row>
    <row r="703" spans="1:36" s="496" customFormat="1">
      <c r="A703" s="488"/>
      <c r="C703" s="488"/>
      <c r="D703" s="488"/>
      <c r="E703" s="488"/>
      <c r="F703" s="488"/>
      <c r="G703" s="488"/>
      <c r="H703" s="488"/>
      <c r="I703" s="488"/>
      <c r="J703" s="488"/>
      <c r="K703" s="488"/>
      <c r="L703" s="488"/>
      <c r="M703" s="488"/>
      <c r="N703" s="488"/>
      <c r="O703" s="488"/>
      <c r="P703" s="488"/>
      <c r="Q703" s="488"/>
      <c r="R703" s="488"/>
      <c r="S703" s="488"/>
      <c r="T703" s="488"/>
      <c r="U703" s="488"/>
      <c r="V703" s="488"/>
      <c r="W703" s="488"/>
      <c r="X703" s="488"/>
      <c r="Y703" s="488"/>
      <c r="Z703" s="488"/>
      <c r="AA703" s="488"/>
      <c r="AB703" s="488"/>
      <c r="AC703" s="488"/>
      <c r="AD703" s="488"/>
      <c r="AE703" s="488"/>
      <c r="AF703" s="488"/>
      <c r="AG703" s="488"/>
      <c r="AH703" s="488"/>
      <c r="AI703" s="488"/>
      <c r="AJ703" s="488"/>
    </row>
    <row r="704" spans="1:36" s="496" customFormat="1">
      <c r="A704" s="488"/>
      <c r="C704" s="488"/>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8"/>
      <c r="AD704" s="488"/>
      <c r="AE704" s="488"/>
      <c r="AF704" s="488"/>
      <c r="AG704" s="488"/>
      <c r="AH704" s="488"/>
      <c r="AI704" s="488"/>
      <c r="AJ704" s="488"/>
    </row>
    <row r="705" spans="1:36" s="496" customFormat="1">
      <c r="A705" s="488"/>
      <c r="C705" s="488"/>
      <c r="D705" s="488"/>
      <c r="E705" s="488"/>
      <c r="F705" s="488"/>
      <c r="G705" s="488"/>
      <c r="H705" s="488"/>
      <c r="I705" s="488"/>
      <c r="J705" s="488"/>
      <c r="K705" s="488"/>
      <c r="L705" s="488"/>
      <c r="M705" s="488"/>
      <c r="N705" s="488"/>
      <c r="O705" s="488"/>
      <c r="P705" s="488"/>
      <c r="Q705" s="488"/>
      <c r="R705" s="488"/>
      <c r="S705" s="488"/>
      <c r="T705" s="488"/>
      <c r="U705" s="488"/>
      <c r="V705" s="488"/>
      <c r="W705" s="488"/>
      <c r="X705" s="488"/>
      <c r="Y705" s="488"/>
      <c r="Z705" s="488"/>
      <c r="AA705" s="488"/>
      <c r="AB705" s="488"/>
      <c r="AC705" s="488"/>
      <c r="AD705" s="488"/>
      <c r="AE705" s="488"/>
      <c r="AF705" s="488"/>
      <c r="AG705" s="488"/>
      <c r="AH705" s="488"/>
      <c r="AI705" s="488"/>
      <c r="AJ705" s="488"/>
    </row>
    <row r="706" spans="1:36" s="496" customFormat="1">
      <c r="A706" s="488"/>
      <c r="C706" s="488"/>
      <c r="D706" s="488"/>
      <c r="E706" s="488"/>
      <c r="F706" s="488"/>
      <c r="G706" s="488"/>
      <c r="H706" s="488"/>
      <c r="I706" s="488"/>
      <c r="J706" s="488"/>
      <c r="K706" s="488"/>
      <c r="L706" s="488"/>
      <c r="M706" s="488"/>
      <c r="N706" s="488"/>
      <c r="O706" s="488"/>
      <c r="P706" s="488"/>
      <c r="Q706" s="488"/>
      <c r="R706" s="488"/>
      <c r="S706" s="488"/>
      <c r="T706" s="488"/>
      <c r="U706" s="488"/>
      <c r="V706" s="488"/>
      <c r="W706" s="488"/>
      <c r="X706" s="488"/>
      <c r="Y706" s="488"/>
      <c r="Z706" s="488"/>
      <c r="AA706" s="488"/>
      <c r="AB706" s="488"/>
      <c r="AC706" s="488"/>
      <c r="AD706" s="488"/>
      <c r="AE706" s="488"/>
      <c r="AF706" s="488"/>
      <c r="AG706" s="488"/>
      <c r="AH706" s="488"/>
      <c r="AI706" s="488"/>
      <c r="AJ706" s="488"/>
    </row>
    <row r="707" spans="1:36" s="496" customFormat="1">
      <c r="A707" s="488"/>
      <c r="C707" s="488"/>
      <c r="D707" s="488"/>
      <c r="E707" s="488"/>
      <c r="F707" s="488"/>
      <c r="G707" s="488"/>
      <c r="H707" s="488"/>
      <c r="I707" s="488"/>
      <c r="J707" s="488"/>
      <c r="K707" s="488"/>
      <c r="L707" s="488"/>
      <c r="M707" s="488"/>
      <c r="N707" s="488"/>
      <c r="O707" s="488"/>
      <c r="P707" s="488"/>
      <c r="Q707" s="488"/>
      <c r="R707" s="488"/>
      <c r="S707" s="488"/>
      <c r="T707" s="488"/>
      <c r="U707" s="488"/>
      <c r="V707" s="488"/>
      <c r="W707" s="488"/>
      <c r="X707" s="488"/>
      <c r="Y707" s="488"/>
      <c r="Z707" s="488"/>
      <c r="AA707" s="488"/>
      <c r="AB707" s="488"/>
      <c r="AC707" s="488"/>
      <c r="AD707" s="488"/>
      <c r="AE707" s="488"/>
      <c r="AF707" s="488"/>
      <c r="AG707" s="488"/>
      <c r="AH707" s="488"/>
      <c r="AI707" s="488"/>
      <c r="AJ707" s="488"/>
    </row>
    <row r="708" spans="1:36" s="496" customFormat="1">
      <c r="A708" s="488"/>
      <c r="C708" s="488"/>
      <c r="D708" s="488"/>
      <c r="E708" s="488"/>
      <c r="F708" s="488"/>
      <c r="G708" s="488"/>
      <c r="H708" s="488"/>
      <c r="I708" s="488"/>
      <c r="J708" s="488"/>
      <c r="K708" s="488"/>
      <c r="L708" s="488"/>
      <c r="M708" s="488"/>
      <c r="N708" s="488"/>
      <c r="O708" s="488"/>
      <c r="P708" s="488"/>
      <c r="Q708" s="488"/>
      <c r="R708" s="488"/>
      <c r="S708" s="488"/>
      <c r="T708" s="488"/>
      <c r="U708" s="488"/>
      <c r="V708" s="488"/>
      <c r="W708" s="488"/>
      <c r="X708" s="488"/>
      <c r="Y708" s="488"/>
      <c r="Z708" s="488"/>
      <c r="AA708" s="488"/>
      <c r="AB708" s="488"/>
      <c r="AC708" s="488"/>
      <c r="AD708" s="488"/>
      <c r="AE708" s="488"/>
      <c r="AF708" s="488"/>
      <c r="AG708" s="488"/>
      <c r="AH708" s="488"/>
      <c r="AI708" s="488"/>
      <c r="AJ708" s="488"/>
    </row>
    <row r="709" spans="1:36" s="496" customFormat="1">
      <c r="A709" s="488"/>
      <c r="C709" s="488"/>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8"/>
      <c r="AE709" s="488"/>
      <c r="AF709" s="488"/>
      <c r="AG709" s="488"/>
      <c r="AH709" s="488"/>
      <c r="AI709" s="488"/>
      <c r="AJ709" s="488"/>
    </row>
    <row r="710" spans="1:36" s="496" customFormat="1">
      <c r="A710" s="488"/>
      <c r="C710" s="488"/>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488"/>
      <c r="AE710" s="488"/>
      <c r="AF710" s="488"/>
      <c r="AG710" s="488"/>
      <c r="AH710" s="488"/>
      <c r="AI710" s="488"/>
      <c r="AJ710" s="488"/>
    </row>
    <row r="711" spans="1:36" s="496" customFormat="1">
      <c r="A711" s="488"/>
      <c r="C711" s="488"/>
      <c r="D711" s="488"/>
      <c r="E711" s="488"/>
      <c r="F711" s="488"/>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488"/>
      <c r="AD711" s="488"/>
      <c r="AE711" s="488"/>
      <c r="AF711" s="488"/>
      <c r="AG711" s="488"/>
      <c r="AH711" s="488"/>
      <c r="AI711" s="488"/>
      <c r="AJ711" s="488"/>
    </row>
    <row r="712" spans="1:36" s="496" customFormat="1">
      <c r="A712" s="488"/>
      <c r="C712" s="488"/>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488"/>
      <c r="AD712" s="488"/>
      <c r="AE712" s="488"/>
      <c r="AF712" s="488"/>
      <c r="AG712" s="488"/>
      <c r="AH712" s="488"/>
      <c r="AI712" s="488"/>
      <c r="AJ712" s="488"/>
    </row>
    <row r="713" spans="1:36" s="496" customFormat="1">
      <c r="A713" s="488"/>
      <c r="C713" s="488"/>
      <c r="D713" s="488"/>
      <c r="E713" s="488"/>
      <c r="F713" s="488"/>
      <c r="G713" s="488"/>
      <c r="H713" s="488"/>
      <c r="I713" s="488"/>
      <c r="J713" s="488"/>
      <c r="K713" s="488"/>
      <c r="L713" s="488"/>
      <c r="M713" s="488"/>
      <c r="N713" s="488"/>
      <c r="O713" s="488"/>
      <c r="P713" s="488"/>
      <c r="Q713" s="488"/>
      <c r="R713" s="488"/>
      <c r="S713" s="488"/>
      <c r="T713" s="488"/>
      <c r="U713" s="488"/>
      <c r="V713" s="488"/>
      <c r="W713" s="488"/>
      <c r="X713" s="488"/>
      <c r="Y713" s="488"/>
      <c r="Z713" s="488"/>
      <c r="AA713" s="488"/>
      <c r="AB713" s="488"/>
      <c r="AC713" s="488"/>
      <c r="AD713" s="488"/>
      <c r="AE713" s="488"/>
      <c r="AF713" s="488"/>
      <c r="AG713" s="488"/>
      <c r="AH713" s="488"/>
      <c r="AI713" s="488"/>
      <c r="AJ713" s="488"/>
    </row>
    <row r="714" spans="1:36" s="496" customFormat="1">
      <c r="A714" s="488"/>
      <c r="C714" s="488"/>
      <c r="D714" s="488"/>
      <c r="E714" s="488"/>
      <c r="F714" s="488"/>
      <c r="G714" s="488"/>
      <c r="H714" s="488"/>
      <c r="I714" s="488"/>
      <c r="J714" s="488"/>
      <c r="K714" s="488"/>
      <c r="L714" s="488"/>
      <c r="M714" s="488"/>
      <c r="N714" s="488"/>
      <c r="O714" s="488"/>
      <c r="P714" s="488"/>
      <c r="Q714" s="488"/>
      <c r="R714" s="488"/>
      <c r="S714" s="488"/>
      <c r="T714" s="488"/>
      <c r="U714" s="488"/>
      <c r="V714" s="488"/>
      <c r="W714" s="488"/>
      <c r="X714" s="488"/>
      <c r="Y714" s="488"/>
      <c r="Z714" s="488"/>
      <c r="AA714" s="488"/>
      <c r="AB714" s="488"/>
      <c r="AC714" s="488"/>
      <c r="AD714" s="488"/>
      <c r="AE714" s="488"/>
      <c r="AF714" s="488"/>
      <c r="AG714" s="488"/>
      <c r="AH714" s="488"/>
      <c r="AI714" s="488"/>
      <c r="AJ714" s="488"/>
    </row>
    <row r="715" spans="1:36" s="496" customFormat="1">
      <c r="A715" s="488"/>
      <c r="C715" s="488"/>
      <c r="D715" s="488"/>
      <c r="E715" s="488"/>
      <c r="F715" s="488"/>
      <c r="G715" s="488"/>
      <c r="H715" s="488"/>
      <c r="I715" s="488"/>
      <c r="J715" s="488"/>
      <c r="K715" s="488"/>
      <c r="L715" s="488"/>
      <c r="M715" s="488"/>
      <c r="N715" s="488"/>
      <c r="O715" s="488"/>
      <c r="P715" s="488"/>
      <c r="Q715" s="488"/>
      <c r="R715" s="488"/>
      <c r="S715" s="488"/>
      <c r="T715" s="488"/>
      <c r="U715" s="488"/>
      <c r="V715" s="488"/>
      <c r="W715" s="488"/>
      <c r="X715" s="488"/>
      <c r="Y715" s="488"/>
      <c r="Z715" s="488"/>
      <c r="AA715" s="488"/>
      <c r="AB715" s="488"/>
      <c r="AC715" s="488"/>
      <c r="AD715" s="488"/>
      <c r="AE715" s="488"/>
      <c r="AF715" s="488"/>
      <c r="AG715" s="488"/>
      <c r="AH715" s="488"/>
      <c r="AI715" s="488"/>
      <c r="AJ715" s="488"/>
    </row>
    <row r="716" spans="1:36" s="496" customFormat="1">
      <c r="A716" s="488"/>
      <c r="C716" s="488"/>
      <c r="D716" s="488"/>
      <c r="E716" s="488"/>
      <c r="F716" s="488"/>
      <c r="G716" s="488"/>
      <c r="H716" s="488"/>
      <c r="I716" s="488"/>
      <c r="J716" s="488"/>
      <c r="K716" s="488"/>
      <c r="L716" s="488"/>
      <c r="M716" s="488"/>
      <c r="N716" s="488"/>
      <c r="O716" s="488"/>
      <c r="P716" s="488"/>
      <c r="Q716" s="488"/>
      <c r="R716" s="488"/>
      <c r="S716" s="488"/>
      <c r="T716" s="488"/>
      <c r="U716" s="488"/>
      <c r="V716" s="488"/>
      <c r="W716" s="488"/>
      <c r="X716" s="488"/>
      <c r="Y716" s="488"/>
      <c r="Z716" s="488"/>
      <c r="AA716" s="488"/>
      <c r="AB716" s="488"/>
      <c r="AC716" s="488"/>
      <c r="AD716" s="488"/>
      <c r="AE716" s="488"/>
      <c r="AF716" s="488"/>
      <c r="AG716" s="488"/>
      <c r="AH716" s="488"/>
      <c r="AI716" s="488"/>
      <c r="AJ716" s="488"/>
    </row>
    <row r="717" spans="1:36" s="496" customFormat="1">
      <c r="A717" s="488"/>
      <c r="C717" s="488"/>
      <c r="D717" s="488"/>
      <c r="E717" s="488"/>
      <c r="F717" s="488"/>
      <c r="G717" s="488"/>
      <c r="H717" s="488"/>
      <c r="I717" s="488"/>
      <c r="J717" s="488"/>
      <c r="K717" s="488"/>
      <c r="L717" s="488"/>
      <c r="M717" s="488"/>
      <c r="N717" s="488"/>
      <c r="O717" s="488"/>
      <c r="P717" s="488"/>
      <c r="Q717" s="488"/>
      <c r="R717" s="488"/>
      <c r="S717" s="488"/>
      <c r="T717" s="488"/>
      <c r="U717" s="488"/>
      <c r="V717" s="488"/>
      <c r="W717" s="488"/>
      <c r="X717" s="488"/>
      <c r="Y717" s="488"/>
      <c r="Z717" s="488"/>
      <c r="AA717" s="488"/>
      <c r="AB717" s="488"/>
      <c r="AC717" s="488"/>
      <c r="AD717" s="488"/>
      <c r="AE717" s="488"/>
      <c r="AF717" s="488"/>
      <c r="AG717" s="488"/>
      <c r="AH717" s="488"/>
      <c r="AI717" s="488"/>
      <c r="AJ717" s="488"/>
    </row>
    <row r="718" spans="1:36" s="496" customFormat="1">
      <c r="A718" s="488"/>
      <c r="C718" s="488"/>
      <c r="D718" s="488"/>
      <c r="E718" s="488"/>
      <c r="F718" s="488"/>
      <c r="G718" s="488"/>
      <c r="H718" s="488"/>
      <c r="I718" s="488"/>
      <c r="J718" s="488"/>
      <c r="K718" s="488"/>
      <c r="L718" s="488"/>
      <c r="M718" s="488"/>
      <c r="N718" s="488"/>
      <c r="O718" s="488"/>
      <c r="P718" s="488"/>
      <c r="Q718" s="488"/>
      <c r="R718" s="488"/>
      <c r="S718" s="488"/>
      <c r="T718" s="488"/>
      <c r="U718" s="488"/>
      <c r="V718" s="488"/>
      <c r="W718" s="488"/>
      <c r="X718" s="488"/>
      <c r="Y718" s="488"/>
      <c r="Z718" s="488"/>
      <c r="AA718" s="488"/>
      <c r="AB718" s="488"/>
      <c r="AC718" s="488"/>
      <c r="AD718" s="488"/>
      <c r="AE718" s="488"/>
      <c r="AF718" s="488"/>
      <c r="AG718" s="488"/>
      <c r="AH718" s="488"/>
      <c r="AI718" s="488"/>
      <c r="AJ718" s="488"/>
    </row>
    <row r="719" spans="1:36" s="496" customFormat="1">
      <c r="A719" s="488"/>
      <c r="C719" s="488"/>
      <c r="D719" s="488"/>
      <c r="E719" s="488"/>
      <c r="F719" s="488"/>
      <c r="G719" s="488"/>
      <c r="H719" s="488"/>
      <c r="I719" s="488"/>
      <c r="J719" s="488"/>
      <c r="K719" s="488"/>
      <c r="L719" s="488"/>
      <c r="M719" s="488"/>
      <c r="N719" s="488"/>
      <c r="O719" s="488"/>
      <c r="P719" s="488"/>
      <c r="Q719" s="488"/>
      <c r="R719" s="488"/>
      <c r="S719" s="488"/>
      <c r="T719" s="488"/>
      <c r="U719" s="488"/>
      <c r="V719" s="488"/>
      <c r="W719" s="488"/>
      <c r="X719" s="488"/>
      <c r="Y719" s="488"/>
      <c r="Z719" s="488"/>
      <c r="AA719" s="488"/>
      <c r="AB719" s="488"/>
      <c r="AC719" s="488"/>
      <c r="AD719" s="488"/>
      <c r="AE719" s="488"/>
      <c r="AF719" s="488"/>
      <c r="AG719" s="488"/>
      <c r="AH719" s="488"/>
      <c r="AI719" s="488"/>
      <c r="AJ719" s="488"/>
    </row>
    <row r="720" spans="1:36" s="496" customFormat="1">
      <c r="A720" s="488"/>
      <c r="C720" s="488"/>
      <c r="D720" s="488"/>
      <c r="E720" s="488"/>
      <c r="F720" s="488"/>
      <c r="G720" s="488"/>
      <c r="H720" s="488"/>
      <c r="I720" s="488"/>
      <c r="J720" s="488"/>
      <c r="K720" s="488"/>
      <c r="L720" s="488"/>
      <c r="M720" s="488"/>
      <c r="N720" s="488"/>
      <c r="O720" s="488"/>
      <c r="P720" s="488"/>
      <c r="Q720" s="488"/>
      <c r="R720" s="488"/>
      <c r="S720" s="488"/>
      <c r="T720" s="488"/>
      <c r="U720" s="488"/>
      <c r="V720" s="488"/>
      <c r="W720" s="488"/>
      <c r="X720" s="488"/>
      <c r="Y720" s="488"/>
      <c r="Z720" s="488"/>
      <c r="AA720" s="488"/>
      <c r="AB720" s="488"/>
      <c r="AC720" s="488"/>
      <c r="AD720" s="488"/>
      <c r="AE720" s="488"/>
      <c r="AF720" s="488"/>
      <c r="AG720" s="488"/>
      <c r="AH720" s="488"/>
      <c r="AI720" s="488"/>
      <c r="AJ720" s="488"/>
    </row>
    <row r="721" spans="1:36" s="496" customFormat="1">
      <c r="A721" s="488"/>
      <c r="C721" s="488"/>
      <c r="D721" s="488"/>
      <c r="E721" s="488"/>
      <c r="F721" s="488"/>
      <c r="G721" s="488"/>
      <c r="H721" s="488"/>
      <c r="I721" s="488"/>
      <c r="J721" s="488"/>
      <c r="K721" s="488"/>
      <c r="L721" s="488"/>
      <c r="M721" s="488"/>
      <c r="N721" s="488"/>
      <c r="O721" s="488"/>
      <c r="P721" s="488"/>
      <c r="Q721" s="488"/>
      <c r="R721" s="488"/>
      <c r="S721" s="488"/>
      <c r="T721" s="488"/>
      <c r="U721" s="488"/>
      <c r="V721" s="488"/>
      <c r="W721" s="488"/>
      <c r="X721" s="488"/>
      <c r="Y721" s="488"/>
      <c r="Z721" s="488"/>
      <c r="AA721" s="488"/>
      <c r="AB721" s="488"/>
      <c r="AC721" s="488"/>
      <c r="AD721" s="488"/>
      <c r="AE721" s="488"/>
      <c r="AF721" s="488"/>
      <c r="AG721" s="488"/>
      <c r="AH721" s="488"/>
      <c r="AI721" s="488"/>
      <c r="AJ721" s="488"/>
    </row>
    <row r="722" spans="1:36" s="496" customFormat="1">
      <c r="A722" s="488"/>
      <c r="C722" s="488"/>
      <c r="D722" s="488"/>
      <c r="E722" s="488"/>
      <c r="F722" s="488"/>
      <c r="G722" s="488"/>
      <c r="H722" s="488"/>
      <c r="I722" s="488"/>
      <c r="J722" s="488"/>
      <c r="K722" s="488"/>
      <c r="L722" s="488"/>
      <c r="M722" s="488"/>
      <c r="N722" s="488"/>
      <c r="O722" s="488"/>
      <c r="P722" s="488"/>
      <c r="Q722" s="488"/>
      <c r="R722" s="488"/>
      <c r="S722" s="488"/>
      <c r="T722" s="488"/>
      <c r="U722" s="488"/>
      <c r="V722" s="488"/>
      <c r="W722" s="488"/>
      <c r="X722" s="488"/>
      <c r="Y722" s="488"/>
      <c r="Z722" s="488"/>
      <c r="AA722" s="488"/>
      <c r="AB722" s="488"/>
      <c r="AC722" s="488"/>
      <c r="AD722" s="488"/>
      <c r="AE722" s="488"/>
      <c r="AF722" s="488"/>
      <c r="AG722" s="488"/>
      <c r="AH722" s="488"/>
      <c r="AI722" s="488"/>
      <c r="AJ722" s="488"/>
    </row>
    <row r="723" spans="1:36" s="496" customFormat="1">
      <c r="A723" s="488"/>
      <c r="C723" s="488"/>
      <c r="D723" s="488"/>
      <c r="E723" s="488"/>
      <c r="F723" s="488"/>
      <c r="G723" s="488"/>
      <c r="H723" s="488"/>
      <c r="I723" s="488"/>
      <c r="J723" s="488"/>
      <c r="K723" s="488"/>
      <c r="L723" s="488"/>
      <c r="M723" s="488"/>
      <c r="N723" s="488"/>
      <c r="O723" s="488"/>
      <c r="P723" s="488"/>
      <c r="Q723" s="488"/>
      <c r="R723" s="488"/>
      <c r="S723" s="488"/>
      <c r="T723" s="488"/>
      <c r="U723" s="488"/>
      <c r="V723" s="488"/>
      <c r="W723" s="488"/>
      <c r="X723" s="488"/>
      <c r="Y723" s="488"/>
      <c r="Z723" s="488"/>
      <c r="AA723" s="488"/>
      <c r="AB723" s="488"/>
      <c r="AC723" s="488"/>
      <c r="AD723" s="488"/>
      <c r="AE723" s="488"/>
      <c r="AF723" s="488"/>
      <c r="AG723" s="488"/>
      <c r="AH723" s="488"/>
      <c r="AI723" s="488"/>
      <c r="AJ723" s="488"/>
    </row>
    <row r="724" spans="1:36" s="496" customFormat="1">
      <c r="A724" s="488"/>
      <c r="C724" s="488"/>
      <c r="D724" s="488"/>
      <c r="E724" s="488"/>
      <c r="F724" s="488"/>
      <c r="G724" s="488"/>
      <c r="H724" s="488"/>
      <c r="I724" s="488"/>
      <c r="J724" s="488"/>
      <c r="K724" s="488"/>
      <c r="L724" s="488"/>
      <c r="M724" s="488"/>
      <c r="N724" s="488"/>
      <c r="O724" s="488"/>
      <c r="P724" s="488"/>
      <c r="Q724" s="488"/>
      <c r="R724" s="488"/>
      <c r="S724" s="488"/>
      <c r="T724" s="488"/>
      <c r="U724" s="488"/>
      <c r="V724" s="488"/>
      <c r="W724" s="488"/>
      <c r="X724" s="488"/>
      <c r="Y724" s="488"/>
      <c r="Z724" s="488"/>
      <c r="AA724" s="488"/>
      <c r="AB724" s="488"/>
      <c r="AC724" s="488"/>
      <c r="AD724" s="488"/>
      <c r="AE724" s="488"/>
      <c r="AF724" s="488"/>
      <c r="AG724" s="488"/>
      <c r="AH724" s="488"/>
      <c r="AI724" s="488"/>
      <c r="AJ724" s="488"/>
    </row>
    <row r="725" spans="1:36" s="496" customFormat="1">
      <c r="A725" s="488"/>
      <c r="C725" s="488"/>
      <c r="D725" s="488"/>
      <c r="E725" s="488"/>
      <c r="F725" s="488"/>
      <c r="G725" s="488"/>
      <c r="H725" s="488"/>
      <c r="I725" s="488"/>
      <c r="J725" s="488"/>
      <c r="K725" s="488"/>
      <c r="L725" s="488"/>
      <c r="M725" s="488"/>
      <c r="N725" s="488"/>
      <c r="O725" s="488"/>
      <c r="P725" s="488"/>
      <c r="Q725" s="488"/>
      <c r="R725" s="488"/>
      <c r="S725" s="488"/>
      <c r="T725" s="488"/>
      <c r="U725" s="488"/>
      <c r="V725" s="488"/>
      <c r="W725" s="488"/>
      <c r="X725" s="488"/>
      <c r="Y725" s="488"/>
      <c r="Z725" s="488"/>
      <c r="AA725" s="488"/>
      <c r="AB725" s="488"/>
      <c r="AC725" s="488"/>
      <c r="AD725" s="488"/>
      <c r="AE725" s="488"/>
      <c r="AF725" s="488"/>
      <c r="AG725" s="488"/>
      <c r="AH725" s="488"/>
      <c r="AI725" s="488"/>
      <c r="AJ725" s="488"/>
    </row>
    <row r="726" spans="1:36" s="496" customFormat="1">
      <c r="A726" s="488"/>
      <c r="C726" s="488"/>
      <c r="D726" s="488"/>
      <c r="E726" s="488"/>
      <c r="F726" s="488"/>
      <c r="G726" s="488"/>
      <c r="H726" s="488"/>
      <c r="I726" s="488"/>
      <c r="J726" s="488"/>
      <c r="K726" s="488"/>
      <c r="L726" s="488"/>
      <c r="M726" s="488"/>
      <c r="N726" s="488"/>
      <c r="O726" s="488"/>
      <c r="P726" s="488"/>
      <c r="Q726" s="488"/>
      <c r="R726" s="488"/>
      <c r="S726" s="488"/>
      <c r="T726" s="488"/>
      <c r="U726" s="488"/>
      <c r="V726" s="488"/>
      <c r="W726" s="488"/>
      <c r="X726" s="488"/>
      <c r="Y726" s="488"/>
      <c r="Z726" s="488"/>
      <c r="AA726" s="488"/>
      <c r="AB726" s="488"/>
      <c r="AC726" s="488"/>
      <c r="AD726" s="488"/>
      <c r="AE726" s="488"/>
      <c r="AF726" s="488"/>
      <c r="AG726" s="488"/>
      <c r="AH726" s="488"/>
      <c r="AI726" s="488"/>
      <c r="AJ726" s="488"/>
    </row>
    <row r="727" spans="1:36" s="496" customFormat="1">
      <c r="A727" s="488"/>
      <c r="C727" s="488"/>
      <c r="D727" s="488"/>
      <c r="E727" s="488"/>
      <c r="F727" s="488"/>
      <c r="G727" s="488"/>
      <c r="H727" s="488"/>
      <c r="I727" s="488"/>
      <c r="J727" s="488"/>
      <c r="K727" s="488"/>
      <c r="L727" s="488"/>
      <c r="M727" s="488"/>
      <c r="N727" s="488"/>
      <c r="O727" s="488"/>
      <c r="P727" s="488"/>
      <c r="Q727" s="488"/>
      <c r="R727" s="488"/>
      <c r="S727" s="488"/>
      <c r="T727" s="488"/>
      <c r="U727" s="488"/>
      <c r="V727" s="488"/>
      <c r="W727" s="488"/>
      <c r="X727" s="488"/>
      <c r="Y727" s="488"/>
      <c r="Z727" s="488"/>
      <c r="AA727" s="488"/>
      <c r="AB727" s="488"/>
      <c r="AC727" s="488"/>
      <c r="AD727" s="488"/>
      <c r="AE727" s="488"/>
      <c r="AF727" s="488"/>
      <c r="AG727" s="488"/>
      <c r="AH727" s="488"/>
      <c r="AI727" s="488"/>
      <c r="AJ727" s="488"/>
    </row>
    <row r="728" spans="1:36" s="496" customFormat="1">
      <c r="A728" s="488"/>
      <c r="C728" s="488"/>
      <c r="D728" s="488"/>
      <c r="E728" s="488"/>
      <c r="F728" s="488"/>
      <c r="G728" s="488"/>
      <c r="H728" s="488"/>
      <c r="I728" s="488"/>
      <c r="J728" s="488"/>
      <c r="K728" s="488"/>
      <c r="L728" s="488"/>
      <c r="M728" s="488"/>
      <c r="N728" s="488"/>
      <c r="O728" s="488"/>
      <c r="P728" s="488"/>
      <c r="Q728" s="488"/>
      <c r="R728" s="488"/>
      <c r="S728" s="488"/>
      <c r="T728" s="488"/>
      <c r="U728" s="488"/>
      <c r="V728" s="488"/>
      <c r="W728" s="488"/>
      <c r="X728" s="488"/>
      <c r="Y728" s="488"/>
      <c r="Z728" s="488"/>
      <c r="AA728" s="488"/>
      <c r="AB728" s="488"/>
      <c r="AC728" s="488"/>
      <c r="AD728" s="488"/>
      <c r="AE728" s="488"/>
      <c r="AF728" s="488"/>
      <c r="AG728" s="488"/>
      <c r="AH728" s="488"/>
      <c r="AI728" s="488"/>
      <c r="AJ728" s="488"/>
    </row>
    <row r="729" spans="1:36" s="496" customFormat="1">
      <c r="A729" s="488"/>
      <c r="C729" s="488"/>
      <c r="D729" s="488"/>
      <c r="E729" s="488"/>
      <c r="F729" s="488"/>
      <c r="G729" s="488"/>
      <c r="H729" s="488"/>
      <c r="I729" s="488"/>
      <c r="J729" s="488"/>
      <c r="K729" s="488"/>
      <c r="L729" s="488"/>
      <c r="M729" s="488"/>
      <c r="N729" s="488"/>
      <c r="O729" s="488"/>
      <c r="P729" s="488"/>
      <c r="Q729" s="488"/>
      <c r="R729" s="488"/>
      <c r="S729" s="488"/>
      <c r="T729" s="488"/>
      <c r="U729" s="488"/>
      <c r="V729" s="488"/>
      <c r="W729" s="488"/>
      <c r="X729" s="488"/>
      <c r="Y729" s="488"/>
      <c r="Z729" s="488"/>
      <c r="AA729" s="488"/>
      <c r="AB729" s="488"/>
      <c r="AC729" s="488"/>
      <c r="AD729" s="488"/>
      <c r="AE729" s="488"/>
      <c r="AF729" s="488"/>
      <c r="AG729" s="488"/>
      <c r="AH729" s="488"/>
      <c r="AI729" s="488"/>
      <c r="AJ729" s="488"/>
    </row>
    <row r="730" spans="1:36" s="496" customFormat="1">
      <c r="A730" s="488"/>
      <c r="C730" s="488"/>
      <c r="D730" s="488"/>
      <c r="E730" s="488"/>
      <c r="F730" s="488"/>
      <c r="G730" s="488"/>
      <c r="H730" s="488"/>
      <c r="I730" s="488"/>
      <c r="J730" s="488"/>
      <c r="K730" s="488"/>
      <c r="L730" s="488"/>
      <c r="M730" s="488"/>
      <c r="N730" s="488"/>
      <c r="O730" s="488"/>
      <c r="P730" s="488"/>
      <c r="Q730" s="488"/>
      <c r="R730" s="488"/>
      <c r="S730" s="488"/>
      <c r="T730" s="488"/>
      <c r="U730" s="488"/>
      <c r="V730" s="488"/>
      <c r="W730" s="488"/>
      <c r="X730" s="488"/>
      <c r="Y730" s="488"/>
      <c r="Z730" s="488"/>
      <c r="AA730" s="488"/>
      <c r="AB730" s="488"/>
      <c r="AC730" s="488"/>
      <c r="AD730" s="488"/>
      <c r="AE730" s="488"/>
      <c r="AF730" s="488"/>
      <c r="AG730" s="488"/>
      <c r="AH730" s="488"/>
      <c r="AI730" s="488"/>
      <c r="AJ730" s="488"/>
    </row>
    <row r="731" spans="1:36" s="496" customFormat="1">
      <c r="A731" s="488"/>
      <c r="C731" s="488"/>
      <c r="D731" s="488"/>
      <c r="E731" s="488"/>
      <c r="F731" s="488"/>
      <c r="G731" s="488"/>
      <c r="H731" s="488"/>
      <c r="I731" s="488"/>
      <c r="J731" s="488"/>
      <c r="K731" s="488"/>
      <c r="L731" s="488"/>
      <c r="M731" s="488"/>
      <c r="N731" s="488"/>
      <c r="O731" s="488"/>
      <c r="P731" s="488"/>
      <c r="Q731" s="488"/>
      <c r="R731" s="488"/>
      <c r="S731" s="488"/>
      <c r="T731" s="488"/>
      <c r="U731" s="488"/>
      <c r="V731" s="488"/>
      <c r="W731" s="488"/>
      <c r="X731" s="488"/>
      <c r="Y731" s="488"/>
      <c r="Z731" s="488"/>
      <c r="AA731" s="488"/>
      <c r="AB731" s="488"/>
      <c r="AC731" s="488"/>
      <c r="AD731" s="488"/>
      <c r="AE731" s="488"/>
      <c r="AF731" s="488"/>
      <c r="AG731" s="488"/>
      <c r="AH731" s="488"/>
      <c r="AI731" s="488"/>
      <c r="AJ731" s="488"/>
    </row>
    <row r="732" spans="1:36" s="496" customFormat="1">
      <c r="A732" s="488"/>
      <c r="C732" s="488"/>
      <c r="D732" s="488"/>
      <c r="E732" s="488"/>
      <c r="F732" s="488"/>
      <c r="G732" s="488"/>
      <c r="H732" s="488"/>
      <c r="I732" s="488"/>
      <c r="J732" s="488"/>
      <c r="K732" s="488"/>
      <c r="L732" s="488"/>
      <c r="M732" s="488"/>
      <c r="N732" s="488"/>
      <c r="O732" s="488"/>
      <c r="P732" s="488"/>
      <c r="Q732" s="488"/>
      <c r="R732" s="488"/>
      <c r="S732" s="488"/>
      <c r="T732" s="488"/>
      <c r="U732" s="488"/>
      <c r="V732" s="488"/>
      <c r="W732" s="488"/>
      <c r="X732" s="488"/>
      <c r="Y732" s="488"/>
      <c r="Z732" s="488"/>
      <c r="AA732" s="488"/>
      <c r="AB732" s="488"/>
      <c r="AC732" s="488"/>
      <c r="AD732" s="488"/>
      <c r="AE732" s="488"/>
      <c r="AF732" s="488"/>
      <c r="AG732" s="488"/>
      <c r="AH732" s="488"/>
      <c r="AI732" s="488"/>
      <c r="AJ732" s="488"/>
    </row>
    <row r="733" spans="1:36" s="496" customFormat="1">
      <c r="A733" s="488"/>
      <c r="C733" s="488"/>
      <c r="D733" s="488"/>
      <c r="E733" s="488"/>
      <c r="F733" s="488"/>
      <c r="G733" s="488"/>
      <c r="H733" s="488"/>
      <c r="I733" s="488"/>
      <c r="J733" s="488"/>
      <c r="K733" s="488"/>
      <c r="L733" s="488"/>
      <c r="M733" s="488"/>
      <c r="N733" s="488"/>
      <c r="O733" s="488"/>
      <c r="P733" s="488"/>
      <c r="Q733" s="488"/>
      <c r="R733" s="488"/>
      <c r="S733" s="488"/>
      <c r="T733" s="488"/>
      <c r="U733" s="488"/>
      <c r="V733" s="488"/>
      <c r="W733" s="488"/>
      <c r="X733" s="488"/>
      <c r="Y733" s="488"/>
      <c r="Z733" s="488"/>
      <c r="AA733" s="488"/>
      <c r="AB733" s="488"/>
      <c r="AC733" s="488"/>
      <c r="AD733" s="488"/>
      <c r="AE733" s="488"/>
      <c r="AF733" s="488"/>
      <c r="AG733" s="488"/>
      <c r="AH733" s="488"/>
      <c r="AI733" s="488"/>
      <c r="AJ733" s="488"/>
    </row>
    <row r="734" spans="1:36" s="496" customFormat="1">
      <c r="A734" s="488"/>
      <c r="C734" s="488"/>
      <c r="D734" s="488"/>
      <c r="E734" s="488"/>
      <c r="F734" s="488"/>
      <c r="G734" s="488"/>
      <c r="H734" s="488"/>
      <c r="I734" s="488"/>
      <c r="J734" s="488"/>
      <c r="K734" s="488"/>
      <c r="L734" s="488"/>
      <c r="M734" s="488"/>
      <c r="N734" s="488"/>
      <c r="O734" s="488"/>
      <c r="P734" s="488"/>
      <c r="Q734" s="488"/>
      <c r="R734" s="488"/>
      <c r="S734" s="488"/>
      <c r="T734" s="488"/>
      <c r="U734" s="488"/>
      <c r="V734" s="488"/>
      <c r="W734" s="488"/>
      <c r="X734" s="488"/>
      <c r="Y734" s="488"/>
      <c r="Z734" s="488"/>
      <c r="AA734" s="488"/>
      <c r="AB734" s="488"/>
      <c r="AC734" s="488"/>
      <c r="AD734" s="488"/>
      <c r="AE734" s="488"/>
      <c r="AF734" s="488"/>
      <c r="AG734" s="488"/>
      <c r="AH734" s="488"/>
      <c r="AI734" s="488"/>
      <c r="AJ734" s="488"/>
    </row>
    <row r="735" spans="1:36" s="496" customFormat="1">
      <c r="A735" s="488"/>
      <c r="C735" s="488"/>
      <c r="D735" s="488"/>
      <c r="E735" s="488"/>
      <c r="F735" s="488"/>
      <c r="G735" s="488"/>
      <c r="H735" s="488"/>
      <c r="I735" s="488"/>
      <c r="J735" s="488"/>
      <c r="K735" s="488"/>
      <c r="L735" s="488"/>
      <c r="M735" s="488"/>
      <c r="N735" s="488"/>
      <c r="O735" s="488"/>
      <c r="P735" s="488"/>
      <c r="Q735" s="488"/>
      <c r="R735" s="488"/>
      <c r="S735" s="488"/>
      <c r="T735" s="488"/>
      <c r="U735" s="488"/>
      <c r="V735" s="488"/>
      <c r="W735" s="488"/>
      <c r="X735" s="488"/>
      <c r="Y735" s="488"/>
      <c r="Z735" s="488"/>
      <c r="AA735" s="488"/>
      <c r="AB735" s="488"/>
      <c r="AC735" s="488"/>
      <c r="AD735" s="488"/>
      <c r="AE735" s="488"/>
      <c r="AF735" s="488"/>
      <c r="AG735" s="488"/>
      <c r="AH735" s="488"/>
      <c r="AI735" s="488"/>
      <c r="AJ735" s="488"/>
    </row>
    <row r="736" spans="1:36" s="496" customFormat="1">
      <c r="A736" s="488"/>
      <c r="C736" s="488"/>
      <c r="D736" s="488"/>
      <c r="E736" s="488"/>
      <c r="F736" s="488"/>
      <c r="G736" s="488"/>
      <c r="H736" s="488"/>
      <c r="I736" s="488"/>
      <c r="J736" s="488"/>
      <c r="K736" s="488"/>
      <c r="L736" s="488"/>
      <c r="M736" s="488"/>
      <c r="N736" s="488"/>
      <c r="O736" s="488"/>
      <c r="P736" s="488"/>
      <c r="Q736" s="488"/>
      <c r="R736" s="488"/>
      <c r="S736" s="488"/>
      <c r="T736" s="488"/>
      <c r="U736" s="488"/>
      <c r="V736" s="488"/>
      <c r="W736" s="488"/>
      <c r="X736" s="488"/>
      <c r="Y736" s="488"/>
      <c r="Z736" s="488"/>
      <c r="AA736" s="488"/>
      <c r="AB736" s="488"/>
      <c r="AC736" s="488"/>
      <c r="AD736" s="488"/>
      <c r="AE736" s="488"/>
      <c r="AF736" s="488"/>
      <c r="AG736" s="488"/>
      <c r="AH736" s="488"/>
      <c r="AI736" s="488"/>
      <c r="AJ736" s="488"/>
    </row>
    <row r="737" spans="1:36" s="496" customFormat="1">
      <c r="A737" s="488"/>
      <c r="C737" s="488"/>
      <c r="D737" s="488"/>
      <c r="E737" s="488"/>
      <c r="F737" s="488"/>
      <c r="G737" s="488"/>
      <c r="H737" s="488"/>
      <c r="I737" s="488"/>
      <c r="J737" s="488"/>
      <c r="K737" s="488"/>
      <c r="L737" s="488"/>
      <c r="M737" s="488"/>
      <c r="N737" s="488"/>
      <c r="O737" s="488"/>
      <c r="P737" s="488"/>
      <c r="Q737" s="488"/>
      <c r="R737" s="488"/>
      <c r="S737" s="488"/>
      <c r="T737" s="488"/>
      <c r="U737" s="488"/>
      <c r="V737" s="488"/>
      <c r="W737" s="488"/>
      <c r="X737" s="488"/>
      <c r="Y737" s="488"/>
      <c r="Z737" s="488"/>
      <c r="AA737" s="488"/>
      <c r="AB737" s="488"/>
      <c r="AC737" s="488"/>
      <c r="AD737" s="488"/>
      <c r="AE737" s="488"/>
      <c r="AF737" s="488"/>
      <c r="AG737" s="488"/>
      <c r="AH737" s="488"/>
      <c r="AI737" s="488"/>
      <c r="AJ737" s="488"/>
    </row>
    <row r="738" spans="1:36" s="496" customFormat="1">
      <c r="A738" s="488"/>
      <c r="C738" s="488"/>
      <c r="D738" s="488"/>
      <c r="E738" s="488"/>
      <c r="F738" s="488"/>
      <c r="G738" s="488"/>
      <c r="H738" s="488"/>
      <c r="I738" s="488"/>
      <c r="J738" s="488"/>
      <c r="K738" s="488"/>
      <c r="L738" s="488"/>
      <c r="M738" s="488"/>
      <c r="N738" s="488"/>
      <c r="O738" s="488"/>
      <c r="P738" s="488"/>
      <c r="Q738" s="488"/>
      <c r="R738" s="488"/>
      <c r="S738" s="488"/>
      <c r="T738" s="488"/>
      <c r="U738" s="488"/>
      <c r="V738" s="488"/>
      <c r="W738" s="488"/>
      <c r="X738" s="488"/>
      <c r="Y738" s="488"/>
      <c r="Z738" s="488"/>
      <c r="AA738" s="488"/>
      <c r="AB738" s="488"/>
      <c r="AC738" s="488"/>
      <c r="AD738" s="488"/>
      <c r="AE738" s="488"/>
      <c r="AF738" s="488"/>
      <c r="AG738" s="488"/>
      <c r="AH738" s="488"/>
      <c r="AI738" s="488"/>
      <c r="AJ738" s="488"/>
    </row>
    <row r="739" spans="1:36" s="496" customFormat="1">
      <c r="A739" s="488"/>
      <c r="C739" s="488"/>
      <c r="D739" s="488"/>
      <c r="E739" s="488"/>
      <c r="F739" s="488"/>
      <c r="G739" s="488"/>
      <c r="H739" s="488"/>
      <c r="I739" s="488"/>
      <c r="J739" s="488"/>
      <c r="K739" s="488"/>
      <c r="L739" s="488"/>
      <c r="M739" s="488"/>
      <c r="N739" s="488"/>
      <c r="O739" s="488"/>
      <c r="P739" s="488"/>
      <c r="Q739" s="488"/>
      <c r="R739" s="488"/>
      <c r="S739" s="488"/>
      <c r="T739" s="488"/>
      <c r="U739" s="488"/>
      <c r="V739" s="488"/>
      <c r="W739" s="488"/>
      <c r="X739" s="488"/>
      <c r="Y739" s="488"/>
      <c r="Z739" s="488"/>
      <c r="AA739" s="488"/>
      <c r="AB739" s="488"/>
      <c r="AC739" s="488"/>
      <c r="AD739" s="488"/>
      <c r="AE739" s="488"/>
      <c r="AF739" s="488"/>
      <c r="AG739" s="488"/>
      <c r="AH739" s="488"/>
      <c r="AI739" s="488"/>
      <c r="AJ739" s="488"/>
    </row>
    <row r="740" spans="1:36" s="496" customFormat="1">
      <c r="A740" s="488"/>
      <c r="C740" s="488"/>
      <c r="D740" s="488"/>
      <c r="E740" s="488"/>
      <c r="F740" s="488"/>
      <c r="G740" s="488"/>
      <c r="H740" s="488"/>
      <c r="I740" s="488"/>
      <c r="J740" s="488"/>
      <c r="K740" s="488"/>
      <c r="L740" s="488"/>
      <c r="M740" s="488"/>
      <c r="N740" s="488"/>
      <c r="O740" s="488"/>
      <c r="P740" s="488"/>
      <c r="Q740" s="488"/>
      <c r="R740" s="488"/>
      <c r="S740" s="488"/>
      <c r="T740" s="488"/>
      <c r="U740" s="488"/>
      <c r="V740" s="488"/>
      <c r="W740" s="488"/>
      <c r="X740" s="488"/>
      <c r="Y740" s="488"/>
      <c r="Z740" s="488"/>
      <c r="AA740" s="488"/>
      <c r="AB740" s="488"/>
      <c r="AC740" s="488"/>
      <c r="AD740" s="488"/>
      <c r="AE740" s="488"/>
      <c r="AF740" s="488"/>
      <c r="AG740" s="488"/>
      <c r="AH740" s="488"/>
      <c r="AI740" s="488"/>
      <c r="AJ740" s="488"/>
    </row>
    <row r="741" spans="1:36" s="496" customFormat="1">
      <c r="A741" s="488"/>
      <c r="C741" s="488"/>
      <c r="D741" s="488"/>
      <c r="E741" s="488"/>
      <c r="F741" s="488"/>
      <c r="G741" s="488"/>
      <c r="H741" s="488"/>
      <c r="I741" s="488"/>
      <c r="J741" s="488"/>
      <c r="K741" s="488"/>
      <c r="L741" s="488"/>
      <c r="M741" s="488"/>
      <c r="N741" s="488"/>
      <c r="O741" s="488"/>
      <c r="P741" s="488"/>
      <c r="Q741" s="488"/>
      <c r="R741" s="488"/>
      <c r="S741" s="488"/>
      <c r="T741" s="488"/>
      <c r="U741" s="488"/>
      <c r="V741" s="488"/>
      <c r="W741" s="488"/>
      <c r="X741" s="488"/>
      <c r="Y741" s="488"/>
      <c r="Z741" s="488"/>
      <c r="AA741" s="488"/>
      <c r="AB741" s="488"/>
      <c r="AC741" s="488"/>
      <c r="AD741" s="488"/>
      <c r="AE741" s="488"/>
      <c r="AF741" s="488"/>
      <c r="AG741" s="488"/>
      <c r="AH741" s="488"/>
      <c r="AI741" s="488"/>
      <c r="AJ741" s="488"/>
    </row>
    <row r="742" spans="1:36" s="496" customFormat="1">
      <c r="A742" s="488"/>
      <c r="C742" s="488"/>
      <c r="D742" s="488"/>
      <c r="E742" s="488"/>
      <c r="F742" s="488"/>
      <c r="G742" s="488"/>
      <c r="H742" s="488"/>
      <c r="I742" s="488"/>
      <c r="J742" s="488"/>
      <c r="K742" s="488"/>
      <c r="L742" s="488"/>
      <c r="M742" s="488"/>
      <c r="N742" s="488"/>
      <c r="O742" s="488"/>
      <c r="P742" s="488"/>
      <c r="Q742" s="488"/>
      <c r="R742" s="488"/>
      <c r="S742" s="488"/>
      <c r="T742" s="488"/>
      <c r="U742" s="488"/>
      <c r="V742" s="488"/>
      <c r="W742" s="488"/>
      <c r="X742" s="488"/>
      <c r="Y742" s="488"/>
      <c r="Z742" s="488"/>
      <c r="AA742" s="488"/>
      <c r="AB742" s="488"/>
      <c r="AC742" s="488"/>
      <c r="AD742" s="488"/>
      <c r="AE742" s="488"/>
      <c r="AF742" s="488"/>
      <c r="AG742" s="488"/>
      <c r="AH742" s="488"/>
      <c r="AI742" s="488"/>
      <c r="AJ742" s="488"/>
    </row>
    <row r="743" spans="1:36" s="496" customFormat="1">
      <c r="A743" s="488"/>
      <c r="C743" s="488"/>
      <c r="D743" s="488"/>
      <c r="E743" s="488"/>
      <c r="F743" s="488"/>
      <c r="G743" s="488"/>
      <c r="H743" s="488"/>
      <c r="I743" s="488"/>
      <c r="J743" s="488"/>
      <c r="K743" s="488"/>
      <c r="L743" s="488"/>
      <c r="M743" s="488"/>
      <c r="N743" s="488"/>
      <c r="O743" s="488"/>
      <c r="P743" s="488"/>
      <c r="Q743" s="488"/>
      <c r="R743" s="488"/>
      <c r="S743" s="488"/>
      <c r="T743" s="488"/>
      <c r="U743" s="488"/>
      <c r="V743" s="488"/>
      <c r="W743" s="488"/>
      <c r="X743" s="488"/>
      <c r="Y743" s="488"/>
      <c r="Z743" s="488"/>
      <c r="AA743" s="488"/>
      <c r="AB743" s="488"/>
      <c r="AC743" s="488"/>
      <c r="AD743" s="488"/>
      <c r="AE743" s="488"/>
      <c r="AF743" s="488"/>
      <c r="AG743" s="488"/>
      <c r="AH743" s="488"/>
      <c r="AI743" s="488"/>
      <c r="AJ743" s="488"/>
    </row>
    <row r="744" spans="1:36" s="496" customFormat="1">
      <c r="A744" s="488"/>
      <c r="C744" s="488"/>
      <c r="D744" s="488"/>
      <c r="E744" s="488"/>
      <c r="F744" s="488"/>
      <c r="G744" s="488"/>
      <c r="H744" s="488"/>
      <c r="I744" s="488"/>
      <c r="J744" s="488"/>
      <c r="K744" s="488"/>
      <c r="L744" s="488"/>
      <c r="M744" s="488"/>
      <c r="N744" s="488"/>
      <c r="O744" s="488"/>
      <c r="P744" s="488"/>
      <c r="Q744" s="488"/>
      <c r="R744" s="488"/>
      <c r="S744" s="488"/>
      <c r="T744" s="488"/>
      <c r="U744" s="488"/>
      <c r="V744" s="488"/>
      <c r="W744" s="488"/>
      <c r="X744" s="488"/>
      <c r="Y744" s="488"/>
      <c r="Z744" s="488"/>
      <c r="AA744" s="488"/>
      <c r="AB744" s="488"/>
      <c r="AC744" s="488"/>
      <c r="AD744" s="488"/>
      <c r="AE744" s="488"/>
      <c r="AF744" s="488"/>
      <c r="AG744" s="488"/>
      <c r="AH744" s="488"/>
      <c r="AI744" s="488"/>
      <c r="AJ744" s="488"/>
    </row>
    <row r="745" spans="1:36" s="496" customFormat="1">
      <c r="A745" s="488"/>
      <c r="C745" s="488"/>
      <c r="D745" s="488"/>
      <c r="E745" s="488"/>
      <c r="F745" s="488"/>
      <c r="G745" s="488"/>
      <c r="H745" s="488"/>
      <c r="I745" s="488"/>
      <c r="J745" s="488"/>
      <c r="K745" s="488"/>
      <c r="L745" s="488"/>
      <c r="M745" s="488"/>
      <c r="N745" s="488"/>
      <c r="O745" s="488"/>
      <c r="P745" s="488"/>
      <c r="Q745" s="488"/>
      <c r="R745" s="488"/>
      <c r="S745" s="488"/>
      <c r="T745" s="488"/>
      <c r="U745" s="488"/>
      <c r="V745" s="488"/>
      <c r="W745" s="488"/>
      <c r="X745" s="488"/>
      <c r="Y745" s="488"/>
      <c r="Z745" s="488"/>
      <c r="AA745" s="488"/>
      <c r="AB745" s="488"/>
      <c r="AC745" s="488"/>
      <c r="AD745" s="488"/>
      <c r="AE745" s="488"/>
      <c r="AF745" s="488"/>
      <c r="AG745" s="488"/>
      <c r="AH745" s="488"/>
      <c r="AI745" s="488"/>
      <c r="AJ745" s="488"/>
    </row>
    <row r="746" spans="1:36" s="496" customFormat="1">
      <c r="A746" s="488"/>
      <c r="C746" s="488"/>
      <c r="D746" s="488"/>
      <c r="E746" s="488"/>
      <c r="F746" s="488"/>
      <c r="G746" s="488"/>
      <c r="H746" s="488"/>
      <c r="I746" s="488"/>
      <c r="J746" s="488"/>
      <c r="K746" s="488"/>
      <c r="L746" s="488"/>
      <c r="M746" s="488"/>
      <c r="N746" s="488"/>
      <c r="O746" s="488"/>
      <c r="P746" s="488"/>
      <c r="Q746" s="488"/>
      <c r="R746" s="488"/>
      <c r="S746" s="488"/>
      <c r="T746" s="488"/>
      <c r="U746" s="488"/>
      <c r="V746" s="488"/>
      <c r="W746" s="488"/>
      <c r="X746" s="488"/>
      <c r="Y746" s="488"/>
      <c r="Z746" s="488"/>
      <c r="AA746" s="488"/>
      <c r="AB746" s="488"/>
      <c r="AC746" s="488"/>
      <c r="AD746" s="488"/>
      <c r="AE746" s="488"/>
      <c r="AF746" s="488"/>
      <c r="AG746" s="488"/>
      <c r="AH746" s="488"/>
      <c r="AI746" s="488"/>
      <c r="AJ746" s="488"/>
    </row>
    <row r="747" spans="1:36" s="496" customFormat="1">
      <c r="A747" s="488"/>
      <c r="C747" s="488"/>
      <c r="D747" s="488"/>
      <c r="E747" s="488"/>
      <c r="F747" s="488"/>
      <c r="G747" s="488"/>
      <c r="H747" s="488"/>
      <c r="I747" s="488"/>
      <c r="J747" s="488"/>
      <c r="K747" s="488"/>
      <c r="L747" s="488"/>
      <c r="M747" s="488"/>
      <c r="N747" s="488"/>
      <c r="O747" s="488"/>
      <c r="P747" s="488"/>
      <c r="Q747" s="488"/>
      <c r="R747" s="488"/>
      <c r="S747" s="488"/>
      <c r="T747" s="488"/>
      <c r="U747" s="488"/>
      <c r="V747" s="488"/>
      <c r="W747" s="488"/>
      <c r="X747" s="488"/>
      <c r="Y747" s="488"/>
      <c r="Z747" s="488"/>
      <c r="AA747" s="488"/>
      <c r="AB747" s="488"/>
      <c r="AC747" s="488"/>
      <c r="AD747" s="488"/>
      <c r="AE747" s="488"/>
      <c r="AF747" s="488"/>
      <c r="AG747" s="488"/>
      <c r="AH747" s="488"/>
      <c r="AI747" s="488"/>
      <c r="AJ747" s="488"/>
    </row>
    <row r="748" spans="1:36" s="496" customFormat="1">
      <c r="A748" s="488"/>
      <c r="C748" s="488"/>
      <c r="D748" s="488"/>
      <c r="E748" s="488"/>
      <c r="F748" s="488"/>
      <c r="G748" s="488"/>
      <c r="H748" s="488"/>
      <c r="I748" s="488"/>
      <c r="J748" s="488"/>
      <c r="K748" s="488"/>
      <c r="L748" s="488"/>
      <c r="M748" s="488"/>
      <c r="N748" s="488"/>
      <c r="O748" s="488"/>
      <c r="P748" s="488"/>
      <c r="Q748" s="488"/>
      <c r="R748" s="488"/>
      <c r="S748" s="488"/>
      <c r="T748" s="488"/>
      <c r="U748" s="488"/>
      <c r="V748" s="488"/>
      <c r="W748" s="488"/>
      <c r="X748" s="488"/>
      <c r="Y748" s="488"/>
      <c r="Z748" s="488"/>
      <c r="AA748" s="488"/>
      <c r="AB748" s="488"/>
      <c r="AC748" s="488"/>
      <c r="AD748" s="488"/>
      <c r="AE748" s="488"/>
      <c r="AF748" s="488"/>
      <c r="AG748" s="488"/>
      <c r="AH748" s="488"/>
      <c r="AI748" s="488"/>
      <c r="AJ748" s="488"/>
    </row>
    <row r="749" spans="1:36" s="496" customFormat="1">
      <c r="A749" s="488"/>
      <c r="C749" s="488"/>
      <c r="D749" s="488"/>
      <c r="E749" s="488"/>
      <c r="F749" s="488"/>
      <c r="G749" s="488"/>
      <c r="H749" s="488"/>
      <c r="I749" s="488"/>
      <c r="J749" s="488"/>
      <c r="K749" s="488"/>
      <c r="L749" s="488"/>
      <c r="M749" s="488"/>
      <c r="N749" s="488"/>
      <c r="O749" s="488"/>
      <c r="P749" s="488"/>
      <c r="Q749" s="488"/>
      <c r="R749" s="488"/>
      <c r="S749" s="488"/>
      <c r="T749" s="488"/>
      <c r="U749" s="488"/>
      <c r="V749" s="488"/>
      <c r="W749" s="488"/>
      <c r="X749" s="488"/>
      <c r="Y749" s="488"/>
      <c r="Z749" s="488"/>
      <c r="AA749" s="488"/>
      <c r="AB749" s="488"/>
      <c r="AC749" s="488"/>
      <c r="AD749" s="488"/>
      <c r="AE749" s="488"/>
      <c r="AF749" s="488"/>
      <c r="AG749" s="488"/>
      <c r="AH749" s="488"/>
      <c r="AI749" s="488"/>
      <c r="AJ749" s="488"/>
    </row>
    <row r="750" spans="1:36" s="496" customFormat="1">
      <c r="A750" s="488"/>
      <c r="C750" s="488"/>
      <c r="D750" s="488"/>
      <c r="E750" s="488"/>
      <c r="F750" s="488"/>
      <c r="G750" s="488"/>
      <c r="H750" s="488"/>
      <c r="I750" s="488"/>
      <c r="J750" s="488"/>
      <c r="K750" s="488"/>
      <c r="L750" s="488"/>
      <c r="M750" s="488"/>
      <c r="N750" s="488"/>
      <c r="O750" s="488"/>
      <c r="P750" s="488"/>
      <c r="Q750" s="488"/>
      <c r="R750" s="488"/>
      <c r="S750" s="488"/>
      <c r="T750" s="488"/>
      <c r="U750" s="488"/>
      <c r="V750" s="488"/>
      <c r="W750" s="488"/>
      <c r="X750" s="488"/>
      <c r="Y750" s="488"/>
      <c r="Z750" s="488"/>
      <c r="AA750" s="488"/>
      <c r="AB750" s="488"/>
      <c r="AC750" s="488"/>
      <c r="AD750" s="488"/>
      <c r="AE750" s="488"/>
      <c r="AF750" s="488"/>
      <c r="AG750" s="488"/>
      <c r="AH750" s="488"/>
      <c r="AI750" s="488"/>
      <c r="AJ750" s="488"/>
    </row>
    <row r="751" spans="1:36" s="496" customFormat="1">
      <c r="A751" s="488"/>
      <c r="C751" s="488"/>
      <c r="D751" s="488"/>
      <c r="E751" s="488"/>
      <c r="F751" s="488"/>
      <c r="G751" s="488"/>
      <c r="H751" s="488"/>
      <c r="I751" s="488"/>
      <c r="J751" s="488"/>
      <c r="K751" s="488"/>
      <c r="L751" s="488"/>
      <c r="M751" s="488"/>
      <c r="N751" s="488"/>
      <c r="O751" s="488"/>
      <c r="P751" s="488"/>
      <c r="Q751" s="488"/>
      <c r="R751" s="488"/>
      <c r="S751" s="488"/>
      <c r="T751" s="488"/>
      <c r="U751" s="488"/>
      <c r="V751" s="488"/>
      <c r="W751" s="488"/>
      <c r="X751" s="488"/>
      <c r="Y751" s="488"/>
      <c r="Z751" s="488"/>
      <c r="AA751" s="488"/>
      <c r="AB751" s="488"/>
      <c r="AC751" s="488"/>
      <c r="AD751" s="488"/>
      <c r="AE751" s="488"/>
      <c r="AF751" s="488"/>
      <c r="AG751" s="488"/>
      <c r="AH751" s="488"/>
      <c r="AI751" s="488"/>
      <c r="AJ751" s="488"/>
    </row>
    <row r="752" spans="1:36" s="496" customFormat="1">
      <c r="A752" s="488"/>
      <c r="C752" s="488"/>
      <c r="D752" s="488"/>
      <c r="E752" s="488"/>
      <c r="F752" s="488"/>
      <c r="G752" s="488"/>
      <c r="H752" s="488"/>
      <c r="I752" s="488"/>
      <c r="J752" s="488"/>
      <c r="K752" s="488"/>
      <c r="L752" s="488"/>
      <c r="M752" s="488"/>
      <c r="N752" s="488"/>
      <c r="O752" s="488"/>
      <c r="P752" s="488"/>
      <c r="Q752" s="488"/>
      <c r="R752" s="488"/>
      <c r="S752" s="488"/>
      <c r="T752" s="488"/>
      <c r="U752" s="488"/>
      <c r="V752" s="488"/>
      <c r="W752" s="488"/>
      <c r="X752" s="488"/>
      <c r="Y752" s="488"/>
      <c r="Z752" s="488"/>
      <c r="AA752" s="488"/>
      <c r="AB752" s="488"/>
      <c r="AC752" s="488"/>
      <c r="AD752" s="488"/>
      <c r="AE752" s="488"/>
      <c r="AF752" s="488"/>
      <c r="AG752" s="488"/>
      <c r="AH752" s="488"/>
      <c r="AI752" s="488"/>
      <c r="AJ752" s="488"/>
    </row>
    <row r="753" spans="1:36" s="496" customFormat="1">
      <c r="A753" s="488"/>
      <c r="C753" s="488"/>
      <c r="D753" s="488"/>
      <c r="E753" s="488"/>
      <c r="F753" s="488"/>
      <c r="G753" s="488"/>
      <c r="H753" s="488"/>
      <c r="I753" s="488"/>
      <c r="J753" s="488"/>
      <c r="K753" s="488"/>
      <c r="L753" s="488"/>
      <c r="M753" s="488"/>
      <c r="N753" s="488"/>
      <c r="O753" s="488"/>
      <c r="P753" s="488"/>
      <c r="Q753" s="488"/>
      <c r="R753" s="488"/>
      <c r="S753" s="488"/>
      <c r="T753" s="488"/>
      <c r="U753" s="488"/>
      <c r="V753" s="488"/>
      <c r="W753" s="488"/>
      <c r="X753" s="488"/>
      <c r="Y753" s="488"/>
      <c r="Z753" s="488"/>
      <c r="AA753" s="488"/>
      <c r="AB753" s="488"/>
      <c r="AC753" s="488"/>
      <c r="AD753" s="488"/>
      <c r="AE753" s="488"/>
      <c r="AF753" s="488"/>
      <c r="AG753" s="488"/>
      <c r="AH753" s="488"/>
      <c r="AI753" s="488"/>
      <c r="AJ753" s="488"/>
    </row>
    <row r="754" spans="1:36" s="496" customFormat="1">
      <c r="A754" s="488"/>
      <c r="C754" s="488"/>
      <c r="D754" s="488"/>
      <c r="E754" s="488"/>
      <c r="F754" s="488"/>
      <c r="G754" s="488"/>
      <c r="H754" s="488"/>
      <c r="I754" s="488"/>
      <c r="J754" s="488"/>
      <c r="K754" s="488"/>
      <c r="L754" s="488"/>
      <c r="M754" s="488"/>
      <c r="N754" s="488"/>
      <c r="O754" s="488"/>
      <c r="P754" s="488"/>
      <c r="Q754" s="488"/>
      <c r="R754" s="488"/>
      <c r="S754" s="488"/>
      <c r="T754" s="488"/>
      <c r="U754" s="488"/>
      <c r="V754" s="488"/>
      <c r="W754" s="488"/>
      <c r="X754" s="488"/>
      <c r="Y754" s="488"/>
      <c r="Z754" s="488"/>
      <c r="AA754" s="488"/>
      <c r="AB754" s="488"/>
      <c r="AC754" s="488"/>
      <c r="AD754" s="488"/>
      <c r="AE754" s="488"/>
      <c r="AF754" s="488"/>
      <c r="AG754" s="488"/>
      <c r="AH754" s="488"/>
      <c r="AI754" s="488"/>
      <c r="AJ754" s="488"/>
    </row>
    <row r="755" spans="1:36" s="496" customFormat="1">
      <c r="A755" s="488"/>
      <c r="C755" s="488"/>
      <c r="D755" s="488"/>
      <c r="E755" s="488"/>
      <c r="F755" s="488"/>
      <c r="G755" s="488"/>
      <c r="H755" s="488"/>
      <c r="I755" s="488"/>
      <c r="J755" s="488"/>
      <c r="K755" s="488"/>
      <c r="L755" s="488"/>
      <c r="M755" s="488"/>
      <c r="N755" s="488"/>
      <c r="O755" s="488"/>
      <c r="P755" s="488"/>
      <c r="Q755" s="488"/>
      <c r="R755" s="488"/>
      <c r="S755" s="488"/>
      <c r="T755" s="488"/>
      <c r="U755" s="488"/>
      <c r="V755" s="488"/>
      <c r="W755" s="488"/>
      <c r="X755" s="488"/>
      <c r="Y755" s="488"/>
      <c r="Z755" s="488"/>
      <c r="AA755" s="488"/>
      <c r="AB755" s="488"/>
      <c r="AC755" s="488"/>
      <c r="AD755" s="488"/>
      <c r="AE755" s="488"/>
      <c r="AF755" s="488"/>
      <c r="AG755" s="488"/>
      <c r="AH755" s="488"/>
      <c r="AI755" s="488"/>
      <c r="AJ755" s="488"/>
    </row>
    <row r="756" spans="1:36" s="496" customFormat="1">
      <c r="A756" s="488"/>
      <c r="C756" s="488"/>
      <c r="D756" s="488"/>
      <c r="E756" s="488"/>
      <c r="F756" s="488"/>
      <c r="G756" s="488"/>
      <c r="H756" s="488"/>
      <c r="I756" s="488"/>
      <c r="J756" s="488"/>
      <c r="K756" s="488"/>
      <c r="L756" s="488"/>
      <c r="M756" s="488"/>
      <c r="N756" s="488"/>
      <c r="O756" s="488"/>
      <c r="P756" s="488"/>
      <c r="Q756" s="488"/>
      <c r="R756" s="488"/>
      <c r="S756" s="488"/>
      <c r="T756" s="488"/>
      <c r="U756" s="488"/>
      <c r="V756" s="488"/>
      <c r="W756" s="488"/>
      <c r="X756" s="488"/>
      <c r="Y756" s="488"/>
      <c r="Z756" s="488"/>
      <c r="AA756" s="488"/>
      <c r="AB756" s="488"/>
      <c r="AC756" s="488"/>
      <c r="AD756" s="488"/>
      <c r="AE756" s="488"/>
      <c r="AF756" s="488"/>
      <c r="AG756" s="488"/>
      <c r="AH756" s="488"/>
      <c r="AI756" s="488"/>
      <c r="AJ756" s="488"/>
    </row>
    <row r="757" spans="1:36" s="496" customFormat="1">
      <c r="A757" s="488"/>
      <c r="C757" s="488"/>
      <c r="D757" s="488"/>
      <c r="E757" s="488"/>
      <c r="F757" s="488"/>
      <c r="G757" s="488"/>
      <c r="H757" s="488"/>
      <c r="I757" s="488"/>
      <c r="J757" s="488"/>
      <c r="K757" s="488"/>
      <c r="L757" s="488"/>
      <c r="M757" s="488"/>
      <c r="N757" s="488"/>
      <c r="O757" s="488"/>
      <c r="P757" s="488"/>
      <c r="Q757" s="488"/>
      <c r="R757" s="488"/>
      <c r="S757" s="488"/>
      <c r="T757" s="488"/>
      <c r="U757" s="488"/>
      <c r="V757" s="488"/>
      <c r="W757" s="488"/>
      <c r="X757" s="488"/>
      <c r="Y757" s="488"/>
      <c r="Z757" s="488"/>
      <c r="AA757" s="488"/>
      <c r="AB757" s="488"/>
      <c r="AC757" s="488"/>
      <c r="AD757" s="488"/>
      <c r="AE757" s="488"/>
      <c r="AF757" s="488"/>
      <c r="AG757" s="488"/>
      <c r="AH757" s="488"/>
      <c r="AI757" s="488"/>
      <c r="AJ757" s="488"/>
    </row>
    <row r="758" spans="1:36" s="496" customFormat="1">
      <c r="A758" s="488"/>
      <c r="C758" s="488"/>
      <c r="D758" s="488"/>
      <c r="E758" s="488"/>
      <c r="F758" s="488"/>
      <c r="G758" s="488"/>
      <c r="H758" s="488"/>
      <c r="I758" s="488"/>
      <c r="J758" s="488"/>
      <c r="K758" s="488"/>
      <c r="L758" s="488"/>
      <c r="M758" s="488"/>
      <c r="N758" s="488"/>
      <c r="O758" s="488"/>
      <c r="P758" s="488"/>
      <c r="Q758" s="488"/>
      <c r="R758" s="488"/>
      <c r="S758" s="488"/>
      <c r="T758" s="488"/>
      <c r="U758" s="488"/>
      <c r="V758" s="488"/>
      <c r="W758" s="488"/>
      <c r="X758" s="488"/>
      <c r="Y758" s="488"/>
      <c r="Z758" s="488"/>
      <c r="AA758" s="488"/>
      <c r="AB758" s="488"/>
      <c r="AC758" s="488"/>
      <c r="AD758" s="488"/>
      <c r="AE758" s="488"/>
      <c r="AF758" s="488"/>
      <c r="AG758" s="488"/>
      <c r="AH758" s="488"/>
      <c r="AI758" s="488"/>
      <c r="AJ758" s="488"/>
    </row>
    <row r="759" spans="1:36" s="496" customFormat="1">
      <c r="A759" s="488"/>
      <c r="C759" s="488"/>
      <c r="D759" s="488"/>
      <c r="E759" s="488"/>
      <c r="F759" s="488"/>
      <c r="G759" s="488"/>
      <c r="H759" s="488"/>
      <c r="I759" s="488"/>
      <c r="J759" s="488"/>
      <c r="K759" s="488"/>
      <c r="L759" s="488"/>
      <c r="M759" s="488"/>
      <c r="N759" s="488"/>
      <c r="O759" s="488"/>
      <c r="P759" s="488"/>
      <c r="Q759" s="488"/>
      <c r="R759" s="488"/>
      <c r="S759" s="488"/>
      <c r="T759" s="488"/>
      <c r="U759" s="488"/>
      <c r="V759" s="488"/>
      <c r="W759" s="488"/>
      <c r="X759" s="488"/>
      <c r="Y759" s="488"/>
      <c r="Z759" s="488"/>
      <c r="AA759" s="488"/>
      <c r="AB759" s="488"/>
      <c r="AC759" s="488"/>
      <c r="AD759" s="488"/>
      <c r="AE759" s="488"/>
      <c r="AF759" s="488"/>
      <c r="AG759" s="488"/>
      <c r="AH759" s="488"/>
      <c r="AI759" s="488"/>
      <c r="AJ759" s="488"/>
    </row>
    <row r="760" spans="1:36" s="496" customFormat="1">
      <c r="A760" s="488"/>
      <c r="C760" s="488"/>
      <c r="D760" s="488"/>
      <c r="E760" s="488"/>
      <c r="F760" s="488"/>
      <c r="G760" s="488"/>
      <c r="H760" s="488"/>
      <c r="I760" s="488"/>
      <c r="J760" s="488"/>
      <c r="K760" s="488"/>
      <c r="L760" s="488"/>
      <c r="M760" s="488"/>
      <c r="N760" s="488"/>
      <c r="O760" s="488"/>
      <c r="P760" s="488"/>
      <c r="Q760" s="488"/>
      <c r="R760" s="488"/>
      <c r="S760" s="488"/>
      <c r="T760" s="488"/>
      <c r="U760" s="488"/>
      <c r="V760" s="488"/>
      <c r="W760" s="488"/>
      <c r="X760" s="488"/>
      <c r="Y760" s="488"/>
      <c r="Z760" s="488"/>
      <c r="AA760" s="488"/>
      <c r="AB760" s="488"/>
      <c r="AC760" s="488"/>
      <c r="AD760" s="488"/>
      <c r="AE760" s="488"/>
      <c r="AF760" s="488"/>
      <c r="AG760" s="488"/>
      <c r="AH760" s="488"/>
      <c r="AI760" s="488"/>
      <c r="AJ760" s="488"/>
    </row>
    <row r="761" spans="1:36" s="496" customFormat="1">
      <c r="A761" s="488"/>
      <c r="C761" s="488"/>
      <c r="D761" s="488"/>
      <c r="E761" s="488"/>
      <c r="F761" s="488"/>
      <c r="G761" s="488"/>
      <c r="H761" s="488"/>
      <c r="I761" s="488"/>
      <c r="J761" s="488"/>
      <c r="K761" s="488"/>
      <c r="L761" s="488"/>
      <c r="M761" s="488"/>
      <c r="N761" s="488"/>
      <c r="O761" s="488"/>
      <c r="P761" s="488"/>
      <c r="Q761" s="488"/>
      <c r="R761" s="488"/>
      <c r="S761" s="488"/>
      <c r="T761" s="488"/>
      <c r="U761" s="488"/>
      <c r="V761" s="488"/>
      <c r="W761" s="488"/>
      <c r="X761" s="488"/>
      <c r="Y761" s="488"/>
      <c r="Z761" s="488"/>
      <c r="AA761" s="488"/>
      <c r="AB761" s="488"/>
      <c r="AC761" s="488"/>
      <c r="AD761" s="488"/>
      <c r="AE761" s="488"/>
      <c r="AF761" s="488"/>
      <c r="AG761" s="488"/>
      <c r="AH761" s="488"/>
      <c r="AI761" s="488"/>
      <c r="AJ761" s="488"/>
    </row>
    <row r="762" spans="1:36" s="496" customFormat="1">
      <c r="A762" s="488"/>
      <c r="C762" s="488"/>
      <c r="D762" s="488"/>
      <c r="E762" s="488"/>
      <c r="F762" s="488"/>
      <c r="G762" s="488"/>
      <c r="H762" s="488"/>
      <c r="I762" s="488"/>
      <c r="J762" s="488"/>
      <c r="K762" s="488"/>
      <c r="L762" s="488"/>
      <c r="M762" s="488"/>
      <c r="N762" s="488"/>
      <c r="O762" s="488"/>
      <c r="P762" s="488"/>
      <c r="Q762" s="488"/>
      <c r="R762" s="488"/>
      <c r="S762" s="488"/>
      <c r="T762" s="488"/>
      <c r="U762" s="488"/>
      <c r="V762" s="488"/>
      <c r="W762" s="488"/>
      <c r="X762" s="488"/>
      <c r="Y762" s="488"/>
      <c r="Z762" s="488"/>
      <c r="AA762" s="488"/>
      <c r="AB762" s="488"/>
      <c r="AC762" s="488"/>
      <c r="AD762" s="488"/>
      <c r="AE762" s="488"/>
      <c r="AF762" s="488"/>
      <c r="AG762" s="488"/>
      <c r="AH762" s="488"/>
      <c r="AI762" s="488"/>
      <c r="AJ762" s="488"/>
    </row>
    <row r="763" spans="1:36" s="496" customFormat="1">
      <c r="A763" s="488"/>
      <c r="C763" s="488"/>
      <c r="D763" s="488"/>
      <c r="E763" s="488"/>
      <c r="F763" s="488"/>
      <c r="G763" s="488"/>
      <c r="H763" s="488"/>
      <c r="I763" s="488"/>
      <c r="J763" s="488"/>
      <c r="K763" s="488"/>
      <c r="L763" s="488"/>
      <c r="M763" s="488"/>
      <c r="N763" s="488"/>
      <c r="O763" s="488"/>
      <c r="P763" s="488"/>
      <c r="Q763" s="488"/>
      <c r="R763" s="488"/>
      <c r="S763" s="488"/>
      <c r="T763" s="488"/>
      <c r="U763" s="488"/>
      <c r="V763" s="488"/>
      <c r="W763" s="488"/>
      <c r="X763" s="488"/>
      <c r="Y763" s="488"/>
      <c r="Z763" s="488"/>
      <c r="AA763" s="488"/>
      <c r="AB763" s="488"/>
      <c r="AC763" s="488"/>
      <c r="AD763" s="488"/>
      <c r="AE763" s="488"/>
      <c r="AF763" s="488"/>
      <c r="AG763" s="488"/>
      <c r="AH763" s="488"/>
      <c r="AI763" s="488"/>
      <c r="AJ763" s="488"/>
    </row>
    <row r="764" spans="1:36" s="496" customFormat="1">
      <c r="A764" s="488"/>
      <c r="C764" s="488"/>
      <c r="D764" s="488"/>
      <c r="E764" s="488"/>
      <c r="F764" s="488"/>
      <c r="G764" s="488"/>
      <c r="H764" s="488"/>
      <c r="I764" s="488"/>
      <c r="J764" s="488"/>
      <c r="K764" s="488"/>
      <c r="L764" s="488"/>
      <c r="M764" s="488"/>
      <c r="N764" s="488"/>
      <c r="O764" s="488"/>
      <c r="P764" s="488"/>
      <c r="Q764" s="488"/>
      <c r="R764" s="488"/>
      <c r="S764" s="488"/>
      <c r="T764" s="488"/>
      <c r="U764" s="488"/>
      <c r="V764" s="488"/>
      <c r="W764" s="488"/>
      <c r="X764" s="488"/>
      <c r="Y764" s="488"/>
      <c r="Z764" s="488"/>
      <c r="AA764" s="488"/>
      <c r="AB764" s="488"/>
      <c r="AC764" s="488"/>
      <c r="AD764" s="488"/>
      <c r="AE764" s="488"/>
      <c r="AF764" s="488"/>
      <c r="AG764" s="488"/>
      <c r="AH764" s="488"/>
      <c r="AI764" s="488"/>
      <c r="AJ764" s="488"/>
    </row>
    <row r="765" spans="1:36" s="496" customFormat="1">
      <c r="A765" s="488"/>
      <c r="C765" s="488"/>
      <c r="D765" s="488"/>
      <c r="E765" s="488"/>
      <c r="F765" s="488"/>
      <c r="G765" s="488"/>
      <c r="H765" s="488"/>
      <c r="I765" s="488"/>
      <c r="J765" s="488"/>
      <c r="K765" s="488"/>
      <c r="L765" s="488"/>
      <c r="M765" s="488"/>
      <c r="N765" s="488"/>
      <c r="O765" s="488"/>
      <c r="P765" s="488"/>
      <c r="Q765" s="488"/>
      <c r="R765" s="488"/>
      <c r="S765" s="488"/>
      <c r="T765" s="488"/>
      <c r="U765" s="488"/>
      <c r="V765" s="488"/>
      <c r="W765" s="488"/>
      <c r="X765" s="488"/>
      <c r="Y765" s="488"/>
      <c r="Z765" s="488"/>
      <c r="AA765" s="488"/>
      <c r="AB765" s="488"/>
      <c r="AC765" s="488"/>
      <c r="AD765" s="488"/>
      <c r="AE765" s="488"/>
      <c r="AF765" s="488"/>
      <c r="AG765" s="488"/>
      <c r="AH765" s="488"/>
      <c r="AI765" s="488"/>
      <c r="AJ765" s="488"/>
    </row>
    <row r="766" spans="1:36" s="496" customFormat="1">
      <c r="A766" s="488"/>
      <c r="C766" s="488"/>
      <c r="D766" s="488"/>
      <c r="E766" s="488"/>
      <c r="F766" s="488"/>
      <c r="G766" s="488"/>
      <c r="H766" s="488"/>
      <c r="I766" s="488"/>
      <c r="J766" s="488"/>
      <c r="K766" s="488"/>
      <c r="L766" s="488"/>
      <c r="M766" s="488"/>
      <c r="N766" s="488"/>
      <c r="O766" s="488"/>
      <c r="P766" s="488"/>
      <c r="Q766" s="488"/>
      <c r="R766" s="488"/>
      <c r="S766" s="488"/>
      <c r="T766" s="488"/>
      <c r="U766" s="488"/>
      <c r="V766" s="488"/>
      <c r="W766" s="488"/>
      <c r="X766" s="488"/>
      <c r="Y766" s="488"/>
      <c r="Z766" s="488"/>
      <c r="AA766" s="488"/>
      <c r="AB766" s="488"/>
      <c r="AC766" s="488"/>
      <c r="AD766" s="488"/>
      <c r="AE766" s="488"/>
      <c r="AF766" s="488"/>
      <c r="AG766" s="488"/>
      <c r="AH766" s="488"/>
      <c r="AI766" s="488"/>
      <c r="AJ766" s="488"/>
    </row>
    <row r="767" spans="1:36" s="496" customFormat="1">
      <c r="A767" s="488"/>
      <c r="C767" s="488"/>
      <c r="D767" s="488"/>
      <c r="E767" s="488"/>
      <c r="F767" s="488"/>
      <c r="G767" s="488"/>
      <c r="H767" s="488"/>
      <c r="I767" s="488"/>
      <c r="J767" s="488"/>
      <c r="K767" s="488"/>
      <c r="L767" s="488"/>
      <c r="M767" s="488"/>
      <c r="N767" s="488"/>
      <c r="O767" s="488"/>
      <c r="P767" s="488"/>
      <c r="Q767" s="488"/>
      <c r="R767" s="488"/>
      <c r="S767" s="488"/>
      <c r="T767" s="488"/>
      <c r="U767" s="488"/>
      <c r="V767" s="488"/>
      <c r="W767" s="488"/>
      <c r="X767" s="488"/>
      <c r="Y767" s="488"/>
      <c r="Z767" s="488"/>
      <c r="AA767" s="488"/>
      <c r="AB767" s="488"/>
      <c r="AC767" s="488"/>
      <c r="AD767" s="488"/>
      <c r="AE767" s="488"/>
      <c r="AF767" s="488"/>
      <c r="AG767" s="488"/>
      <c r="AH767" s="488"/>
      <c r="AI767" s="488"/>
      <c r="AJ767" s="488"/>
    </row>
    <row r="768" spans="1:36" s="496" customFormat="1">
      <c r="A768" s="488"/>
      <c r="C768" s="488"/>
      <c r="D768" s="488"/>
      <c r="E768" s="488"/>
      <c r="F768" s="488"/>
      <c r="G768" s="488"/>
      <c r="H768" s="488"/>
      <c r="I768" s="488"/>
      <c r="J768" s="488"/>
      <c r="K768" s="488"/>
      <c r="L768" s="488"/>
      <c r="M768" s="488"/>
      <c r="N768" s="488"/>
      <c r="O768" s="488"/>
      <c r="P768" s="488"/>
      <c r="Q768" s="488"/>
      <c r="R768" s="488"/>
      <c r="S768" s="488"/>
      <c r="T768" s="488"/>
      <c r="U768" s="488"/>
      <c r="V768" s="488"/>
      <c r="W768" s="488"/>
      <c r="X768" s="488"/>
      <c r="Y768" s="488"/>
      <c r="Z768" s="488"/>
      <c r="AA768" s="488"/>
      <c r="AB768" s="488"/>
      <c r="AC768" s="488"/>
      <c r="AD768" s="488"/>
      <c r="AE768" s="488"/>
      <c r="AF768" s="488"/>
      <c r="AG768" s="488"/>
      <c r="AH768" s="488"/>
      <c r="AI768" s="488"/>
      <c r="AJ768" s="488"/>
    </row>
    <row r="769" spans="1:36" s="496" customFormat="1">
      <c r="A769" s="488"/>
      <c r="C769" s="488"/>
      <c r="D769" s="488"/>
      <c r="E769" s="488"/>
      <c r="F769" s="488"/>
      <c r="G769" s="488"/>
      <c r="H769" s="488"/>
      <c r="I769" s="488"/>
      <c r="J769" s="488"/>
      <c r="K769" s="488"/>
      <c r="L769" s="488"/>
      <c r="M769" s="488"/>
      <c r="N769" s="488"/>
      <c r="O769" s="488"/>
      <c r="P769" s="488"/>
      <c r="Q769" s="488"/>
      <c r="R769" s="488"/>
      <c r="S769" s="488"/>
      <c r="T769" s="488"/>
      <c r="U769" s="488"/>
      <c r="V769" s="488"/>
      <c r="W769" s="488"/>
      <c r="X769" s="488"/>
      <c r="Y769" s="488"/>
      <c r="Z769" s="488"/>
      <c r="AA769" s="488"/>
      <c r="AB769" s="488"/>
      <c r="AC769" s="488"/>
      <c r="AD769" s="488"/>
      <c r="AE769" s="488"/>
      <c r="AF769" s="488"/>
      <c r="AG769" s="488"/>
      <c r="AH769" s="488"/>
      <c r="AI769" s="488"/>
      <c r="AJ769" s="488"/>
    </row>
    <row r="770" spans="1:36" s="496" customFormat="1">
      <c r="A770" s="488"/>
      <c r="C770" s="488"/>
      <c r="D770" s="488"/>
      <c r="E770" s="488"/>
      <c r="F770" s="488"/>
      <c r="G770" s="488"/>
      <c r="H770" s="488"/>
      <c r="I770" s="488"/>
      <c r="J770" s="488"/>
      <c r="K770" s="488"/>
      <c r="L770" s="488"/>
      <c r="M770" s="488"/>
      <c r="N770" s="488"/>
      <c r="O770" s="488"/>
      <c r="P770" s="488"/>
      <c r="Q770" s="488"/>
      <c r="R770" s="488"/>
      <c r="S770" s="488"/>
      <c r="T770" s="488"/>
      <c r="U770" s="488"/>
      <c r="V770" s="488"/>
      <c r="W770" s="488"/>
      <c r="X770" s="488"/>
      <c r="Y770" s="488"/>
      <c r="Z770" s="488"/>
      <c r="AA770" s="488"/>
      <c r="AB770" s="488"/>
      <c r="AC770" s="488"/>
      <c r="AD770" s="488"/>
      <c r="AE770" s="488"/>
      <c r="AF770" s="488"/>
      <c r="AG770" s="488"/>
      <c r="AH770" s="488"/>
      <c r="AI770" s="488"/>
      <c r="AJ770" s="488"/>
    </row>
    <row r="771" spans="1:36" s="496" customFormat="1">
      <c r="A771" s="488"/>
      <c r="C771" s="488"/>
      <c r="D771" s="488"/>
      <c r="E771" s="488"/>
      <c r="F771" s="488"/>
      <c r="G771" s="488"/>
      <c r="H771" s="488"/>
      <c r="I771" s="488"/>
      <c r="J771" s="488"/>
      <c r="K771" s="488"/>
      <c r="L771" s="488"/>
      <c r="M771" s="488"/>
      <c r="N771" s="488"/>
      <c r="O771" s="488"/>
      <c r="P771" s="488"/>
      <c r="Q771" s="488"/>
      <c r="R771" s="488"/>
      <c r="S771" s="488"/>
      <c r="T771" s="488"/>
      <c r="U771" s="488"/>
      <c r="V771" s="488"/>
      <c r="W771" s="488"/>
      <c r="X771" s="488"/>
      <c r="Y771" s="488"/>
      <c r="Z771" s="488"/>
      <c r="AA771" s="488"/>
      <c r="AB771" s="488"/>
      <c r="AC771" s="488"/>
      <c r="AD771" s="488"/>
      <c r="AE771" s="488"/>
      <c r="AF771" s="488"/>
      <c r="AG771" s="488"/>
      <c r="AH771" s="488"/>
      <c r="AI771" s="488"/>
      <c r="AJ771" s="488"/>
    </row>
    <row r="772" spans="1:36" s="496" customFormat="1">
      <c r="A772" s="488"/>
      <c r="C772" s="488"/>
      <c r="D772" s="488"/>
      <c r="E772" s="488"/>
      <c r="F772" s="488"/>
      <c r="G772" s="488"/>
      <c r="H772" s="488"/>
      <c r="I772" s="488"/>
      <c r="J772" s="488"/>
      <c r="K772" s="488"/>
      <c r="L772" s="488"/>
      <c r="M772" s="488"/>
      <c r="N772" s="488"/>
      <c r="O772" s="488"/>
      <c r="P772" s="488"/>
      <c r="Q772" s="488"/>
      <c r="R772" s="488"/>
      <c r="S772" s="488"/>
      <c r="T772" s="488"/>
      <c r="U772" s="488"/>
      <c r="V772" s="488"/>
      <c r="W772" s="488"/>
      <c r="X772" s="488"/>
      <c r="Y772" s="488"/>
      <c r="Z772" s="488"/>
      <c r="AA772" s="488"/>
      <c r="AB772" s="488"/>
      <c r="AC772" s="488"/>
      <c r="AD772" s="488"/>
      <c r="AE772" s="488"/>
      <c r="AF772" s="488"/>
      <c r="AG772" s="488"/>
      <c r="AH772" s="488"/>
      <c r="AI772" s="488"/>
      <c r="AJ772" s="488"/>
    </row>
    <row r="773" spans="1:36" s="496" customFormat="1">
      <c r="A773" s="488"/>
      <c r="C773" s="488"/>
      <c r="D773" s="488"/>
      <c r="E773" s="488"/>
      <c r="F773" s="488"/>
      <c r="G773" s="488"/>
      <c r="H773" s="488"/>
      <c r="I773" s="488"/>
      <c r="J773" s="488"/>
      <c r="K773" s="488"/>
      <c r="L773" s="488"/>
      <c r="M773" s="488"/>
      <c r="N773" s="488"/>
      <c r="O773" s="488"/>
      <c r="P773" s="488"/>
      <c r="Q773" s="488"/>
      <c r="R773" s="488"/>
      <c r="S773" s="488"/>
      <c r="T773" s="488"/>
      <c r="U773" s="488"/>
      <c r="V773" s="488"/>
      <c r="W773" s="488"/>
      <c r="X773" s="488"/>
      <c r="Y773" s="488"/>
      <c r="Z773" s="488"/>
      <c r="AA773" s="488"/>
      <c r="AB773" s="488"/>
      <c r="AC773" s="488"/>
      <c r="AD773" s="488"/>
      <c r="AE773" s="488"/>
      <c r="AF773" s="488"/>
      <c r="AG773" s="488"/>
      <c r="AH773" s="488"/>
      <c r="AI773" s="488"/>
      <c r="AJ773" s="488"/>
    </row>
    <row r="774" spans="1:36" s="496" customFormat="1">
      <c r="A774" s="488"/>
      <c r="C774" s="488"/>
      <c r="D774" s="488"/>
      <c r="E774" s="488"/>
      <c r="F774" s="488"/>
      <c r="G774" s="488"/>
      <c r="H774" s="488"/>
      <c r="I774" s="488"/>
      <c r="J774" s="488"/>
      <c r="K774" s="488"/>
      <c r="L774" s="488"/>
      <c r="M774" s="488"/>
      <c r="N774" s="488"/>
      <c r="O774" s="488"/>
      <c r="P774" s="488"/>
      <c r="Q774" s="488"/>
      <c r="R774" s="488"/>
      <c r="S774" s="488"/>
      <c r="T774" s="488"/>
      <c r="U774" s="488"/>
      <c r="V774" s="488"/>
      <c r="W774" s="488"/>
      <c r="X774" s="488"/>
      <c r="Y774" s="488"/>
      <c r="Z774" s="488"/>
      <c r="AA774" s="488"/>
      <c r="AB774" s="488"/>
      <c r="AC774" s="488"/>
      <c r="AD774" s="488"/>
      <c r="AE774" s="488"/>
      <c r="AF774" s="488"/>
      <c r="AG774" s="488"/>
      <c r="AH774" s="488"/>
      <c r="AI774" s="488"/>
      <c r="AJ774" s="488"/>
    </row>
    <row r="775" spans="1:36" s="496" customFormat="1">
      <c r="A775" s="488"/>
      <c r="C775" s="488"/>
      <c r="D775" s="488"/>
      <c r="E775" s="488"/>
      <c r="F775" s="488"/>
      <c r="G775" s="488"/>
      <c r="H775" s="488"/>
      <c r="I775" s="488"/>
      <c r="J775" s="488"/>
      <c r="K775" s="488"/>
      <c r="L775" s="488"/>
      <c r="M775" s="488"/>
      <c r="N775" s="488"/>
      <c r="O775" s="488"/>
      <c r="P775" s="488"/>
      <c r="Q775" s="488"/>
      <c r="R775" s="488"/>
      <c r="S775" s="488"/>
      <c r="T775" s="488"/>
      <c r="U775" s="488"/>
      <c r="V775" s="488"/>
      <c r="W775" s="488"/>
      <c r="X775" s="488"/>
      <c r="Y775" s="488"/>
      <c r="Z775" s="488"/>
      <c r="AA775" s="488"/>
      <c r="AB775" s="488"/>
      <c r="AC775" s="488"/>
      <c r="AD775" s="488"/>
      <c r="AE775" s="488"/>
      <c r="AF775" s="488"/>
      <c r="AG775" s="488"/>
      <c r="AH775" s="488"/>
      <c r="AI775" s="488"/>
      <c r="AJ775" s="488"/>
    </row>
    <row r="776" spans="1:36" s="496" customFormat="1">
      <c r="A776" s="488"/>
      <c r="C776" s="488"/>
      <c r="D776" s="488"/>
      <c r="E776" s="488"/>
      <c r="F776" s="488"/>
      <c r="G776" s="488"/>
      <c r="H776" s="488"/>
      <c r="I776" s="488"/>
      <c r="J776" s="488"/>
      <c r="K776" s="488"/>
      <c r="L776" s="488"/>
      <c r="M776" s="488"/>
      <c r="N776" s="488"/>
      <c r="O776" s="488"/>
      <c r="P776" s="488"/>
      <c r="Q776" s="488"/>
      <c r="R776" s="488"/>
      <c r="S776" s="488"/>
      <c r="T776" s="488"/>
      <c r="U776" s="488"/>
      <c r="V776" s="488"/>
      <c r="W776" s="488"/>
      <c r="X776" s="488"/>
      <c r="Y776" s="488"/>
      <c r="Z776" s="488"/>
      <c r="AA776" s="488"/>
      <c r="AB776" s="488"/>
      <c r="AC776" s="488"/>
      <c r="AD776" s="488"/>
      <c r="AE776" s="488"/>
      <c r="AF776" s="488"/>
      <c r="AG776" s="488"/>
      <c r="AH776" s="488"/>
      <c r="AI776" s="488"/>
      <c r="AJ776" s="488"/>
    </row>
    <row r="777" spans="1:36" s="496" customFormat="1">
      <c r="A777" s="488"/>
      <c r="C777" s="488"/>
      <c r="D777" s="488"/>
      <c r="E777" s="488"/>
      <c r="F777" s="488"/>
      <c r="G777" s="488"/>
      <c r="H777" s="488"/>
      <c r="I777" s="488"/>
      <c r="J777" s="488"/>
      <c r="K777" s="488"/>
      <c r="L777" s="488"/>
      <c r="M777" s="488"/>
      <c r="N777" s="488"/>
      <c r="O777" s="488"/>
      <c r="P777" s="488"/>
      <c r="Q777" s="488"/>
      <c r="R777" s="488"/>
      <c r="S777" s="488"/>
      <c r="T777" s="488"/>
      <c r="U777" s="488"/>
      <c r="V777" s="488"/>
      <c r="W777" s="488"/>
      <c r="X777" s="488"/>
      <c r="Y777" s="488"/>
      <c r="Z777" s="488"/>
      <c r="AA777" s="488"/>
      <c r="AB777" s="488"/>
      <c r="AC777" s="488"/>
      <c r="AD777" s="488"/>
      <c r="AE777" s="488"/>
      <c r="AF777" s="488"/>
      <c r="AG777" s="488"/>
      <c r="AH777" s="488"/>
      <c r="AI777" s="488"/>
      <c r="AJ777" s="488"/>
    </row>
    <row r="778" spans="1:36" s="496" customFormat="1">
      <c r="A778" s="488"/>
      <c r="C778" s="488"/>
      <c r="D778" s="488"/>
      <c r="E778" s="488"/>
      <c r="F778" s="488"/>
      <c r="G778" s="488"/>
      <c r="H778" s="488"/>
      <c r="I778" s="488"/>
      <c r="J778" s="488"/>
      <c r="K778" s="488"/>
      <c r="L778" s="488"/>
      <c r="M778" s="488"/>
      <c r="N778" s="488"/>
      <c r="O778" s="488"/>
      <c r="P778" s="488"/>
      <c r="Q778" s="488"/>
      <c r="R778" s="488"/>
      <c r="S778" s="488"/>
      <c r="T778" s="488"/>
      <c r="U778" s="488"/>
      <c r="V778" s="488"/>
      <c r="W778" s="488"/>
      <c r="X778" s="488"/>
      <c r="Y778" s="488"/>
      <c r="Z778" s="488"/>
      <c r="AA778" s="488"/>
      <c r="AB778" s="488"/>
      <c r="AC778" s="488"/>
      <c r="AD778" s="488"/>
      <c r="AE778" s="488"/>
      <c r="AF778" s="488"/>
      <c r="AG778" s="488"/>
      <c r="AH778" s="488"/>
      <c r="AI778" s="488"/>
      <c r="AJ778" s="488"/>
    </row>
    <row r="779" spans="1:36" s="496" customFormat="1">
      <c r="A779" s="488"/>
      <c r="C779" s="488"/>
      <c r="D779" s="488"/>
      <c r="E779" s="488"/>
      <c r="F779" s="488"/>
      <c r="G779" s="488"/>
      <c r="H779" s="488"/>
      <c r="I779" s="488"/>
      <c r="J779" s="488"/>
      <c r="K779" s="488"/>
      <c r="L779" s="488"/>
      <c r="M779" s="488"/>
      <c r="N779" s="488"/>
      <c r="O779" s="488"/>
      <c r="P779" s="488"/>
      <c r="Q779" s="488"/>
      <c r="R779" s="488"/>
      <c r="S779" s="488"/>
      <c r="T779" s="488"/>
      <c r="U779" s="488"/>
      <c r="V779" s="488"/>
      <c r="W779" s="488"/>
      <c r="X779" s="488"/>
      <c r="Y779" s="488"/>
      <c r="Z779" s="488"/>
      <c r="AA779" s="488"/>
      <c r="AB779" s="488"/>
      <c r="AC779" s="488"/>
      <c r="AD779" s="488"/>
      <c r="AE779" s="488"/>
      <c r="AF779" s="488"/>
      <c r="AG779" s="488"/>
      <c r="AH779" s="488"/>
      <c r="AI779" s="488"/>
      <c r="AJ779" s="488"/>
    </row>
    <row r="780" spans="1:36" s="496" customFormat="1">
      <c r="A780" s="488"/>
      <c r="C780" s="488"/>
      <c r="D780" s="488"/>
      <c r="E780" s="488"/>
      <c r="F780" s="488"/>
      <c r="G780" s="488"/>
      <c r="H780" s="488"/>
      <c r="I780" s="488"/>
      <c r="J780" s="488"/>
      <c r="K780" s="488"/>
      <c r="L780" s="488"/>
      <c r="M780" s="488"/>
      <c r="N780" s="488"/>
      <c r="O780" s="488"/>
      <c r="P780" s="488"/>
      <c r="Q780" s="488"/>
      <c r="R780" s="488"/>
      <c r="S780" s="488"/>
      <c r="T780" s="488"/>
      <c r="U780" s="488"/>
      <c r="V780" s="488"/>
      <c r="W780" s="488"/>
      <c r="X780" s="488"/>
      <c r="Y780" s="488"/>
      <c r="Z780" s="488"/>
      <c r="AA780" s="488"/>
      <c r="AB780" s="488"/>
      <c r="AC780" s="488"/>
      <c r="AD780" s="488"/>
      <c r="AE780" s="488"/>
      <c r="AF780" s="488"/>
      <c r="AG780" s="488"/>
      <c r="AH780" s="488"/>
      <c r="AI780" s="488"/>
      <c r="AJ780" s="488"/>
    </row>
    <row r="781" spans="1:36" s="496" customFormat="1">
      <c r="A781" s="488"/>
      <c r="C781" s="488"/>
      <c r="D781" s="488"/>
      <c r="E781" s="488"/>
      <c r="F781" s="488"/>
      <c r="G781" s="488"/>
      <c r="H781" s="488"/>
      <c r="I781" s="488"/>
      <c r="J781" s="488"/>
      <c r="K781" s="488"/>
      <c r="L781" s="488"/>
      <c r="M781" s="488"/>
      <c r="N781" s="488"/>
      <c r="O781" s="488"/>
      <c r="P781" s="488"/>
      <c r="Q781" s="488"/>
      <c r="R781" s="488"/>
      <c r="S781" s="488"/>
      <c r="T781" s="488"/>
      <c r="U781" s="488"/>
      <c r="V781" s="488"/>
      <c r="W781" s="488"/>
      <c r="X781" s="488"/>
      <c r="Y781" s="488"/>
      <c r="Z781" s="488"/>
      <c r="AA781" s="488"/>
      <c r="AB781" s="488"/>
      <c r="AC781" s="488"/>
      <c r="AD781" s="488"/>
      <c r="AE781" s="488"/>
      <c r="AF781" s="488"/>
      <c r="AG781" s="488"/>
      <c r="AH781" s="488"/>
      <c r="AI781" s="488"/>
      <c r="AJ781" s="488"/>
    </row>
    <row r="782" spans="1:36" s="496" customFormat="1">
      <c r="A782" s="488"/>
      <c r="C782" s="488"/>
      <c r="D782" s="488"/>
      <c r="E782" s="488"/>
      <c r="F782" s="488"/>
      <c r="G782" s="488"/>
      <c r="H782" s="488"/>
      <c r="I782" s="488"/>
      <c r="J782" s="488"/>
      <c r="K782" s="488"/>
      <c r="L782" s="488"/>
      <c r="M782" s="488"/>
      <c r="N782" s="488"/>
      <c r="O782" s="488"/>
      <c r="P782" s="488"/>
      <c r="Q782" s="488"/>
      <c r="R782" s="488"/>
      <c r="S782" s="488"/>
      <c r="T782" s="488"/>
      <c r="U782" s="488"/>
      <c r="V782" s="488"/>
      <c r="W782" s="488"/>
      <c r="X782" s="488"/>
      <c r="Y782" s="488"/>
      <c r="Z782" s="488"/>
      <c r="AA782" s="488"/>
      <c r="AB782" s="488"/>
      <c r="AC782" s="488"/>
      <c r="AD782" s="488"/>
      <c r="AE782" s="488"/>
      <c r="AF782" s="488"/>
      <c r="AG782" s="488"/>
      <c r="AH782" s="488"/>
      <c r="AI782" s="488"/>
      <c r="AJ782" s="488"/>
    </row>
    <row r="783" spans="1:36" s="496" customFormat="1">
      <c r="A783" s="488"/>
      <c r="C783" s="488"/>
      <c r="D783" s="488"/>
      <c r="E783" s="488"/>
      <c r="F783" s="488"/>
      <c r="G783" s="488"/>
      <c r="H783" s="488"/>
      <c r="I783" s="488"/>
      <c r="J783" s="488"/>
      <c r="K783" s="488"/>
      <c r="L783" s="488"/>
      <c r="M783" s="488"/>
      <c r="N783" s="488"/>
      <c r="O783" s="488"/>
      <c r="P783" s="488"/>
      <c r="Q783" s="488"/>
      <c r="R783" s="488"/>
      <c r="S783" s="488"/>
      <c r="T783" s="488"/>
      <c r="U783" s="488"/>
      <c r="V783" s="488"/>
      <c r="W783" s="488"/>
      <c r="X783" s="488"/>
      <c r="Y783" s="488"/>
      <c r="Z783" s="488"/>
      <c r="AA783" s="488"/>
      <c r="AB783" s="488"/>
      <c r="AC783" s="488"/>
      <c r="AD783" s="488"/>
      <c r="AE783" s="488"/>
      <c r="AF783" s="488"/>
      <c r="AG783" s="488"/>
      <c r="AH783" s="488"/>
      <c r="AI783" s="488"/>
      <c r="AJ783" s="488"/>
    </row>
    <row r="784" spans="1:36" s="496" customFormat="1">
      <c r="A784" s="488"/>
      <c r="C784" s="488"/>
      <c r="D784" s="488"/>
      <c r="E784" s="488"/>
      <c r="F784" s="488"/>
      <c r="G784" s="488"/>
      <c r="H784" s="488"/>
      <c r="I784" s="488"/>
      <c r="J784" s="488"/>
      <c r="K784" s="488"/>
      <c r="L784" s="488"/>
      <c r="M784" s="488"/>
      <c r="N784" s="488"/>
      <c r="O784" s="488"/>
      <c r="P784" s="488"/>
      <c r="Q784" s="488"/>
      <c r="R784" s="488"/>
      <c r="S784" s="488"/>
      <c r="T784" s="488"/>
      <c r="U784" s="488"/>
      <c r="V784" s="488"/>
      <c r="W784" s="488"/>
      <c r="X784" s="488"/>
      <c r="Y784" s="488"/>
      <c r="Z784" s="488"/>
      <c r="AA784" s="488"/>
      <c r="AB784" s="488"/>
      <c r="AC784" s="488"/>
      <c r="AD784" s="488"/>
      <c r="AE784" s="488"/>
      <c r="AF784" s="488"/>
      <c r="AG784" s="488"/>
      <c r="AH784" s="488"/>
      <c r="AI784" s="488"/>
      <c r="AJ784" s="488"/>
    </row>
    <row r="785" spans="1:36" s="496" customFormat="1">
      <c r="A785" s="488"/>
      <c r="C785" s="488"/>
      <c r="D785" s="488"/>
      <c r="E785" s="488"/>
      <c r="F785" s="488"/>
      <c r="G785" s="488"/>
      <c r="H785" s="488"/>
      <c r="I785" s="488"/>
      <c r="J785" s="488"/>
      <c r="K785" s="488"/>
      <c r="L785" s="488"/>
      <c r="M785" s="488"/>
      <c r="N785" s="488"/>
      <c r="O785" s="488"/>
      <c r="P785" s="488"/>
      <c r="Q785" s="488"/>
      <c r="R785" s="488"/>
      <c r="S785" s="488"/>
      <c r="T785" s="488"/>
      <c r="U785" s="488"/>
      <c r="V785" s="488"/>
      <c r="W785" s="488"/>
      <c r="X785" s="488"/>
      <c r="Y785" s="488"/>
      <c r="Z785" s="488"/>
      <c r="AA785" s="488"/>
      <c r="AB785" s="488"/>
      <c r="AC785" s="488"/>
      <c r="AD785" s="488"/>
      <c r="AE785" s="488"/>
      <c r="AF785" s="488"/>
      <c r="AG785" s="488"/>
      <c r="AH785" s="488"/>
      <c r="AI785" s="488"/>
      <c r="AJ785" s="488"/>
    </row>
    <row r="786" spans="1:36" s="496" customFormat="1">
      <c r="A786" s="488"/>
      <c r="C786" s="488"/>
      <c r="D786" s="488"/>
      <c r="E786" s="488"/>
      <c r="F786" s="488"/>
      <c r="G786" s="488"/>
      <c r="H786" s="488"/>
      <c r="I786" s="488"/>
      <c r="J786" s="488"/>
      <c r="K786" s="488"/>
      <c r="L786" s="488"/>
      <c r="M786" s="488"/>
      <c r="N786" s="488"/>
      <c r="O786" s="488"/>
      <c r="P786" s="488"/>
      <c r="Q786" s="488"/>
      <c r="R786" s="488"/>
      <c r="S786" s="488"/>
      <c r="T786" s="488"/>
      <c r="U786" s="488"/>
      <c r="V786" s="488"/>
      <c r="W786" s="488"/>
      <c r="X786" s="488"/>
      <c r="Y786" s="488"/>
      <c r="Z786" s="488"/>
      <c r="AA786" s="488"/>
      <c r="AB786" s="488"/>
      <c r="AC786" s="488"/>
      <c r="AD786" s="488"/>
      <c r="AE786" s="488"/>
      <c r="AF786" s="488"/>
      <c r="AG786" s="488"/>
      <c r="AH786" s="488"/>
      <c r="AI786" s="488"/>
      <c r="AJ786" s="488"/>
    </row>
    <row r="787" spans="1:36" s="496" customFormat="1">
      <c r="A787" s="488"/>
      <c r="C787" s="488"/>
      <c r="D787" s="488"/>
      <c r="E787" s="488"/>
      <c r="F787" s="488"/>
      <c r="G787" s="488"/>
      <c r="H787" s="488"/>
      <c r="I787" s="488"/>
      <c r="J787" s="488"/>
      <c r="K787" s="488"/>
      <c r="L787" s="488"/>
      <c r="M787" s="488"/>
      <c r="N787" s="488"/>
      <c r="O787" s="488"/>
      <c r="P787" s="488"/>
      <c r="Q787" s="488"/>
      <c r="R787" s="488"/>
      <c r="S787" s="488"/>
      <c r="T787" s="488"/>
      <c r="U787" s="488"/>
      <c r="V787" s="488"/>
      <c r="W787" s="488"/>
      <c r="X787" s="488"/>
      <c r="Y787" s="488"/>
      <c r="Z787" s="488"/>
      <c r="AA787" s="488"/>
      <c r="AB787" s="488"/>
      <c r="AC787" s="488"/>
      <c r="AD787" s="488"/>
      <c r="AE787" s="488"/>
      <c r="AF787" s="488"/>
      <c r="AG787" s="488"/>
      <c r="AH787" s="488"/>
      <c r="AI787" s="488"/>
      <c r="AJ787" s="488"/>
    </row>
    <row r="788" spans="1:36" s="496" customFormat="1">
      <c r="A788" s="488"/>
      <c r="C788" s="488"/>
      <c r="D788" s="488"/>
      <c r="E788" s="488"/>
      <c r="F788" s="488"/>
      <c r="G788" s="488"/>
      <c r="H788" s="488"/>
      <c r="I788" s="488"/>
      <c r="J788" s="488"/>
      <c r="K788" s="488"/>
      <c r="L788" s="488"/>
      <c r="M788" s="488"/>
      <c r="N788" s="488"/>
      <c r="O788" s="488"/>
      <c r="P788" s="488"/>
      <c r="Q788" s="488"/>
      <c r="R788" s="488"/>
      <c r="S788" s="488"/>
      <c r="T788" s="488"/>
      <c r="U788" s="488"/>
      <c r="V788" s="488"/>
      <c r="W788" s="488"/>
      <c r="X788" s="488"/>
      <c r="Y788" s="488"/>
      <c r="Z788" s="488"/>
      <c r="AA788" s="488"/>
      <c r="AB788" s="488"/>
      <c r="AC788" s="488"/>
      <c r="AD788" s="488"/>
      <c r="AE788" s="488"/>
      <c r="AF788" s="488"/>
      <c r="AG788" s="488"/>
      <c r="AH788" s="488"/>
      <c r="AI788" s="488"/>
      <c r="AJ788" s="488"/>
    </row>
    <row r="789" spans="1:36" s="496" customFormat="1">
      <c r="A789" s="488"/>
      <c r="C789" s="488"/>
      <c r="D789" s="488"/>
      <c r="E789" s="488"/>
      <c r="F789" s="488"/>
      <c r="G789" s="488"/>
      <c r="H789" s="488"/>
      <c r="I789" s="488"/>
      <c r="J789" s="488"/>
      <c r="K789" s="488"/>
      <c r="L789" s="488"/>
      <c r="M789" s="488"/>
      <c r="N789" s="488"/>
      <c r="O789" s="488"/>
      <c r="P789" s="488"/>
      <c r="Q789" s="488"/>
      <c r="R789" s="488"/>
      <c r="S789" s="488"/>
      <c r="T789" s="488"/>
      <c r="U789" s="488"/>
      <c r="V789" s="488"/>
      <c r="W789" s="488"/>
      <c r="X789" s="488"/>
      <c r="Y789" s="488"/>
      <c r="Z789" s="488"/>
      <c r="AA789" s="488"/>
      <c r="AB789" s="488"/>
      <c r="AC789" s="488"/>
      <c r="AD789" s="488"/>
      <c r="AE789" s="488"/>
      <c r="AF789" s="488"/>
      <c r="AG789" s="488"/>
      <c r="AH789" s="488"/>
      <c r="AI789" s="488"/>
      <c r="AJ789" s="488"/>
    </row>
    <row r="790" spans="1:36" s="496" customFormat="1">
      <c r="A790" s="488"/>
      <c r="C790" s="488"/>
      <c r="D790" s="488"/>
      <c r="E790" s="488"/>
      <c r="F790" s="488"/>
      <c r="G790" s="488"/>
      <c r="H790" s="488"/>
      <c r="I790" s="488"/>
      <c r="J790" s="488"/>
      <c r="K790" s="488"/>
      <c r="L790" s="488"/>
      <c r="M790" s="488"/>
      <c r="N790" s="488"/>
      <c r="O790" s="488"/>
      <c r="P790" s="488"/>
      <c r="Q790" s="488"/>
      <c r="R790" s="488"/>
      <c r="S790" s="488"/>
      <c r="T790" s="488"/>
      <c r="U790" s="488"/>
      <c r="V790" s="488"/>
      <c r="W790" s="488"/>
      <c r="X790" s="488"/>
      <c r="Y790" s="488"/>
      <c r="Z790" s="488"/>
      <c r="AA790" s="488"/>
      <c r="AB790" s="488"/>
      <c r="AC790" s="488"/>
      <c r="AD790" s="488"/>
      <c r="AE790" s="488"/>
      <c r="AF790" s="488"/>
      <c r="AG790" s="488"/>
      <c r="AH790" s="488"/>
      <c r="AI790" s="488"/>
      <c r="AJ790" s="488"/>
    </row>
    <row r="791" spans="1:36" s="496" customFormat="1">
      <c r="A791" s="488"/>
      <c r="C791" s="488"/>
      <c r="D791" s="488"/>
      <c r="E791" s="488"/>
      <c r="F791" s="488"/>
      <c r="G791" s="488"/>
      <c r="H791" s="488"/>
      <c r="I791" s="488"/>
      <c r="J791" s="488"/>
      <c r="K791" s="488"/>
      <c r="L791" s="488"/>
      <c r="M791" s="488"/>
      <c r="N791" s="488"/>
      <c r="O791" s="488"/>
      <c r="P791" s="488"/>
      <c r="Q791" s="488"/>
      <c r="R791" s="488"/>
      <c r="S791" s="488"/>
      <c r="T791" s="488"/>
      <c r="U791" s="488"/>
      <c r="V791" s="488"/>
      <c r="W791" s="488"/>
      <c r="X791" s="488"/>
      <c r="Y791" s="488"/>
      <c r="Z791" s="488"/>
      <c r="AA791" s="488"/>
      <c r="AB791" s="488"/>
      <c r="AC791" s="488"/>
      <c r="AD791" s="488"/>
      <c r="AE791" s="488"/>
      <c r="AF791" s="488"/>
      <c r="AG791" s="488"/>
      <c r="AH791" s="488"/>
      <c r="AI791" s="488"/>
      <c r="AJ791" s="488"/>
    </row>
    <row r="792" spans="1:36" s="496" customFormat="1">
      <c r="A792" s="488"/>
      <c r="C792" s="488"/>
      <c r="D792" s="488"/>
      <c r="E792" s="488"/>
      <c r="F792" s="488"/>
      <c r="G792" s="488"/>
      <c r="H792" s="488"/>
      <c r="I792" s="488"/>
      <c r="J792" s="488"/>
      <c r="K792" s="488"/>
      <c r="L792" s="488"/>
      <c r="M792" s="488"/>
      <c r="N792" s="488"/>
      <c r="O792" s="488"/>
      <c r="P792" s="488"/>
      <c r="Q792" s="488"/>
      <c r="R792" s="488"/>
      <c r="S792" s="488"/>
      <c r="T792" s="488"/>
      <c r="U792" s="488"/>
      <c r="V792" s="488"/>
      <c r="W792" s="488"/>
      <c r="X792" s="488"/>
      <c r="Y792" s="488"/>
      <c r="Z792" s="488"/>
      <c r="AA792" s="488"/>
      <c r="AB792" s="488"/>
      <c r="AC792" s="488"/>
      <c r="AD792" s="488"/>
      <c r="AE792" s="488"/>
      <c r="AF792" s="488"/>
      <c r="AG792" s="488"/>
      <c r="AH792" s="488"/>
      <c r="AI792" s="488"/>
      <c r="AJ792" s="488"/>
    </row>
    <row r="793" spans="1:36" s="496" customFormat="1">
      <c r="A793" s="488"/>
      <c r="C793" s="488"/>
      <c r="D793" s="488"/>
      <c r="E793" s="488"/>
      <c r="F793" s="488"/>
      <c r="G793" s="488"/>
      <c r="H793" s="488"/>
      <c r="I793" s="488"/>
      <c r="J793" s="488"/>
      <c r="K793" s="488"/>
      <c r="L793" s="488"/>
      <c r="M793" s="488"/>
      <c r="N793" s="488"/>
      <c r="O793" s="488"/>
      <c r="P793" s="488"/>
      <c r="Q793" s="488"/>
      <c r="R793" s="488"/>
      <c r="S793" s="488"/>
      <c r="T793" s="488"/>
      <c r="U793" s="488"/>
      <c r="V793" s="488"/>
      <c r="W793" s="488"/>
      <c r="X793" s="488"/>
      <c r="Y793" s="488"/>
      <c r="Z793" s="488"/>
      <c r="AA793" s="488"/>
      <c r="AB793" s="488"/>
      <c r="AC793" s="488"/>
      <c r="AD793" s="488"/>
      <c r="AE793" s="488"/>
      <c r="AF793" s="488"/>
      <c r="AG793" s="488"/>
      <c r="AH793" s="488"/>
      <c r="AI793" s="488"/>
      <c r="AJ793" s="488"/>
    </row>
    <row r="794" spans="1:36" s="496" customFormat="1">
      <c r="A794" s="488"/>
      <c r="C794" s="488"/>
      <c r="D794" s="488"/>
      <c r="E794" s="488"/>
      <c r="F794" s="488"/>
      <c r="G794" s="488"/>
      <c r="H794" s="488"/>
      <c r="I794" s="488"/>
      <c r="J794" s="488"/>
      <c r="K794" s="488"/>
      <c r="L794" s="488"/>
      <c r="M794" s="488"/>
      <c r="N794" s="488"/>
      <c r="O794" s="488"/>
      <c r="P794" s="488"/>
      <c r="Q794" s="488"/>
      <c r="R794" s="488"/>
      <c r="S794" s="488"/>
      <c r="T794" s="488"/>
      <c r="U794" s="488"/>
      <c r="V794" s="488"/>
      <c r="W794" s="488"/>
      <c r="X794" s="488"/>
      <c r="Y794" s="488"/>
      <c r="Z794" s="488"/>
      <c r="AA794" s="488"/>
      <c r="AB794" s="488"/>
      <c r="AC794" s="488"/>
      <c r="AD794" s="488"/>
      <c r="AE794" s="488"/>
      <c r="AF794" s="488"/>
      <c r="AG794" s="488"/>
      <c r="AH794" s="488"/>
      <c r="AI794" s="488"/>
      <c r="AJ794" s="488"/>
    </row>
    <row r="795" spans="1:36" s="496" customFormat="1">
      <c r="A795" s="488"/>
      <c r="C795" s="488"/>
      <c r="D795" s="488"/>
      <c r="E795" s="488"/>
      <c r="F795" s="488"/>
      <c r="G795" s="488"/>
      <c r="H795" s="488"/>
      <c r="I795" s="488"/>
      <c r="J795" s="488"/>
      <c r="K795" s="488"/>
      <c r="L795" s="488"/>
      <c r="M795" s="488"/>
      <c r="N795" s="488"/>
      <c r="O795" s="488"/>
      <c r="P795" s="488"/>
      <c r="Q795" s="488"/>
      <c r="R795" s="488"/>
      <c r="S795" s="488"/>
      <c r="T795" s="488"/>
      <c r="U795" s="488"/>
      <c r="V795" s="488"/>
      <c r="W795" s="488"/>
      <c r="X795" s="488"/>
      <c r="Y795" s="488"/>
      <c r="Z795" s="488"/>
      <c r="AA795" s="488"/>
      <c r="AB795" s="488"/>
      <c r="AC795" s="488"/>
      <c r="AD795" s="488"/>
      <c r="AE795" s="488"/>
      <c r="AF795" s="488"/>
      <c r="AG795" s="488"/>
      <c r="AH795" s="488"/>
      <c r="AI795" s="488"/>
      <c r="AJ795" s="488"/>
    </row>
    <row r="796" spans="1:36" s="496" customFormat="1">
      <c r="A796" s="488"/>
      <c r="C796" s="488"/>
      <c r="D796" s="488"/>
      <c r="E796" s="488"/>
      <c r="F796" s="488"/>
      <c r="G796" s="488"/>
      <c r="H796" s="488"/>
      <c r="I796" s="488"/>
      <c r="J796" s="488"/>
      <c r="K796" s="488"/>
      <c r="L796" s="488"/>
      <c r="M796" s="488"/>
      <c r="N796" s="488"/>
      <c r="O796" s="488"/>
      <c r="P796" s="488"/>
      <c r="Q796" s="488"/>
      <c r="R796" s="488"/>
      <c r="S796" s="488"/>
      <c r="T796" s="488"/>
      <c r="U796" s="488"/>
      <c r="V796" s="488"/>
      <c r="W796" s="488"/>
      <c r="X796" s="488"/>
      <c r="Y796" s="488"/>
      <c r="Z796" s="488"/>
      <c r="AA796" s="488"/>
      <c r="AB796" s="488"/>
      <c r="AC796" s="488"/>
      <c r="AD796" s="488"/>
      <c r="AE796" s="488"/>
      <c r="AF796" s="488"/>
      <c r="AG796" s="488"/>
      <c r="AH796" s="488"/>
      <c r="AI796" s="488"/>
      <c r="AJ796" s="488"/>
    </row>
    <row r="797" spans="1:36" s="496" customFormat="1">
      <c r="A797" s="488"/>
      <c r="C797" s="488"/>
      <c r="D797" s="488"/>
      <c r="E797" s="488"/>
      <c r="F797" s="488"/>
      <c r="G797" s="488"/>
      <c r="H797" s="488"/>
      <c r="I797" s="488"/>
      <c r="J797" s="488"/>
      <c r="K797" s="488"/>
      <c r="L797" s="488"/>
      <c r="M797" s="488"/>
      <c r="N797" s="488"/>
      <c r="O797" s="488"/>
      <c r="P797" s="488"/>
      <c r="Q797" s="488"/>
      <c r="R797" s="488"/>
      <c r="S797" s="488"/>
      <c r="T797" s="488"/>
      <c r="U797" s="488"/>
      <c r="V797" s="488"/>
      <c r="W797" s="488"/>
      <c r="X797" s="488"/>
      <c r="Y797" s="488"/>
      <c r="Z797" s="488"/>
      <c r="AA797" s="488"/>
      <c r="AB797" s="488"/>
      <c r="AC797" s="488"/>
      <c r="AD797" s="488"/>
      <c r="AE797" s="488"/>
      <c r="AF797" s="488"/>
      <c r="AG797" s="488"/>
      <c r="AH797" s="488"/>
      <c r="AI797" s="488"/>
      <c r="AJ797" s="488"/>
    </row>
    <row r="798" spans="1:36" s="496" customFormat="1">
      <c r="A798" s="488"/>
      <c r="C798" s="488"/>
      <c r="D798" s="488"/>
      <c r="E798" s="488"/>
      <c r="F798" s="488"/>
      <c r="G798" s="488"/>
      <c r="H798" s="488"/>
      <c r="I798" s="488"/>
      <c r="J798" s="488"/>
      <c r="K798" s="488"/>
      <c r="L798" s="488"/>
      <c r="M798" s="488"/>
      <c r="N798" s="488"/>
      <c r="O798" s="488"/>
      <c r="P798" s="488"/>
      <c r="Q798" s="488"/>
      <c r="R798" s="488"/>
      <c r="S798" s="488"/>
      <c r="T798" s="488"/>
      <c r="U798" s="488"/>
      <c r="V798" s="488"/>
      <c r="W798" s="488"/>
      <c r="X798" s="488"/>
      <c r="Y798" s="488"/>
      <c r="Z798" s="488"/>
      <c r="AA798" s="488"/>
      <c r="AB798" s="488"/>
      <c r="AC798" s="488"/>
      <c r="AD798" s="488"/>
      <c r="AE798" s="488"/>
      <c r="AF798" s="488"/>
      <c r="AG798" s="488"/>
      <c r="AH798" s="488"/>
      <c r="AI798" s="488"/>
      <c r="AJ798" s="488"/>
    </row>
    <row r="799" spans="1:36" s="496" customFormat="1">
      <c r="A799" s="488"/>
      <c r="C799" s="488"/>
      <c r="D799" s="488"/>
      <c r="E799" s="488"/>
      <c r="F799" s="488"/>
      <c r="G799" s="488"/>
      <c r="H799" s="488"/>
      <c r="I799" s="488"/>
      <c r="J799" s="488"/>
      <c r="K799" s="488"/>
      <c r="L799" s="488"/>
      <c r="M799" s="488"/>
      <c r="N799" s="488"/>
      <c r="O799" s="488"/>
      <c r="P799" s="488"/>
      <c r="Q799" s="488"/>
      <c r="R799" s="488"/>
      <c r="S799" s="488"/>
      <c r="T799" s="488"/>
      <c r="U799" s="488"/>
      <c r="V799" s="488"/>
      <c r="W799" s="488"/>
      <c r="X799" s="488"/>
      <c r="Y799" s="488"/>
      <c r="Z799" s="488"/>
      <c r="AA799" s="488"/>
      <c r="AB799" s="488"/>
      <c r="AC799" s="488"/>
      <c r="AD799" s="488"/>
      <c r="AE799" s="488"/>
      <c r="AF799" s="488"/>
      <c r="AG799" s="488"/>
      <c r="AH799" s="488"/>
      <c r="AI799" s="488"/>
      <c r="AJ799" s="488"/>
    </row>
    <row r="800" spans="1:36" s="496" customFormat="1">
      <c r="A800" s="488"/>
      <c r="C800" s="488"/>
      <c r="D800" s="488"/>
      <c r="E800" s="488"/>
      <c r="F800" s="488"/>
      <c r="G800" s="488"/>
      <c r="H800" s="488"/>
      <c r="I800" s="488"/>
      <c r="J800" s="488"/>
      <c r="K800" s="488"/>
      <c r="L800" s="488"/>
      <c r="M800" s="488"/>
      <c r="N800" s="488"/>
      <c r="O800" s="488"/>
      <c r="P800" s="488"/>
      <c r="Q800" s="488"/>
      <c r="R800" s="488"/>
      <c r="S800" s="488"/>
      <c r="T800" s="488"/>
      <c r="U800" s="488"/>
      <c r="V800" s="488"/>
      <c r="W800" s="488"/>
      <c r="X800" s="488"/>
      <c r="Y800" s="488"/>
      <c r="Z800" s="488"/>
      <c r="AA800" s="488"/>
      <c r="AB800" s="488"/>
      <c r="AC800" s="488"/>
      <c r="AD800" s="488"/>
      <c r="AE800" s="488"/>
      <c r="AF800" s="488"/>
      <c r="AG800" s="488"/>
      <c r="AH800" s="488"/>
      <c r="AI800" s="488"/>
      <c r="AJ800" s="488"/>
    </row>
    <row r="801" spans="1:36" s="496" customFormat="1">
      <c r="A801" s="488"/>
      <c r="C801" s="488"/>
      <c r="D801" s="488"/>
      <c r="E801" s="488"/>
      <c r="F801" s="488"/>
      <c r="G801" s="488"/>
      <c r="H801" s="488"/>
      <c r="I801" s="488"/>
      <c r="J801" s="488"/>
      <c r="K801" s="488"/>
      <c r="L801" s="488"/>
      <c r="M801" s="488"/>
      <c r="N801" s="488"/>
      <c r="O801" s="488"/>
      <c r="P801" s="488"/>
      <c r="Q801" s="488"/>
      <c r="R801" s="488"/>
      <c r="S801" s="488"/>
      <c r="T801" s="488"/>
      <c r="U801" s="488"/>
      <c r="V801" s="488"/>
      <c r="W801" s="488"/>
      <c r="X801" s="488"/>
      <c r="Y801" s="488"/>
      <c r="Z801" s="488"/>
      <c r="AA801" s="488"/>
      <c r="AB801" s="488"/>
      <c r="AC801" s="488"/>
      <c r="AD801" s="488"/>
      <c r="AE801" s="488"/>
      <c r="AF801" s="488"/>
      <c r="AG801" s="488"/>
      <c r="AH801" s="488"/>
      <c r="AI801" s="488"/>
      <c r="AJ801" s="488"/>
    </row>
    <row r="802" spans="1:36" s="496" customFormat="1">
      <c r="A802" s="488"/>
      <c r="C802" s="488"/>
      <c r="D802" s="488"/>
      <c r="E802" s="488"/>
      <c r="F802" s="488"/>
      <c r="G802" s="488"/>
      <c r="H802" s="488"/>
      <c r="I802" s="488"/>
      <c r="J802" s="488"/>
      <c r="K802" s="488"/>
      <c r="L802" s="488"/>
      <c r="M802" s="488"/>
      <c r="N802" s="488"/>
      <c r="O802" s="488"/>
      <c r="P802" s="488"/>
      <c r="Q802" s="488"/>
      <c r="R802" s="488"/>
      <c r="S802" s="488"/>
      <c r="T802" s="488"/>
      <c r="U802" s="488"/>
      <c r="V802" s="488"/>
      <c r="W802" s="488"/>
      <c r="X802" s="488"/>
      <c r="Y802" s="488"/>
      <c r="Z802" s="488"/>
      <c r="AA802" s="488"/>
      <c r="AB802" s="488"/>
      <c r="AC802" s="488"/>
      <c r="AD802" s="488"/>
      <c r="AE802" s="488"/>
      <c r="AF802" s="488"/>
      <c r="AG802" s="488"/>
      <c r="AH802" s="488"/>
      <c r="AI802" s="488"/>
      <c r="AJ802" s="488"/>
    </row>
    <row r="803" spans="1:36" s="496" customFormat="1">
      <c r="A803" s="488"/>
      <c r="C803" s="488"/>
      <c r="D803" s="488"/>
      <c r="E803" s="488"/>
      <c r="F803" s="488"/>
      <c r="G803" s="488"/>
      <c r="H803" s="488"/>
      <c r="I803" s="488"/>
      <c r="J803" s="488"/>
      <c r="K803" s="488"/>
      <c r="L803" s="488"/>
      <c r="M803" s="488"/>
      <c r="N803" s="488"/>
      <c r="O803" s="488"/>
      <c r="P803" s="488"/>
      <c r="Q803" s="488"/>
      <c r="R803" s="488"/>
      <c r="S803" s="488"/>
      <c r="T803" s="488"/>
      <c r="U803" s="488"/>
      <c r="V803" s="488"/>
      <c r="W803" s="488"/>
      <c r="X803" s="488"/>
      <c r="Y803" s="488"/>
      <c r="Z803" s="488"/>
      <c r="AA803" s="488"/>
      <c r="AB803" s="488"/>
      <c r="AC803" s="488"/>
      <c r="AD803" s="488"/>
      <c r="AE803" s="488"/>
      <c r="AF803" s="488"/>
      <c r="AG803" s="488"/>
      <c r="AH803" s="488"/>
      <c r="AI803" s="488"/>
      <c r="AJ803" s="488"/>
    </row>
    <row r="804" spans="1:36" s="496" customFormat="1">
      <c r="A804" s="488"/>
      <c r="C804" s="488"/>
      <c r="D804" s="488"/>
      <c r="E804" s="488"/>
      <c r="F804" s="488"/>
      <c r="G804" s="488"/>
      <c r="H804" s="488"/>
      <c r="I804" s="488"/>
      <c r="J804" s="488"/>
      <c r="K804" s="488"/>
      <c r="L804" s="488"/>
      <c r="M804" s="488"/>
      <c r="N804" s="488"/>
      <c r="O804" s="488"/>
      <c r="P804" s="488"/>
      <c r="Q804" s="488"/>
      <c r="R804" s="488"/>
      <c r="S804" s="488"/>
      <c r="T804" s="488"/>
      <c r="U804" s="488"/>
      <c r="V804" s="488"/>
      <c r="W804" s="488"/>
      <c r="X804" s="488"/>
      <c r="Y804" s="488"/>
      <c r="Z804" s="488"/>
      <c r="AA804" s="488"/>
      <c r="AB804" s="488"/>
      <c r="AC804" s="488"/>
      <c r="AD804" s="488"/>
      <c r="AE804" s="488"/>
      <c r="AF804" s="488"/>
      <c r="AG804" s="488"/>
      <c r="AH804" s="488"/>
      <c r="AI804" s="488"/>
      <c r="AJ804" s="488"/>
    </row>
    <row r="805" spans="1:36" s="496" customFormat="1">
      <c r="A805" s="488"/>
      <c r="C805" s="488"/>
      <c r="D805" s="488"/>
      <c r="E805" s="488"/>
      <c r="F805" s="488"/>
      <c r="G805" s="488"/>
      <c r="H805" s="488"/>
      <c r="I805" s="488"/>
      <c r="J805" s="488"/>
      <c r="K805" s="488"/>
      <c r="L805" s="488"/>
      <c r="M805" s="488"/>
      <c r="N805" s="488"/>
      <c r="O805" s="488"/>
      <c r="P805" s="488"/>
      <c r="Q805" s="488"/>
      <c r="R805" s="488"/>
      <c r="S805" s="488"/>
      <c r="T805" s="488"/>
      <c r="U805" s="488"/>
      <c r="V805" s="488"/>
      <c r="W805" s="488"/>
      <c r="X805" s="488"/>
      <c r="Y805" s="488"/>
      <c r="Z805" s="488"/>
      <c r="AA805" s="488"/>
      <c r="AB805" s="488"/>
      <c r="AC805" s="488"/>
      <c r="AD805" s="488"/>
      <c r="AE805" s="488"/>
      <c r="AF805" s="488"/>
      <c r="AG805" s="488"/>
      <c r="AH805" s="488"/>
      <c r="AI805" s="488"/>
      <c r="AJ805" s="488"/>
    </row>
    <row r="806" spans="1:36" s="496" customFormat="1">
      <c r="A806" s="488"/>
      <c r="C806" s="488"/>
      <c r="D806" s="488"/>
      <c r="E806" s="488"/>
      <c r="F806" s="488"/>
      <c r="G806" s="488"/>
      <c r="H806" s="488"/>
      <c r="I806" s="488"/>
      <c r="J806" s="488"/>
      <c r="K806" s="488"/>
      <c r="L806" s="488"/>
      <c r="M806" s="488"/>
      <c r="N806" s="488"/>
      <c r="O806" s="488"/>
      <c r="P806" s="488"/>
      <c r="Q806" s="488"/>
      <c r="R806" s="488"/>
      <c r="S806" s="488"/>
      <c r="T806" s="488"/>
      <c r="U806" s="488"/>
      <c r="V806" s="488"/>
      <c r="W806" s="488"/>
      <c r="X806" s="488"/>
      <c r="Y806" s="488"/>
      <c r="Z806" s="488"/>
      <c r="AA806" s="488"/>
      <c r="AB806" s="488"/>
      <c r="AC806" s="488"/>
      <c r="AD806" s="488"/>
      <c r="AE806" s="488"/>
      <c r="AF806" s="488"/>
      <c r="AG806" s="488"/>
      <c r="AH806" s="488"/>
      <c r="AI806" s="488"/>
      <c r="AJ806" s="488"/>
    </row>
    <row r="807" spans="1:36" s="496" customFormat="1">
      <c r="A807" s="488"/>
      <c r="C807" s="488"/>
      <c r="D807" s="488"/>
      <c r="E807" s="488"/>
      <c r="F807" s="488"/>
      <c r="G807" s="488"/>
      <c r="H807" s="488"/>
      <c r="I807" s="488"/>
      <c r="J807" s="488"/>
      <c r="K807" s="488"/>
      <c r="L807" s="488"/>
      <c r="M807" s="488"/>
      <c r="N807" s="488"/>
      <c r="O807" s="488"/>
      <c r="P807" s="488"/>
      <c r="Q807" s="488"/>
      <c r="R807" s="488"/>
      <c r="S807" s="488"/>
      <c r="T807" s="488"/>
      <c r="U807" s="488"/>
      <c r="V807" s="488"/>
      <c r="W807" s="488"/>
      <c r="X807" s="488"/>
      <c r="Y807" s="488"/>
      <c r="Z807" s="488"/>
      <c r="AA807" s="488"/>
      <c r="AB807" s="488"/>
      <c r="AC807" s="488"/>
      <c r="AD807" s="488"/>
      <c r="AE807" s="488"/>
      <c r="AF807" s="488"/>
      <c r="AG807" s="488"/>
      <c r="AH807" s="488"/>
      <c r="AI807" s="488"/>
      <c r="AJ807" s="488"/>
    </row>
    <row r="808" spans="1:36" s="496" customFormat="1">
      <c r="A808" s="488"/>
      <c r="C808" s="488"/>
      <c r="D808" s="488"/>
      <c r="E808" s="488"/>
      <c r="F808" s="488"/>
      <c r="G808" s="488"/>
      <c r="H808" s="488"/>
      <c r="I808" s="488"/>
      <c r="J808" s="488"/>
      <c r="K808" s="488"/>
      <c r="L808" s="488"/>
      <c r="M808" s="488"/>
      <c r="N808" s="488"/>
      <c r="O808" s="488"/>
      <c r="P808" s="488"/>
      <c r="Q808" s="488"/>
      <c r="R808" s="488"/>
      <c r="S808" s="488"/>
      <c r="T808" s="488"/>
      <c r="U808" s="488"/>
      <c r="V808" s="488"/>
      <c r="W808" s="488"/>
      <c r="X808" s="488"/>
      <c r="Y808" s="488"/>
      <c r="Z808" s="488"/>
      <c r="AA808" s="488"/>
      <c r="AB808" s="488"/>
      <c r="AC808" s="488"/>
      <c r="AD808" s="488"/>
      <c r="AE808" s="488"/>
      <c r="AF808" s="488"/>
      <c r="AG808" s="488"/>
      <c r="AH808" s="488"/>
      <c r="AI808" s="488"/>
      <c r="AJ808" s="488"/>
    </row>
    <row r="809" spans="1:36" s="496" customFormat="1">
      <c r="A809" s="488"/>
      <c r="C809" s="488"/>
      <c r="D809" s="488"/>
      <c r="E809" s="488"/>
      <c r="F809" s="488"/>
      <c r="G809" s="488"/>
      <c r="H809" s="488"/>
      <c r="I809" s="488"/>
      <c r="J809" s="488"/>
      <c r="K809" s="488"/>
      <c r="L809" s="488"/>
      <c r="M809" s="488"/>
      <c r="N809" s="488"/>
      <c r="O809" s="488"/>
      <c r="P809" s="488"/>
      <c r="Q809" s="488"/>
      <c r="R809" s="488"/>
      <c r="S809" s="488"/>
      <c r="T809" s="488"/>
      <c r="U809" s="488"/>
      <c r="V809" s="488"/>
      <c r="W809" s="488"/>
      <c r="X809" s="488"/>
      <c r="Y809" s="488"/>
      <c r="Z809" s="488"/>
      <c r="AA809" s="488"/>
      <c r="AB809" s="488"/>
      <c r="AC809" s="488"/>
      <c r="AD809" s="488"/>
      <c r="AE809" s="488"/>
      <c r="AF809" s="488"/>
      <c r="AG809" s="488"/>
      <c r="AH809" s="488"/>
      <c r="AI809" s="488"/>
      <c r="AJ809" s="488"/>
    </row>
    <row r="810" spans="1:36" s="496" customFormat="1">
      <c r="A810" s="488"/>
      <c r="C810" s="488"/>
      <c r="D810" s="488"/>
      <c r="E810" s="488"/>
      <c r="F810" s="488"/>
      <c r="G810" s="488"/>
      <c r="H810" s="488"/>
      <c r="I810" s="488"/>
      <c r="J810" s="488"/>
      <c r="K810" s="488"/>
      <c r="L810" s="488"/>
      <c r="M810" s="488"/>
      <c r="N810" s="488"/>
      <c r="O810" s="488"/>
      <c r="P810" s="488"/>
      <c r="Q810" s="488"/>
      <c r="R810" s="488"/>
      <c r="S810" s="488"/>
      <c r="T810" s="488"/>
      <c r="U810" s="488"/>
      <c r="V810" s="488"/>
      <c r="W810" s="488"/>
      <c r="X810" s="488"/>
      <c r="Y810" s="488"/>
      <c r="Z810" s="488"/>
      <c r="AA810" s="488"/>
      <c r="AB810" s="488"/>
      <c r="AC810" s="488"/>
      <c r="AD810" s="488"/>
      <c r="AE810" s="488"/>
      <c r="AF810" s="488"/>
      <c r="AG810" s="488"/>
      <c r="AH810" s="488"/>
      <c r="AI810" s="488"/>
      <c r="AJ810" s="488"/>
    </row>
    <row r="811" spans="1:36" s="496" customFormat="1">
      <c r="A811" s="488"/>
      <c r="C811" s="488"/>
      <c r="D811" s="488"/>
      <c r="E811" s="488"/>
      <c r="F811" s="488"/>
      <c r="G811" s="488"/>
      <c r="H811" s="488"/>
      <c r="I811" s="488"/>
      <c r="J811" s="488"/>
      <c r="K811" s="488"/>
      <c r="L811" s="488"/>
      <c r="M811" s="488"/>
      <c r="N811" s="488"/>
      <c r="O811" s="488"/>
      <c r="P811" s="488"/>
      <c r="Q811" s="488"/>
      <c r="R811" s="488"/>
      <c r="S811" s="488"/>
      <c r="T811" s="488"/>
      <c r="U811" s="488"/>
      <c r="V811" s="488"/>
      <c r="W811" s="488"/>
      <c r="X811" s="488"/>
      <c r="Y811" s="488"/>
      <c r="Z811" s="488"/>
      <c r="AA811" s="488"/>
      <c r="AB811" s="488"/>
      <c r="AC811" s="488"/>
      <c r="AD811" s="488"/>
      <c r="AE811" s="488"/>
      <c r="AF811" s="488"/>
      <c r="AG811" s="488"/>
      <c r="AH811" s="488"/>
      <c r="AI811" s="488"/>
      <c r="AJ811" s="488"/>
    </row>
    <row r="812" spans="1:36" s="496" customFormat="1">
      <c r="A812" s="488"/>
      <c r="C812" s="488"/>
      <c r="D812" s="488"/>
      <c r="E812" s="488"/>
      <c r="F812" s="488"/>
      <c r="G812" s="488"/>
      <c r="H812" s="488"/>
      <c r="I812" s="488"/>
      <c r="J812" s="488"/>
      <c r="K812" s="488"/>
      <c r="L812" s="488"/>
      <c r="M812" s="488"/>
      <c r="N812" s="488"/>
      <c r="O812" s="488"/>
      <c r="P812" s="488"/>
      <c r="Q812" s="488"/>
      <c r="R812" s="488"/>
      <c r="S812" s="488"/>
      <c r="T812" s="488"/>
      <c r="U812" s="488"/>
      <c r="V812" s="488"/>
      <c r="W812" s="488"/>
      <c r="X812" s="488"/>
      <c r="Y812" s="488"/>
      <c r="Z812" s="488"/>
      <c r="AA812" s="488"/>
      <c r="AB812" s="488"/>
      <c r="AC812" s="488"/>
      <c r="AD812" s="488"/>
      <c r="AE812" s="488"/>
      <c r="AF812" s="488"/>
      <c r="AG812" s="488"/>
      <c r="AH812" s="488"/>
      <c r="AI812" s="488"/>
      <c r="AJ812" s="488"/>
    </row>
    <row r="813" spans="1:36" s="496" customFormat="1">
      <c r="A813" s="488"/>
      <c r="C813" s="488"/>
      <c r="D813" s="488"/>
      <c r="E813" s="488"/>
      <c r="F813" s="488"/>
      <c r="G813" s="488"/>
      <c r="H813" s="488"/>
      <c r="I813" s="488"/>
      <c r="J813" s="488"/>
      <c r="K813" s="488"/>
      <c r="L813" s="488"/>
      <c r="M813" s="488"/>
      <c r="N813" s="488"/>
      <c r="O813" s="488"/>
      <c r="P813" s="488"/>
      <c r="Q813" s="488"/>
      <c r="R813" s="488"/>
      <c r="S813" s="488"/>
      <c r="T813" s="488"/>
      <c r="U813" s="488"/>
      <c r="V813" s="488"/>
      <c r="W813" s="488"/>
      <c r="X813" s="488"/>
      <c r="Y813" s="488"/>
      <c r="Z813" s="488"/>
      <c r="AA813" s="488"/>
      <c r="AB813" s="488"/>
      <c r="AC813" s="488"/>
      <c r="AD813" s="488"/>
      <c r="AE813" s="488"/>
      <c r="AF813" s="488"/>
      <c r="AG813" s="488"/>
      <c r="AH813" s="488"/>
      <c r="AI813" s="488"/>
      <c r="AJ813" s="488"/>
    </row>
    <row r="814" spans="1:36" s="496" customFormat="1">
      <c r="A814" s="488"/>
      <c r="C814" s="488"/>
      <c r="D814" s="488"/>
      <c r="E814" s="488"/>
      <c r="F814" s="488"/>
      <c r="G814" s="488"/>
      <c r="H814" s="488"/>
      <c r="I814" s="488"/>
      <c r="J814" s="488"/>
      <c r="K814" s="488"/>
      <c r="L814" s="488"/>
      <c r="M814" s="488"/>
      <c r="N814" s="488"/>
      <c r="O814" s="488"/>
      <c r="P814" s="488"/>
      <c r="Q814" s="488"/>
      <c r="R814" s="488"/>
      <c r="S814" s="488"/>
      <c r="T814" s="488"/>
      <c r="U814" s="488"/>
      <c r="V814" s="488"/>
      <c r="W814" s="488"/>
      <c r="X814" s="488"/>
      <c r="Y814" s="488"/>
      <c r="Z814" s="488"/>
      <c r="AA814" s="488"/>
      <c r="AB814" s="488"/>
      <c r="AC814" s="488"/>
      <c r="AD814" s="488"/>
      <c r="AE814" s="488"/>
      <c r="AF814" s="488"/>
      <c r="AG814" s="488"/>
      <c r="AH814" s="488"/>
      <c r="AI814" s="488"/>
      <c r="AJ814" s="488"/>
    </row>
    <row r="815" spans="1:36" s="496" customFormat="1">
      <c r="A815" s="488"/>
      <c r="C815" s="488"/>
      <c r="D815" s="488"/>
      <c r="E815" s="488"/>
      <c r="F815" s="488"/>
      <c r="G815" s="488"/>
      <c r="H815" s="488"/>
      <c r="I815" s="488"/>
      <c r="J815" s="488"/>
      <c r="K815" s="488"/>
      <c r="L815" s="488"/>
      <c r="M815" s="488"/>
      <c r="N815" s="488"/>
      <c r="O815" s="488"/>
      <c r="P815" s="488"/>
      <c r="Q815" s="488"/>
      <c r="R815" s="488"/>
      <c r="S815" s="488"/>
      <c r="T815" s="488"/>
      <c r="U815" s="488"/>
      <c r="V815" s="488"/>
      <c r="W815" s="488"/>
      <c r="X815" s="488"/>
      <c r="Y815" s="488"/>
      <c r="Z815" s="488"/>
      <c r="AA815" s="488"/>
      <c r="AB815" s="488"/>
      <c r="AC815" s="488"/>
      <c r="AD815" s="488"/>
      <c r="AE815" s="488"/>
      <c r="AF815" s="488"/>
      <c r="AG815" s="488"/>
      <c r="AH815" s="488"/>
      <c r="AI815" s="488"/>
      <c r="AJ815" s="488"/>
    </row>
    <row r="816" spans="1:36" s="496" customFormat="1">
      <c r="A816" s="488"/>
      <c r="C816" s="488"/>
      <c r="D816" s="488"/>
      <c r="E816" s="488"/>
      <c r="F816" s="488"/>
      <c r="G816" s="488"/>
      <c r="H816" s="488"/>
      <c r="I816" s="488"/>
      <c r="J816" s="488"/>
      <c r="K816" s="488"/>
      <c r="L816" s="488"/>
      <c r="M816" s="488"/>
      <c r="N816" s="488"/>
      <c r="O816" s="488"/>
      <c r="P816" s="488"/>
      <c r="Q816" s="488"/>
      <c r="R816" s="488"/>
      <c r="S816" s="488"/>
      <c r="T816" s="488"/>
      <c r="U816" s="488"/>
      <c r="V816" s="488"/>
      <c r="W816" s="488"/>
      <c r="X816" s="488"/>
      <c r="Y816" s="488"/>
      <c r="Z816" s="488"/>
      <c r="AA816" s="488"/>
      <c r="AB816" s="488"/>
      <c r="AC816" s="488"/>
      <c r="AD816" s="488"/>
      <c r="AE816" s="488"/>
      <c r="AF816" s="488"/>
      <c r="AG816" s="488"/>
      <c r="AH816" s="488"/>
      <c r="AI816" s="488"/>
      <c r="AJ816" s="488"/>
    </row>
    <row r="817" spans="1:36" s="496" customFormat="1">
      <c r="A817" s="488"/>
      <c r="C817" s="488"/>
      <c r="D817" s="488"/>
      <c r="E817" s="488"/>
      <c r="F817" s="488"/>
      <c r="G817" s="488"/>
      <c r="H817" s="488"/>
      <c r="I817" s="488"/>
      <c r="J817" s="488"/>
      <c r="K817" s="488"/>
      <c r="L817" s="488"/>
      <c r="M817" s="488"/>
      <c r="N817" s="488"/>
      <c r="O817" s="488"/>
      <c r="P817" s="488"/>
      <c r="Q817" s="488"/>
      <c r="R817" s="488"/>
      <c r="S817" s="488"/>
      <c r="T817" s="488"/>
      <c r="U817" s="488"/>
      <c r="V817" s="488"/>
      <c r="W817" s="488"/>
      <c r="X817" s="488"/>
      <c r="Y817" s="488"/>
      <c r="Z817" s="488"/>
      <c r="AA817" s="488"/>
      <c r="AB817" s="488"/>
      <c r="AC817" s="488"/>
      <c r="AD817" s="488"/>
      <c r="AE817" s="488"/>
      <c r="AF817" s="488"/>
      <c r="AG817" s="488"/>
      <c r="AH817" s="488"/>
      <c r="AI817" s="488"/>
      <c r="AJ817" s="488"/>
    </row>
    <row r="818" spans="1:36" s="496" customFormat="1">
      <c r="A818" s="488"/>
      <c r="C818" s="488"/>
      <c r="D818" s="488"/>
      <c r="E818" s="488"/>
      <c r="F818" s="488"/>
      <c r="G818" s="488"/>
      <c r="H818" s="488"/>
      <c r="I818" s="488"/>
      <c r="J818" s="488"/>
      <c r="K818" s="488"/>
      <c r="L818" s="488"/>
      <c r="M818" s="488"/>
      <c r="N818" s="488"/>
      <c r="O818" s="488"/>
      <c r="P818" s="488"/>
      <c r="Q818" s="488"/>
      <c r="R818" s="488"/>
      <c r="S818" s="488"/>
      <c r="T818" s="488"/>
      <c r="U818" s="488"/>
      <c r="V818" s="488"/>
      <c r="W818" s="488"/>
      <c r="X818" s="488"/>
      <c r="Y818" s="488"/>
      <c r="Z818" s="488"/>
      <c r="AA818" s="488"/>
      <c r="AB818" s="488"/>
      <c r="AC818" s="488"/>
      <c r="AD818" s="488"/>
      <c r="AE818" s="488"/>
      <c r="AF818" s="488"/>
      <c r="AG818" s="488"/>
      <c r="AH818" s="488"/>
      <c r="AI818" s="488"/>
      <c r="AJ818" s="488"/>
    </row>
    <row r="819" spans="1:36" s="496" customFormat="1">
      <c r="A819" s="488"/>
      <c r="C819" s="488"/>
      <c r="D819" s="488"/>
      <c r="E819" s="488"/>
      <c r="F819" s="488"/>
      <c r="G819" s="488"/>
      <c r="H819" s="488"/>
      <c r="I819" s="488"/>
      <c r="J819" s="488"/>
      <c r="K819" s="488"/>
      <c r="L819" s="488"/>
      <c r="M819" s="488"/>
      <c r="N819" s="488"/>
      <c r="O819" s="488"/>
      <c r="P819" s="488"/>
      <c r="Q819" s="488"/>
      <c r="R819" s="488"/>
      <c r="S819" s="488"/>
      <c r="T819" s="488"/>
      <c r="U819" s="488"/>
      <c r="V819" s="488"/>
      <c r="W819" s="488"/>
      <c r="X819" s="488"/>
      <c r="Y819" s="488"/>
      <c r="Z819" s="488"/>
      <c r="AA819" s="488"/>
      <c r="AB819" s="488"/>
      <c r="AC819" s="488"/>
      <c r="AD819" s="488"/>
      <c r="AE819" s="488"/>
      <c r="AF819" s="488"/>
      <c r="AG819" s="488"/>
      <c r="AH819" s="488"/>
      <c r="AI819" s="488"/>
      <c r="AJ819" s="488"/>
    </row>
    <row r="820" spans="1:36" s="496" customFormat="1">
      <c r="A820" s="488"/>
      <c r="C820" s="488"/>
      <c r="D820" s="488"/>
      <c r="E820" s="488"/>
      <c r="F820" s="488"/>
      <c r="G820" s="488"/>
      <c r="H820" s="488"/>
      <c r="I820" s="488"/>
      <c r="J820" s="488"/>
      <c r="K820" s="488"/>
      <c r="L820" s="488"/>
      <c r="M820" s="488"/>
      <c r="N820" s="488"/>
      <c r="O820" s="488"/>
      <c r="P820" s="488"/>
      <c r="Q820" s="488"/>
      <c r="R820" s="488"/>
      <c r="S820" s="488"/>
      <c r="T820" s="488"/>
      <c r="U820" s="488"/>
      <c r="V820" s="488"/>
      <c r="W820" s="488"/>
      <c r="X820" s="488"/>
      <c r="Y820" s="488"/>
      <c r="Z820" s="488"/>
      <c r="AA820" s="488"/>
      <c r="AB820" s="488"/>
      <c r="AC820" s="488"/>
      <c r="AD820" s="488"/>
      <c r="AE820" s="488"/>
      <c r="AF820" s="488"/>
      <c r="AG820" s="488"/>
      <c r="AH820" s="488"/>
      <c r="AI820" s="488"/>
      <c r="AJ820" s="488"/>
    </row>
    <row r="821" spans="1:36" s="496" customFormat="1">
      <c r="A821" s="488"/>
      <c r="C821" s="488"/>
      <c r="D821" s="488"/>
      <c r="E821" s="488"/>
      <c r="F821" s="488"/>
      <c r="G821" s="488"/>
      <c r="H821" s="488"/>
      <c r="I821" s="488"/>
      <c r="J821" s="488"/>
      <c r="K821" s="488"/>
      <c r="L821" s="488"/>
      <c r="M821" s="488"/>
      <c r="N821" s="488"/>
      <c r="O821" s="488"/>
      <c r="P821" s="488"/>
      <c r="Q821" s="488"/>
      <c r="R821" s="488"/>
      <c r="S821" s="488"/>
      <c r="T821" s="488"/>
      <c r="U821" s="488"/>
      <c r="V821" s="488"/>
      <c r="W821" s="488"/>
      <c r="X821" s="488"/>
      <c r="Y821" s="488"/>
      <c r="Z821" s="488"/>
      <c r="AA821" s="488"/>
      <c r="AB821" s="488"/>
      <c r="AC821" s="488"/>
      <c r="AD821" s="488"/>
      <c r="AE821" s="488"/>
      <c r="AF821" s="488"/>
      <c r="AG821" s="488"/>
      <c r="AH821" s="488"/>
      <c r="AI821" s="488"/>
      <c r="AJ821" s="488"/>
    </row>
    <row r="822" spans="1:36" s="496" customFormat="1">
      <c r="A822" s="488"/>
      <c r="C822" s="488"/>
      <c r="D822" s="488"/>
      <c r="E822" s="488"/>
      <c r="F822" s="488"/>
      <c r="G822" s="488"/>
      <c r="H822" s="488"/>
      <c r="I822" s="488"/>
      <c r="J822" s="488"/>
      <c r="K822" s="488"/>
      <c r="L822" s="488"/>
      <c r="M822" s="488"/>
      <c r="N822" s="488"/>
      <c r="O822" s="488"/>
      <c r="P822" s="488"/>
      <c r="Q822" s="488"/>
      <c r="R822" s="488"/>
      <c r="S822" s="488"/>
      <c r="T822" s="488"/>
      <c r="U822" s="488"/>
      <c r="V822" s="488"/>
      <c r="W822" s="488"/>
      <c r="X822" s="488"/>
      <c r="Y822" s="488"/>
      <c r="Z822" s="488"/>
      <c r="AA822" s="488"/>
      <c r="AB822" s="488"/>
      <c r="AC822" s="488"/>
      <c r="AD822" s="488"/>
      <c r="AE822" s="488"/>
      <c r="AF822" s="488"/>
      <c r="AG822" s="488"/>
      <c r="AH822" s="488"/>
      <c r="AI822" s="488"/>
      <c r="AJ822" s="488"/>
    </row>
    <row r="823" spans="1:36" s="496" customFormat="1">
      <c r="A823" s="488"/>
      <c r="C823" s="488"/>
      <c r="D823" s="488"/>
      <c r="E823" s="488"/>
      <c r="F823" s="488"/>
      <c r="G823" s="488"/>
      <c r="H823" s="488"/>
      <c r="I823" s="488"/>
      <c r="J823" s="488"/>
      <c r="K823" s="488"/>
      <c r="L823" s="488"/>
      <c r="M823" s="488"/>
      <c r="N823" s="488"/>
      <c r="O823" s="488"/>
      <c r="P823" s="488"/>
      <c r="Q823" s="488"/>
      <c r="R823" s="488"/>
      <c r="S823" s="488"/>
      <c r="T823" s="488"/>
      <c r="U823" s="488"/>
      <c r="V823" s="488"/>
      <c r="W823" s="488"/>
      <c r="X823" s="488"/>
      <c r="Y823" s="488"/>
      <c r="Z823" s="488"/>
      <c r="AA823" s="488"/>
      <c r="AB823" s="488"/>
      <c r="AC823" s="488"/>
      <c r="AD823" s="488"/>
      <c r="AE823" s="488"/>
      <c r="AF823" s="488"/>
      <c r="AG823" s="488"/>
      <c r="AH823" s="488"/>
      <c r="AI823" s="488"/>
      <c r="AJ823" s="488"/>
    </row>
    <row r="824" spans="1:36" s="496" customFormat="1">
      <c r="A824" s="488"/>
      <c r="C824" s="488"/>
      <c r="D824" s="488"/>
      <c r="E824" s="488"/>
      <c r="F824" s="488"/>
      <c r="G824" s="488"/>
      <c r="H824" s="488"/>
      <c r="I824" s="488"/>
      <c r="J824" s="488"/>
      <c r="K824" s="488"/>
      <c r="L824" s="488"/>
      <c r="M824" s="488"/>
      <c r="N824" s="488"/>
      <c r="O824" s="488"/>
      <c r="P824" s="488"/>
      <c r="Q824" s="488"/>
      <c r="R824" s="488"/>
      <c r="S824" s="488"/>
      <c r="T824" s="488"/>
      <c r="U824" s="488"/>
      <c r="V824" s="488"/>
      <c r="W824" s="488"/>
      <c r="X824" s="488"/>
      <c r="Y824" s="488"/>
      <c r="Z824" s="488"/>
      <c r="AA824" s="488"/>
      <c r="AB824" s="488"/>
      <c r="AC824" s="488"/>
      <c r="AD824" s="488"/>
      <c r="AE824" s="488"/>
      <c r="AF824" s="488"/>
      <c r="AG824" s="488"/>
      <c r="AH824" s="488"/>
      <c r="AI824" s="488"/>
      <c r="AJ824" s="488"/>
    </row>
    <row r="825" spans="1:36" s="496" customFormat="1">
      <c r="A825" s="488"/>
      <c r="C825" s="488"/>
      <c r="D825" s="488"/>
      <c r="E825" s="488"/>
      <c r="F825" s="488"/>
      <c r="G825" s="488"/>
      <c r="H825" s="488"/>
      <c r="I825" s="488"/>
      <c r="J825" s="488"/>
      <c r="K825" s="488"/>
      <c r="L825" s="488"/>
      <c r="M825" s="488"/>
      <c r="N825" s="488"/>
      <c r="O825" s="488"/>
      <c r="P825" s="488"/>
      <c r="Q825" s="488"/>
      <c r="R825" s="488"/>
      <c r="S825" s="488"/>
      <c r="T825" s="488"/>
      <c r="U825" s="488"/>
      <c r="V825" s="488"/>
      <c r="W825" s="488"/>
      <c r="X825" s="488"/>
      <c r="Y825" s="488"/>
      <c r="Z825" s="488"/>
      <c r="AA825" s="488"/>
      <c r="AB825" s="488"/>
      <c r="AC825" s="488"/>
      <c r="AD825" s="488"/>
      <c r="AE825" s="488"/>
      <c r="AF825" s="488"/>
      <c r="AG825" s="488"/>
      <c r="AH825" s="488"/>
      <c r="AI825" s="488"/>
      <c r="AJ825" s="488"/>
    </row>
    <row r="826" spans="1:36" s="496" customFormat="1">
      <c r="A826" s="488"/>
      <c r="C826" s="488"/>
      <c r="D826" s="488"/>
      <c r="E826" s="488"/>
      <c r="F826" s="488"/>
      <c r="G826" s="488"/>
      <c r="H826" s="488"/>
      <c r="I826" s="488"/>
      <c r="J826" s="488"/>
      <c r="K826" s="488"/>
      <c r="L826" s="488"/>
      <c r="M826" s="488"/>
      <c r="N826" s="488"/>
      <c r="O826" s="488"/>
      <c r="P826" s="488"/>
      <c r="Q826" s="488"/>
      <c r="R826" s="488"/>
      <c r="S826" s="488"/>
      <c r="T826" s="488"/>
      <c r="U826" s="488"/>
      <c r="V826" s="488"/>
      <c r="W826" s="488"/>
      <c r="X826" s="488"/>
      <c r="Y826" s="488"/>
      <c r="Z826" s="488"/>
      <c r="AA826" s="488"/>
      <c r="AB826" s="488"/>
      <c r="AC826" s="488"/>
      <c r="AD826" s="488"/>
      <c r="AE826" s="488"/>
      <c r="AF826" s="488"/>
      <c r="AG826" s="488"/>
      <c r="AH826" s="488"/>
      <c r="AI826" s="488"/>
      <c r="AJ826" s="488"/>
    </row>
    <row r="827" spans="1:36" s="496" customFormat="1">
      <c r="A827" s="488"/>
      <c r="C827" s="488"/>
      <c r="D827" s="488"/>
      <c r="E827" s="488"/>
      <c r="F827" s="488"/>
      <c r="G827" s="488"/>
      <c r="H827" s="488"/>
      <c r="I827" s="488"/>
      <c r="J827" s="488"/>
      <c r="K827" s="488"/>
      <c r="L827" s="488"/>
      <c r="M827" s="488"/>
      <c r="N827" s="488"/>
      <c r="O827" s="488"/>
      <c r="P827" s="488"/>
      <c r="Q827" s="488"/>
      <c r="R827" s="488"/>
      <c r="S827" s="488"/>
      <c r="T827" s="488"/>
      <c r="U827" s="488"/>
      <c r="V827" s="488"/>
      <c r="W827" s="488"/>
      <c r="X827" s="488"/>
      <c r="Y827" s="488"/>
      <c r="Z827" s="488"/>
      <c r="AA827" s="488"/>
      <c r="AB827" s="488"/>
      <c r="AC827" s="488"/>
      <c r="AD827" s="488"/>
      <c r="AE827" s="488"/>
      <c r="AF827" s="488"/>
      <c r="AG827" s="488"/>
      <c r="AH827" s="488"/>
      <c r="AI827" s="488"/>
      <c r="AJ827" s="488"/>
    </row>
    <row r="828" spans="1:36" s="496" customFormat="1">
      <c r="A828" s="488"/>
      <c r="C828" s="488"/>
      <c r="D828" s="488"/>
      <c r="E828" s="488"/>
      <c r="F828" s="488"/>
      <c r="G828" s="488"/>
      <c r="H828" s="488"/>
      <c r="I828" s="488"/>
      <c r="J828" s="488"/>
      <c r="K828" s="488"/>
      <c r="L828" s="488"/>
      <c r="M828" s="488"/>
      <c r="N828" s="488"/>
      <c r="O828" s="488"/>
      <c r="P828" s="488"/>
      <c r="Q828" s="488"/>
      <c r="R828" s="488"/>
      <c r="S828" s="488"/>
      <c r="T828" s="488"/>
      <c r="U828" s="488"/>
      <c r="V828" s="488"/>
      <c r="W828" s="488"/>
      <c r="X828" s="488"/>
      <c r="Y828" s="488"/>
      <c r="Z828" s="488"/>
      <c r="AA828" s="488"/>
      <c r="AB828" s="488"/>
      <c r="AC828" s="488"/>
      <c r="AD828" s="488"/>
      <c r="AE828" s="488"/>
      <c r="AF828" s="488"/>
      <c r="AG828" s="488"/>
      <c r="AH828" s="488"/>
      <c r="AI828" s="488"/>
      <c r="AJ828" s="488"/>
    </row>
    <row r="829" spans="1:36" s="496" customFormat="1">
      <c r="A829" s="488"/>
      <c r="C829" s="488"/>
      <c r="D829" s="488"/>
      <c r="E829" s="488"/>
      <c r="F829" s="488"/>
      <c r="G829" s="488"/>
      <c r="H829" s="488"/>
      <c r="I829" s="488"/>
      <c r="J829" s="488"/>
      <c r="K829" s="488"/>
      <c r="L829" s="488"/>
      <c r="M829" s="488"/>
      <c r="N829" s="488"/>
      <c r="O829" s="488"/>
      <c r="P829" s="488"/>
      <c r="Q829" s="488"/>
      <c r="R829" s="488"/>
      <c r="S829" s="488"/>
      <c r="T829" s="488"/>
      <c r="U829" s="488"/>
      <c r="V829" s="488"/>
      <c r="W829" s="488"/>
      <c r="X829" s="488"/>
      <c r="Y829" s="488"/>
      <c r="Z829" s="488"/>
      <c r="AA829" s="488"/>
      <c r="AB829" s="488"/>
      <c r="AC829" s="488"/>
      <c r="AD829" s="488"/>
      <c r="AE829" s="488"/>
      <c r="AF829" s="488"/>
      <c r="AG829" s="488"/>
      <c r="AH829" s="488"/>
      <c r="AI829" s="488"/>
      <c r="AJ829" s="488"/>
    </row>
    <row r="830" spans="1:36" s="496" customFormat="1">
      <c r="A830" s="488"/>
      <c r="C830" s="488"/>
      <c r="D830" s="488"/>
      <c r="E830" s="488"/>
      <c r="F830" s="488"/>
      <c r="G830" s="488"/>
      <c r="H830" s="488"/>
      <c r="I830" s="488"/>
      <c r="J830" s="488"/>
      <c r="K830" s="488"/>
      <c r="L830" s="488"/>
      <c r="M830" s="488"/>
      <c r="N830" s="488"/>
      <c r="O830" s="488"/>
      <c r="P830" s="488"/>
      <c r="Q830" s="488"/>
      <c r="R830" s="488"/>
      <c r="S830" s="488"/>
      <c r="T830" s="488"/>
      <c r="U830" s="488"/>
      <c r="V830" s="488"/>
      <c r="W830" s="488"/>
      <c r="X830" s="488"/>
      <c r="Y830" s="488"/>
      <c r="Z830" s="488"/>
      <c r="AA830" s="488"/>
      <c r="AB830" s="488"/>
      <c r="AC830" s="488"/>
      <c r="AD830" s="488"/>
      <c r="AE830" s="488"/>
      <c r="AF830" s="488"/>
      <c r="AG830" s="488"/>
      <c r="AH830" s="488"/>
      <c r="AI830" s="488"/>
      <c r="AJ830" s="488"/>
    </row>
    <row r="831" spans="1:36" s="496" customFormat="1">
      <c r="A831" s="488"/>
      <c r="C831" s="488"/>
      <c r="D831" s="488"/>
      <c r="E831" s="488"/>
      <c r="F831" s="488"/>
      <c r="G831" s="488"/>
      <c r="H831" s="488"/>
      <c r="I831" s="488"/>
      <c r="J831" s="488"/>
      <c r="K831" s="488"/>
      <c r="L831" s="488"/>
      <c r="M831" s="488"/>
      <c r="N831" s="488"/>
      <c r="O831" s="488"/>
      <c r="P831" s="488"/>
      <c r="Q831" s="488"/>
      <c r="R831" s="488"/>
      <c r="S831" s="488"/>
      <c r="T831" s="488"/>
      <c r="U831" s="488"/>
      <c r="V831" s="488"/>
      <c r="W831" s="488"/>
      <c r="X831" s="488"/>
      <c r="Y831" s="488"/>
      <c r="Z831" s="488"/>
      <c r="AA831" s="488"/>
      <c r="AB831" s="488"/>
      <c r="AC831" s="488"/>
      <c r="AD831" s="488"/>
      <c r="AE831" s="488"/>
      <c r="AF831" s="488"/>
      <c r="AG831" s="488"/>
      <c r="AH831" s="488"/>
      <c r="AI831" s="488"/>
      <c r="AJ831" s="488"/>
    </row>
    <row r="832" spans="1:36" s="496" customFormat="1">
      <c r="A832" s="488"/>
      <c r="C832" s="488"/>
      <c r="D832" s="488"/>
      <c r="E832" s="488"/>
      <c r="F832" s="488"/>
      <c r="G832" s="488"/>
      <c r="H832" s="488"/>
      <c r="I832" s="488"/>
      <c r="J832" s="488"/>
      <c r="K832" s="488"/>
      <c r="L832" s="488"/>
      <c r="M832" s="488"/>
      <c r="N832" s="488"/>
      <c r="O832" s="488"/>
      <c r="P832" s="488"/>
      <c r="Q832" s="488"/>
      <c r="R832" s="488"/>
      <c r="S832" s="488"/>
      <c r="T832" s="488"/>
      <c r="U832" s="488"/>
      <c r="V832" s="488"/>
      <c r="W832" s="488"/>
      <c r="X832" s="488"/>
      <c r="Y832" s="488"/>
      <c r="Z832" s="488"/>
      <c r="AA832" s="488"/>
      <c r="AB832" s="488"/>
      <c r="AC832" s="488"/>
      <c r="AD832" s="488"/>
      <c r="AE832" s="488"/>
      <c r="AF832" s="488"/>
      <c r="AG832" s="488"/>
      <c r="AH832" s="488"/>
      <c r="AI832" s="488"/>
      <c r="AJ832" s="488"/>
    </row>
    <row r="833" spans="1:36" s="496" customFormat="1">
      <c r="A833" s="488"/>
      <c r="C833" s="488"/>
      <c r="D833" s="488"/>
      <c r="E833" s="488"/>
      <c r="F833" s="488"/>
      <c r="G833" s="488"/>
      <c r="H833" s="488"/>
      <c r="I833" s="488"/>
      <c r="J833" s="488"/>
      <c r="K833" s="488"/>
      <c r="L833" s="488"/>
      <c r="M833" s="488"/>
      <c r="N833" s="488"/>
      <c r="O833" s="488"/>
      <c r="P833" s="488"/>
      <c r="Q833" s="488"/>
      <c r="R833" s="488"/>
      <c r="S833" s="488"/>
      <c r="T833" s="488"/>
      <c r="U833" s="488"/>
      <c r="V833" s="488"/>
      <c r="W833" s="488"/>
      <c r="X833" s="488"/>
      <c r="Y833" s="488"/>
      <c r="Z833" s="488"/>
      <c r="AA833" s="488"/>
      <c r="AB833" s="488"/>
      <c r="AC833" s="488"/>
      <c r="AD833" s="488"/>
      <c r="AE833" s="488"/>
      <c r="AF833" s="488"/>
      <c r="AG833" s="488"/>
      <c r="AH833" s="488"/>
      <c r="AI833" s="488"/>
      <c r="AJ833" s="488"/>
    </row>
    <row r="834" spans="1:36" s="496" customFormat="1">
      <c r="A834" s="488"/>
      <c r="C834" s="488"/>
      <c r="D834" s="488"/>
      <c r="E834" s="488"/>
      <c r="F834" s="488"/>
      <c r="G834" s="488"/>
      <c r="H834" s="488"/>
      <c r="I834" s="488"/>
      <c r="J834" s="488"/>
      <c r="K834" s="488"/>
      <c r="L834" s="488"/>
      <c r="M834" s="488"/>
      <c r="N834" s="488"/>
      <c r="O834" s="488"/>
      <c r="P834" s="488"/>
      <c r="Q834" s="488"/>
      <c r="R834" s="488"/>
      <c r="S834" s="488"/>
      <c r="T834" s="488"/>
      <c r="U834" s="488"/>
      <c r="V834" s="488"/>
      <c r="W834" s="488"/>
      <c r="X834" s="488"/>
      <c r="Y834" s="488"/>
      <c r="Z834" s="488"/>
      <c r="AA834" s="488"/>
      <c r="AB834" s="488"/>
      <c r="AC834" s="488"/>
      <c r="AD834" s="488"/>
      <c r="AE834" s="488"/>
      <c r="AF834" s="488"/>
      <c r="AG834" s="488"/>
      <c r="AH834" s="488"/>
      <c r="AI834" s="488"/>
      <c r="AJ834" s="488"/>
    </row>
    <row r="835" spans="1:36" s="496" customFormat="1">
      <c r="A835" s="488"/>
      <c r="C835" s="488"/>
      <c r="D835" s="488"/>
      <c r="E835" s="488"/>
      <c r="F835" s="488"/>
      <c r="G835" s="488"/>
      <c r="H835" s="488"/>
      <c r="I835" s="488"/>
      <c r="J835" s="488"/>
      <c r="K835" s="488"/>
      <c r="L835" s="488"/>
      <c r="M835" s="488"/>
      <c r="N835" s="488"/>
      <c r="O835" s="488"/>
      <c r="P835" s="488"/>
      <c r="Q835" s="488"/>
      <c r="R835" s="488"/>
      <c r="S835" s="488"/>
      <c r="T835" s="488"/>
      <c r="U835" s="488"/>
      <c r="V835" s="488"/>
      <c r="W835" s="488"/>
      <c r="X835" s="488"/>
      <c r="Y835" s="488"/>
      <c r="Z835" s="488"/>
      <c r="AA835" s="488"/>
      <c r="AB835" s="488"/>
      <c r="AC835" s="488"/>
      <c r="AD835" s="488"/>
      <c r="AE835" s="488"/>
      <c r="AF835" s="488"/>
      <c r="AG835" s="488"/>
      <c r="AH835" s="488"/>
      <c r="AI835" s="488"/>
      <c r="AJ835" s="488"/>
    </row>
    <row r="836" spans="1:36" s="496" customFormat="1">
      <c r="A836" s="488"/>
      <c r="C836" s="488"/>
      <c r="D836" s="488"/>
      <c r="E836" s="488"/>
      <c r="F836" s="488"/>
      <c r="G836" s="488"/>
      <c r="H836" s="488"/>
      <c r="I836" s="488"/>
      <c r="J836" s="488"/>
      <c r="K836" s="488"/>
      <c r="L836" s="488"/>
      <c r="M836" s="488"/>
      <c r="N836" s="488"/>
      <c r="O836" s="488"/>
      <c r="P836" s="488"/>
      <c r="Q836" s="488"/>
      <c r="R836" s="488"/>
      <c r="S836" s="488"/>
      <c r="T836" s="488"/>
      <c r="U836" s="488"/>
      <c r="V836" s="488"/>
      <c r="W836" s="488"/>
      <c r="X836" s="488"/>
      <c r="Y836" s="488"/>
      <c r="Z836" s="488"/>
      <c r="AA836" s="488"/>
      <c r="AB836" s="488"/>
      <c r="AC836" s="488"/>
      <c r="AD836" s="488"/>
      <c r="AE836" s="488"/>
      <c r="AF836" s="488"/>
      <c r="AG836" s="488"/>
      <c r="AH836" s="488"/>
      <c r="AI836" s="488"/>
      <c r="AJ836" s="488"/>
    </row>
    <row r="837" spans="1:36" s="496" customFormat="1">
      <c r="A837" s="488"/>
      <c r="C837" s="488"/>
      <c r="D837" s="488"/>
      <c r="E837" s="488"/>
      <c r="F837" s="488"/>
      <c r="G837" s="488"/>
      <c r="H837" s="488"/>
      <c r="I837" s="488"/>
      <c r="J837" s="488"/>
      <c r="K837" s="488"/>
      <c r="L837" s="488"/>
      <c r="M837" s="488"/>
      <c r="N837" s="488"/>
      <c r="O837" s="488"/>
      <c r="P837" s="488"/>
      <c r="Q837" s="488"/>
      <c r="R837" s="488"/>
      <c r="S837" s="488"/>
      <c r="T837" s="488"/>
      <c r="U837" s="488"/>
      <c r="V837" s="488"/>
      <c r="W837" s="488"/>
      <c r="X837" s="488"/>
      <c r="Y837" s="488"/>
      <c r="Z837" s="488"/>
      <c r="AA837" s="488"/>
      <c r="AB837" s="488"/>
      <c r="AC837" s="488"/>
      <c r="AD837" s="488"/>
      <c r="AE837" s="488"/>
      <c r="AF837" s="488"/>
      <c r="AG837" s="488"/>
      <c r="AH837" s="488"/>
      <c r="AI837" s="488"/>
      <c r="AJ837" s="488"/>
    </row>
    <row r="838" spans="1:36" s="496" customFormat="1">
      <c r="A838" s="488"/>
      <c r="C838" s="488"/>
      <c r="D838" s="488"/>
      <c r="E838" s="488"/>
      <c r="F838" s="488"/>
      <c r="G838" s="488"/>
      <c r="H838" s="488"/>
      <c r="I838" s="488"/>
      <c r="J838" s="488"/>
      <c r="K838" s="488"/>
      <c r="L838" s="488"/>
      <c r="M838" s="488"/>
      <c r="N838" s="488"/>
      <c r="O838" s="488"/>
      <c r="P838" s="488"/>
      <c r="Q838" s="488"/>
      <c r="R838" s="488"/>
      <c r="S838" s="488"/>
      <c r="T838" s="488"/>
      <c r="U838" s="488"/>
      <c r="V838" s="488"/>
      <c r="W838" s="488"/>
      <c r="X838" s="488"/>
      <c r="Y838" s="488"/>
      <c r="Z838" s="488"/>
      <c r="AA838" s="488"/>
      <c r="AB838" s="488"/>
      <c r="AC838" s="488"/>
      <c r="AD838" s="488"/>
      <c r="AE838" s="488"/>
      <c r="AF838" s="488"/>
      <c r="AG838" s="488"/>
      <c r="AH838" s="488"/>
      <c r="AI838" s="488"/>
      <c r="AJ838" s="488"/>
    </row>
    <row r="839" spans="1:36" s="496" customFormat="1">
      <c r="A839" s="488"/>
      <c r="C839" s="488"/>
      <c r="D839" s="488"/>
      <c r="E839" s="488"/>
      <c r="F839" s="488"/>
      <c r="G839" s="488"/>
      <c r="H839" s="488"/>
      <c r="I839" s="488"/>
      <c r="J839" s="488"/>
      <c r="K839" s="488"/>
      <c r="L839" s="488"/>
      <c r="M839" s="488"/>
      <c r="N839" s="488"/>
      <c r="O839" s="488"/>
      <c r="P839" s="488"/>
      <c r="Q839" s="488"/>
      <c r="R839" s="488"/>
      <c r="S839" s="488"/>
      <c r="T839" s="488"/>
      <c r="U839" s="488"/>
      <c r="V839" s="488"/>
      <c r="W839" s="488"/>
      <c r="X839" s="488"/>
      <c r="Y839" s="488"/>
      <c r="Z839" s="488"/>
      <c r="AA839" s="488"/>
      <c r="AB839" s="488"/>
      <c r="AC839" s="488"/>
      <c r="AD839" s="488"/>
      <c r="AE839" s="488"/>
      <c r="AF839" s="488"/>
      <c r="AG839" s="488"/>
      <c r="AH839" s="488"/>
      <c r="AI839" s="488"/>
      <c r="AJ839" s="488"/>
    </row>
    <row r="840" spans="1:36" s="496" customFormat="1">
      <c r="A840" s="488"/>
      <c r="C840" s="488"/>
      <c r="D840" s="488"/>
      <c r="E840" s="488"/>
      <c r="F840" s="488"/>
      <c r="G840" s="488"/>
      <c r="H840" s="488"/>
      <c r="I840" s="488"/>
      <c r="J840" s="488"/>
      <c r="K840" s="488"/>
      <c r="L840" s="488"/>
      <c r="M840" s="488"/>
      <c r="N840" s="488"/>
      <c r="O840" s="488"/>
      <c r="P840" s="488"/>
      <c r="Q840" s="488"/>
      <c r="R840" s="488"/>
      <c r="S840" s="488"/>
      <c r="T840" s="488"/>
      <c r="U840" s="488"/>
      <c r="V840" s="488"/>
      <c r="W840" s="488"/>
      <c r="X840" s="488"/>
      <c r="Y840" s="488"/>
      <c r="Z840" s="488"/>
      <c r="AA840" s="488"/>
      <c r="AB840" s="488"/>
      <c r="AC840" s="488"/>
      <c r="AD840" s="488"/>
      <c r="AE840" s="488"/>
      <c r="AF840" s="488"/>
      <c r="AG840" s="488"/>
      <c r="AH840" s="488"/>
      <c r="AI840" s="488"/>
      <c r="AJ840" s="488"/>
    </row>
    <row r="841" spans="1:36" s="496" customFormat="1">
      <c r="A841" s="488"/>
      <c r="C841" s="488"/>
      <c r="D841" s="488"/>
      <c r="E841" s="488"/>
      <c r="F841" s="488"/>
      <c r="G841" s="488"/>
      <c r="H841" s="488"/>
      <c r="I841" s="488"/>
      <c r="J841" s="488"/>
      <c r="K841" s="488"/>
      <c r="L841" s="488"/>
      <c r="M841" s="488"/>
      <c r="N841" s="488"/>
      <c r="O841" s="488"/>
      <c r="P841" s="488"/>
      <c r="Q841" s="488"/>
      <c r="R841" s="488"/>
      <c r="S841" s="488"/>
      <c r="T841" s="488"/>
      <c r="U841" s="488"/>
      <c r="V841" s="488"/>
      <c r="W841" s="488"/>
      <c r="X841" s="488"/>
      <c r="Y841" s="488"/>
      <c r="Z841" s="488"/>
      <c r="AA841" s="488"/>
      <c r="AB841" s="488"/>
      <c r="AC841" s="488"/>
      <c r="AD841" s="488"/>
      <c r="AE841" s="488"/>
      <c r="AF841" s="488"/>
      <c r="AG841" s="488"/>
      <c r="AH841" s="488"/>
      <c r="AI841" s="488"/>
      <c r="AJ841" s="488"/>
    </row>
    <row r="842" spans="1:36" s="496" customFormat="1">
      <c r="A842" s="488"/>
      <c r="C842" s="488"/>
      <c r="D842" s="488"/>
      <c r="E842" s="488"/>
      <c r="F842" s="488"/>
      <c r="G842" s="488"/>
      <c r="H842" s="488"/>
      <c r="I842" s="488"/>
      <c r="J842" s="488"/>
      <c r="K842" s="488"/>
      <c r="L842" s="488"/>
      <c r="M842" s="488"/>
      <c r="N842" s="488"/>
      <c r="O842" s="488"/>
      <c r="P842" s="488"/>
      <c r="Q842" s="488"/>
      <c r="R842" s="488"/>
      <c r="S842" s="488"/>
      <c r="T842" s="488"/>
      <c r="U842" s="488"/>
      <c r="V842" s="488"/>
      <c r="W842" s="488"/>
      <c r="X842" s="488"/>
      <c r="Y842" s="488"/>
      <c r="Z842" s="488"/>
      <c r="AA842" s="488"/>
      <c r="AB842" s="488"/>
      <c r="AC842" s="488"/>
      <c r="AD842" s="488"/>
      <c r="AE842" s="488"/>
      <c r="AF842" s="488"/>
      <c r="AG842" s="488"/>
      <c r="AH842" s="488"/>
      <c r="AI842" s="488"/>
      <c r="AJ842" s="488"/>
    </row>
    <row r="843" spans="1:36" s="496" customFormat="1">
      <c r="A843" s="488"/>
      <c r="C843" s="488"/>
      <c r="D843" s="488"/>
      <c r="E843" s="488"/>
      <c r="F843" s="488"/>
      <c r="G843" s="488"/>
      <c r="H843" s="488"/>
      <c r="I843" s="488"/>
      <c r="J843" s="488"/>
      <c r="K843" s="488"/>
      <c r="L843" s="488"/>
      <c r="M843" s="488"/>
      <c r="N843" s="488"/>
      <c r="O843" s="488"/>
      <c r="P843" s="488"/>
      <c r="Q843" s="488"/>
      <c r="R843" s="488"/>
      <c r="S843" s="488"/>
      <c r="T843" s="488"/>
      <c r="U843" s="488"/>
      <c r="V843" s="488"/>
      <c r="W843" s="488"/>
      <c r="X843" s="488"/>
      <c r="Y843" s="488"/>
      <c r="Z843" s="488"/>
      <c r="AA843" s="488"/>
      <c r="AB843" s="488"/>
      <c r="AC843" s="488"/>
      <c r="AD843" s="488"/>
      <c r="AE843" s="488"/>
      <c r="AF843" s="488"/>
      <c r="AG843" s="488"/>
      <c r="AH843" s="488"/>
      <c r="AI843" s="488"/>
      <c r="AJ843" s="488"/>
    </row>
    <row r="844" spans="1:36" s="496" customFormat="1">
      <c r="A844" s="488"/>
      <c r="C844" s="488"/>
      <c r="D844" s="488"/>
      <c r="E844" s="488"/>
      <c r="F844" s="488"/>
      <c r="G844" s="488"/>
      <c r="H844" s="488"/>
      <c r="I844" s="488"/>
      <c r="J844" s="488"/>
      <c r="K844" s="488"/>
      <c r="L844" s="488"/>
      <c r="M844" s="488"/>
      <c r="N844" s="488"/>
      <c r="O844" s="488"/>
      <c r="P844" s="488"/>
      <c r="Q844" s="488"/>
      <c r="R844" s="488"/>
      <c r="S844" s="488"/>
      <c r="T844" s="488"/>
      <c r="U844" s="488"/>
      <c r="V844" s="488"/>
      <c r="W844" s="488"/>
      <c r="X844" s="488"/>
      <c r="Y844" s="488"/>
      <c r="Z844" s="488"/>
      <c r="AA844" s="488"/>
      <c r="AB844" s="488"/>
      <c r="AC844" s="488"/>
      <c r="AD844" s="488"/>
      <c r="AE844" s="488"/>
      <c r="AF844" s="488"/>
      <c r="AG844" s="488"/>
      <c r="AH844" s="488"/>
      <c r="AI844" s="488"/>
      <c r="AJ844" s="488"/>
    </row>
    <row r="845" spans="1:36" s="496" customFormat="1">
      <c r="A845" s="488"/>
      <c r="C845" s="488"/>
      <c r="D845" s="488"/>
      <c r="E845" s="488"/>
      <c r="F845" s="488"/>
      <c r="G845" s="488"/>
      <c r="H845" s="488"/>
      <c r="I845" s="488"/>
      <c r="J845" s="488"/>
      <c r="K845" s="488"/>
      <c r="L845" s="488"/>
      <c r="M845" s="488"/>
      <c r="N845" s="488"/>
      <c r="O845" s="488"/>
      <c r="P845" s="488"/>
      <c r="Q845" s="488"/>
      <c r="R845" s="488"/>
      <c r="S845" s="488"/>
      <c r="T845" s="488"/>
      <c r="U845" s="488"/>
      <c r="V845" s="488"/>
      <c r="W845" s="488"/>
      <c r="X845" s="488"/>
      <c r="Y845" s="488"/>
      <c r="Z845" s="488"/>
      <c r="AA845" s="488"/>
      <c r="AB845" s="488"/>
      <c r="AC845" s="488"/>
      <c r="AD845" s="488"/>
      <c r="AE845" s="488"/>
      <c r="AF845" s="488"/>
      <c r="AG845" s="488"/>
      <c r="AH845" s="488"/>
      <c r="AI845" s="488"/>
      <c r="AJ845" s="488"/>
    </row>
    <row r="846" spans="1:36" s="496" customFormat="1">
      <c r="A846" s="488"/>
      <c r="C846" s="488"/>
      <c r="D846" s="488"/>
      <c r="E846" s="488"/>
      <c r="F846" s="488"/>
      <c r="G846" s="488"/>
      <c r="H846" s="488"/>
      <c r="I846" s="488"/>
      <c r="J846" s="488"/>
      <c r="K846" s="488"/>
      <c r="L846" s="488"/>
      <c r="M846" s="488"/>
      <c r="N846" s="488"/>
      <c r="O846" s="488"/>
      <c r="P846" s="488"/>
      <c r="Q846" s="488"/>
      <c r="R846" s="488"/>
      <c r="S846" s="488"/>
      <c r="T846" s="488"/>
      <c r="U846" s="488"/>
      <c r="V846" s="488"/>
      <c r="W846" s="488"/>
      <c r="X846" s="488"/>
      <c r="Y846" s="488"/>
      <c r="Z846" s="488"/>
      <c r="AA846" s="488"/>
      <c r="AB846" s="488"/>
      <c r="AC846" s="488"/>
      <c r="AD846" s="488"/>
      <c r="AE846" s="488"/>
      <c r="AF846" s="488"/>
      <c r="AG846" s="488"/>
      <c r="AH846" s="488"/>
      <c r="AI846" s="488"/>
      <c r="AJ846" s="488"/>
    </row>
    <row r="847" spans="1:36" s="496" customFormat="1">
      <c r="A847" s="488"/>
      <c r="C847" s="488"/>
      <c r="D847" s="488"/>
      <c r="E847" s="488"/>
      <c r="F847" s="488"/>
      <c r="G847" s="488"/>
      <c r="H847" s="488"/>
      <c r="I847" s="488"/>
      <c r="J847" s="488"/>
      <c r="K847" s="488"/>
      <c r="L847" s="488"/>
      <c r="M847" s="488"/>
      <c r="N847" s="488"/>
      <c r="O847" s="488"/>
      <c r="P847" s="488"/>
      <c r="Q847" s="488"/>
      <c r="R847" s="488"/>
      <c r="S847" s="488"/>
      <c r="T847" s="488"/>
      <c r="U847" s="488"/>
      <c r="V847" s="488"/>
      <c r="W847" s="488"/>
      <c r="X847" s="488"/>
      <c r="Y847" s="488"/>
      <c r="Z847" s="488"/>
      <c r="AA847" s="488"/>
      <c r="AB847" s="488"/>
      <c r="AC847" s="488"/>
      <c r="AD847" s="488"/>
      <c r="AE847" s="488"/>
      <c r="AF847" s="488"/>
      <c r="AG847" s="488"/>
      <c r="AH847" s="488"/>
      <c r="AI847" s="488"/>
      <c r="AJ847" s="488"/>
    </row>
    <row r="848" spans="1:36" s="496" customFormat="1">
      <c r="A848" s="488"/>
      <c r="C848" s="488"/>
      <c r="D848" s="488"/>
      <c r="E848" s="488"/>
      <c r="F848" s="488"/>
      <c r="G848" s="488"/>
      <c r="H848" s="488"/>
      <c r="I848" s="488"/>
      <c r="J848" s="488"/>
      <c r="K848" s="488"/>
      <c r="L848" s="488"/>
      <c r="M848" s="488"/>
      <c r="N848" s="488"/>
      <c r="O848" s="488"/>
      <c r="P848" s="488"/>
      <c r="Q848" s="488"/>
      <c r="R848" s="488"/>
      <c r="S848" s="488"/>
      <c r="T848" s="488"/>
      <c r="U848" s="488"/>
      <c r="V848" s="488"/>
      <c r="W848" s="488"/>
      <c r="X848" s="488"/>
      <c r="Y848" s="488"/>
      <c r="Z848" s="488"/>
      <c r="AA848" s="488"/>
      <c r="AB848" s="488"/>
      <c r="AC848" s="488"/>
      <c r="AD848" s="488"/>
      <c r="AE848" s="488"/>
      <c r="AF848" s="488"/>
      <c r="AG848" s="488"/>
      <c r="AH848" s="488"/>
      <c r="AI848" s="488"/>
      <c r="AJ848" s="488"/>
    </row>
    <row r="849" spans="1:36" s="496" customFormat="1">
      <c r="A849" s="488"/>
      <c r="C849" s="488"/>
      <c r="D849" s="488"/>
      <c r="E849" s="488"/>
      <c r="F849" s="488"/>
      <c r="G849" s="488"/>
      <c r="H849" s="488"/>
      <c r="I849" s="488"/>
      <c r="J849" s="488"/>
      <c r="K849" s="488"/>
      <c r="L849" s="488"/>
      <c r="M849" s="488"/>
      <c r="N849" s="488"/>
      <c r="O849" s="488"/>
      <c r="P849" s="488"/>
      <c r="Q849" s="488"/>
      <c r="R849" s="488"/>
      <c r="S849" s="488"/>
      <c r="T849" s="488"/>
      <c r="U849" s="488"/>
      <c r="V849" s="488"/>
      <c r="W849" s="488"/>
      <c r="X849" s="488"/>
      <c r="Y849" s="488"/>
      <c r="Z849" s="488"/>
      <c r="AA849" s="488"/>
      <c r="AB849" s="488"/>
      <c r="AC849" s="488"/>
      <c r="AD849" s="488"/>
      <c r="AE849" s="488"/>
      <c r="AF849" s="488"/>
      <c r="AG849" s="488"/>
      <c r="AH849" s="488"/>
      <c r="AI849" s="488"/>
      <c r="AJ849" s="488"/>
    </row>
    <row r="850" spans="1:36" s="496" customFormat="1">
      <c r="A850" s="488"/>
      <c r="C850" s="488"/>
      <c r="D850" s="488"/>
      <c r="E850" s="488"/>
      <c r="F850" s="488"/>
      <c r="G850" s="488"/>
      <c r="H850" s="488"/>
      <c r="I850" s="488"/>
      <c r="J850" s="488"/>
      <c r="K850" s="488"/>
      <c r="L850" s="488"/>
      <c r="M850" s="488"/>
      <c r="N850" s="488"/>
      <c r="O850" s="488"/>
      <c r="P850" s="488"/>
      <c r="Q850" s="488"/>
      <c r="R850" s="488"/>
      <c r="S850" s="488"/>
      <c r="T850" s="488"/>
      <c r="U850" s="488"/>
      <c r="V850" s="488"/>
      <c r="W850" s="488"/>
      <c r="X850" s="488"/>
      <c r="Y850" s="488"/>
      <c r="Z850" s="488"/>
      <c r="AA850" s="488"/>
      <c r="AB850" s="488"/>
      <c r="AC850" s="488"/>
      <c r="AD850" s="488"/>
      <c r="AE850" s="488"/>
      <c r="AF850" s="488"/>
      <c r="AG850" s="488"/>
      <c r="AH850" s="488"/>
      <c r="AI850" s="488"/>
      <c r="AJ850" s="488"/>
    </row>
    <row r="851" spans="1:36" s="496" customFormat="1">
      <c r="A851" s="488"/>
      <c r="C851" s="488"/>
      <c r="D851" s="488"/>
      <c r="E851" s="488"/>
      <c r="F851" s="488"/>
      <c r="G851" s="488"/>
      <c r="H851" s="488"/>
      <c r="I851" s="488"/>
      <c r="J851" s="488"/>
      <c r="K851" s="488"/>
      <c r="L851" s="488"/>
      <c r="M851" s="488"/>
      <c r="N851" s="488"/>
      <c r="O851" s="488"/>
      <c r="P851" s="488"/>
      <c r="Q851" s="488"/>
      <c r="R851" s="488"/>
      <c r="S851" s="488"/>
      <c r="T851" s="488"/>
      <c r="U851" s="488"/>
      <c r="V851" s="488"/>
      <c r="W851" s="488"/>
      <c r="X851" s="488"/>
      <c r="Y851" s="488"/>
      <c r="Z851" s="488"/>
      <c r="AA851" s="488"/>
      <c r="AB851" s="488"/>
      <c r="AC851" s="488"/>
      <c r="AD851" s="488"/>
      <c r="AE851" s="488"/>
      <c r="AF851" s="488"/>
      <c r="AG851" s="488"/>
      <c r="AH851" s="488"/>
      <c r="AI851" s="488"/>
      <c r="AJ851" s="488"/>
    </row>
    <row r="852" spans="1:36" s="496" customFormat="1">
      <c r="A852" s="488"/>
      <c r="C852" s="488"/>
      <c r="D852" s="488"/>
      <c r="E852" s="488"/>
      <c r="F852" s="488"/>
      <c r="G852" s="488"/>
      <c r="H852" s="488"/>
      <c r="I852" s="488"/>
      <c r="J852" s="488"/>
      <c r="K852" s="488"/>
      <c r="L852" s="488"/>
      <c r="M852" s="488"/>
      <c r="N852" s="488"/>
      <c r="O852" s="488"/>
      <c r="P852" s="488"/>
      <c r="Q852" s="488"/>
      <c r="R852" s="488"/>
      <c r="S852" s="488"/>
      <c r="T852" s="488"/>
      <c r="U852" s="488"/>
      <c r="V852" s="488"/>
      <c r="W852" s="488"/>
      <c r="X852" s="488"/>
      <c r="Y852" s="488"/>
      <c r="Z852" s="488"/>
      <c r="AA852" s="488"/>
      <c r="AB852" s="488"/>
      <c r="AC852" s="488"/>
      <c r="AD852" s="488"/>
      <c r="AE852" s="488"/>
      <c r="AF852" s="488"/>
      <c r="AG852" s="488"/>
      <c r="AH852" s="488"/>
      <c r="AI852" s="488"/>
      <c r="AJ852" s="488"/>
    </row>
    <row r="853" spans="1:36" s="496" customFormat="1">
      <c r="A853" s="488"/>
      <c r="C853" s="488"/>
      <c r="D853" s="488"/>
      <c r="E853" s="488"/>
      <c r="F853" s="488"/>
      <c r="G853" s="488"/>
      <c r="H853" s="488"/>
      <c r="I853" s="488"/>
      <c r="J853" s="488"/>
      <c r="K853" s="488"/>
      <c r="L853" s="488"/>
      <c r="M853" s="488"/>
      <c r="N853" s="488"/>
      <c r="O853" s="488"/>
      <c r="P853" s="488"/>
      <c r="Q853" s="488"/>
      <c r="R853" s="488"/>
      <c r="S853" s="488"/>
      <c r="T853" s="488"/>
      <c r="U853" s="488"/>
      <c r="V853" s="488"/>
      <c r="W853" s="488"/>
      <c r="X853" s="488"/>
      <c r="Y853" s="488"/>
      <c r="Z853" s="488"/>
      <c r="AA853" s="488"/>
      <c r="AB853" s="488"/>
      <c r="AC853" s="488"/>
      <c r="AD853" s="488"/>
      <c r="AE853" s="488"/>
      <c r="AF853" s="488"/>
      <c r="AG853" s="488"/>
      <c r="AH853" s="488"/>
      <c r="AI853" s="488"/>
      <c r="AJ853" s="488"/>
    </row>
    <row r="854" spans="1:36" s="496" customFormat="1">
      <c r="A854" s="488"/>
      <c r="C854" s="488"/>
      <c r="D854" s="488"/>
      <c r="E854" s="488"/>
      <c r="F854" s="488"/>
      <c r="G854" s="488"/>
      <c r="H854" s="488"/>
      <c r="I854" s="488"/>
      <c r="J854" s="488"/>
      <c r="K854" s="488"/>
      <c r="L854" s="488"/>
      <c r="M854" s="488"/>
      <c r="N854" s="488"/>
      <c r="O854" s="488"/>
      <c r="P854" s="488"/>
      <c r="Q854" s="488"/>
      <c r="R854" s="488"/>
      <c r="S854" s="488"/>
      <c r="T854" s="488"/>
      <c r="U854" s="488"/>
      <c r="V854" s="488"/>
      <c r="W854" s="488"/>
      <c r="X854" s="488"/>
      <c r="Y854" s="488"/>
      <c r="Z854" s="488"/>
      <c r="AA854" s="488"/>
      <c r="AB854" s="488"/>
      <c r="AC854" s="488"/>
      <c r="AD854" s="488"/>
      <c r="AE854" s="488"/>
      <c r="AF854" s="488"/>
      <c r="AG854" s="488"/>
      <c r="AH854" s="488"/>
      <c r="AI854" s="488"/>
      <c r="AJ854" s="488"/>
    </row>
    <row r="855" spans="1:36" s="496" customFormat="1">
      <c r="A855" s="488"/>
      <c r="C855" s="488"/>
      <c r="D855" s="488"/>
      <c r="E855" s="488"/>
      <c r="F855" s="488"/>
      <c r="G855" s="488"/>
      <c r="H855" s="488"/>
      <c r="I855" s="488"/>
      <c r="J855" s="488"/>
      <c r="K855" s="488"/>
      <c r="L855" s="488"/>
      <c r="M855" s="488"/>
      <c r="N855" s="488"/>
      <c r="O855" s="488"/>
      <c r="P855" s="488"/>
      <c r="Q855" s="488"/>
      <c r="R855" s="488"/>
      <c r="S855" s="488"/>
      <c r="T855" s="488"/>
      <c r="U855" s="488"/>
      <c r="V855" s="488"/>
      <c r="W855" s="488"/>
      <c r="X855" s="488"/>
      <c r="Y855" s="488"/>
      <c r="Z855" s="488"/>
      <c r="AA855" s="488"/>
      <c r="AB855" s="488"/>
      <c r="AC855" s="488"/>
      <c r="AD855" s="488"/>
      <c r="AE855" s="488"/>
      <c r="AF855" s="488"/>
      <c r="AG855" s="488"/>
      <c r="AH855" s="488"/>
      <c r="AI855" s="488"/>
      <c r="AJ855" s="488"/>
    </row>
    <row r="856" spans="1:36" s="496" customFormat="1">
      <c r="A856" s="488"/>
      <c r="C856" s="488"/>
      <c r="D856" s="488"/>
      <c r="E856" s="488"/>
      <c r="F856" s="488"/>
      <c r="G856" s="488"/>
      <c r="H856" s="488"/>
      <c r="I856" s="488"/>
      <c r="J856" s="488"/>
      <c r="K856" s="488"/>
      <c r="L856" s="488"/>
      <c r="M856" s="488"/>
      <c r="N856" s="488"/>
      <c r="O856" s="488"/>
      <c r="P856" s="488"/>
      <c r="Q856" s="488"/>
      <c r="R856" s="488"/>
      <c r="S856" s="488"/>
      <c r="T856" s="488"/>
      <c r="U856" s="488"/>
      <c r="V856" s="488"/>
      <c r="W856" s="488"/>
      <c r="X856" s="488"/>
      <c r="Y856" s="488"/>
      <c r="Z856" s="488"/>
      <c r="AA856" s="488"/>
      <c r="AB856" s="488"/>
      <c r="AC856" s="488"/>
      <c r="AD856" s="488"/>
      <c r="AE856" s="488"/>
      <c r="AF856" s="488"/>
      <c r="AG856" s="488"/>
      <c r="AH856" s="488"/>
      <c r="AI856" s="488"/>
      <c r="AJ856" s="488"/>
    </row>
    <row r="857" spans="1:36" s="496" customFormat="1">
      <c r="A857" s="488"/>
      <c r="C857" s="488"/>
      <c r="D857" s="488"/>
      <c r="E857" s="488"/>
      <c r="F857" s="488"/>
      <c r="G857" s="488"/>
      <c r="H857" s="488"/>
      <c r="I857" s="488"/>
      <c r="J857" s="488"/>
      <c r="K857" s="488"/>
      <c r="L857" s="488"/>
      <c r="M857" s="488"/>
      <c r="N857" s="488"/>
      <c r="O857" s="488"/>
      <c r="P857" s="488"/>
      <c r="Q857" s="488"/>
      <c r="R857" s="488"/>
      <c r="S857" s="488"/>
      <c r="T857" s="488"/>
      <c r="U857" s="488"/>
      <c r="V857" s="488"/>
      <c r="W857" s="488"/>
      <c r="X857" s="488"/>
      <c r="Y857" s="488"/>
      <c r="Z857" s="488"/>
      <c r="AA857" s="488"/>
      <c r="AB857" s="488"/>
      <c r="AC857" s="488"/>
      <c r="AD857" s="488"/>
      <c r="AE857" s="488"/>
      <c r="AF857" s="488"/>
      <c r="AG857" s="488"/>
      <c r="AH857" s="488"/>
      <c r="AI857" s="488"/>
      <c r="AJ857" s="488"/>
    </row>
    <row r="858" spans="1:36" s="496" customFormat="1">
      <c r="A858" s="488"/>
      <c r="C858" s="488"/>
      <c r="D858" s="488"/>
      <c r="E858" s="488"/>
      <c r="F858" s="488"/>
      <c r="G858" s="488"/>
      <c r="H858" s="488"/>
      <c r="I858" s="488"/>
      <c r="J858" s="488"/>
      <c r="K858" s="488"/>
      <c r="L858" s="488"/>
      <c r="M858" s="488"/>
      <c r="N858" s="488"/>
      <c r="O858" s="488"/>
      <c r="P858" s="488"/>
      <c r="Q858" s="488"/>
      <c r="R858" s="488"/>
      <c r="S858" s="488"/>
      <c r="T858" s="488"/>
      <c r="U858" s="488"/>
      <c r="V858" s="488"/>
      <c r="W858" s="488"/>
      <c r="X858" s="488"/>
      <c r="Y858" s="488"/>
      <c r="Z858" s="488"/>
      <c r="AA858" s="488"/>
      <c r="AB858" s="488"/>
      <c r="AC858" s="488"/>
      <c r="AD858" s="488"/>
      <c r="AE858" s="488"/>
      <c r="AF858" s="488"/>
      <c r="AG858" s="488"/>
      <c r="AH858" s="488"/>
      <c r="AI858" s="488"/>
      <c r="AJ858" s="488"/>
    </row>
    <row r="859" spans="1:36" s="496" customFormat="1">
      <c r="A859" s="488"/>
      <c r="C859" s="488"/>
      <c r="D859" s="488"/>
      <c r="E859" s="488"/>
      <c r="F859" s="488"/>
      <c r="G859" s="488"/>
      <c r="H859" s="488"/>
      <c r="I859" s="488"/>
      <c r="J859" s="488"/>
      <c r="K859" s="488"/>
      <c r="L859" s="488"/>
      <c r="M859" s="488"/>
      <c r="N859" s="488"/>
      <c r="O859" s="488"/>
      <c r="P859" s="488"/>
      <c r="Q859" s="488"/>
      <c r="R859" s="488"/>
      <c r="S859" s="488"/>
      <c r="T859" s="488"/>
      <c r="U859" s="488"/>
      <c r="V859" s="488"/>
      <c r="W859" s="488"/>
      <c r="X859" s="488"/>
      <c r="Y859" s="488"/>
      <c r="Z859" s="488"/>
      <c r="AA859" s="488"/>
      <c r="AB859" s="488"/>
      <c r="AC859" s="488"/>
      <c r="AD859" s="488"/>
      <c r="AE859" s="488"/>
      <c r="AF859" s="488"/>
      <c r="AG859" s="488"/>
      <c r="AH859" s="488"/>
      <c r="AI859" s="488"/>
      <c r="AJ859" s="488"/>
    </row>
    <row r="860" spans="1:36" s="496" customFormat="1">
      <c r="A860" s="488"/>
      <c r="C860" s="488"/>
      <c r="D860" s="488"/>
      <c r="E860" s="488"/>
      <c r="F860" s="488"/>
      <c r="G860" s="488"/>
      <c r="H860" s="488"/>
      <c r="I860" s="488"/>
      <c r="J860" s="488"/>
      <c r="K860" s="488"/>
      <c r="L860" s="488"/>
      <c r="M860" s="488"/>
      <c r="N860" s="488"/>
      <c r="O860" s="488"/>
      <c r="P860" s="488"/>
      <c r="Q860" s="488"/>
      <c r="R860" s="488"/>
      <c r="S860" s="488"/>
      <c r="T860" s="488"/>
      <c r="U860" s="488"/>
      <c r="V860" s="488"/>
      <c r="W860" s="488"/>
      <c r="X860" s="488"/>
      <c r="Y860" s="488"/>
      <c r="Z860" s="488"/>
      <c r="AA860" s="488"/>
      <c r="AB860" s="488"/>
      <c r="AC860" s="488"/>
      <c r="AD860" s="488"/>
      <c r="AE860" s="488"/>
      <c r="AF860" s="488"/>
      <c r="AG860" s="488"/>
      <c r="AH860" s="488"/>
      <c r="AI860" s="488"/>
      <c r="AJ860" s="488"/>
    </row>
    <row r="861" spans="1:36" s="496" customFormat="1">
      <c r="A861" s="488"/>
      <c r="C861" s="488"/>
      <c r="D861" s="488"/>
      <c r="E861" s="488"/>
      <c r="F861" s="488"/>
      <c r="G861" s="488"/>
      <c r="H861" s="488"/>
      <c r="I861" s="488"/>
      <c r="J861" s="488"/>
      <c r="K861" s="488"/>
      <c r="L861" s="488"/>
      <c r="M861" s="488"/>
      <c r="N861" s="488"/>
      <c r="O861" s="488"/>
      <c r="P861" s="488"/>
      <c r="Q861" s="488"/>
      <c r="R861" s="488"/>
      <c r="S861" s="488"/>
      <c r="T861" s="488"/>
      <c r="U861" s="488"/>
      <c r="V861" s="488"/>
      <c r="W861" s="488"/>
      <c r="X861" s="488"/>
      <c r="Y861" s="488"/>
      <c r="Z861" s="488"/>
      <c r="AA861" s="488"/>
      <c r="AB861" s="488"/>
      <c r="AC861" s="488"/>
      <c r="AD861" s="488"/>
      <c r="AE861" s="488"/>
      <c r="AF861" s="488"/>
      <c r="AG861" s="488"/>
      <c r="AH861" s="488"/>
      <c r="AI861" s="488"/>
      <c r="AJ861" s="488"/>
    </row>
    <row r="862" spans="1:36" s="496" customFormat="1">
      <c r="A862" s="488"/>
      <c r="C862" s="488"/>
      <c r="D862" s="488"/>
      <c r="E862" s="488"/>
      <c r="F862" s="488"/>
      <c r="G862" s="488"/>
      <c r="H862" s="488"/>
      <c r="I862" s="488"/>
      <c r="J862" s="488"/>
      <c r="K862" s="488"/>
      <c r="L862" s="488"/>
      <c r="M862" s="488"/>
      <c r="N862" s="488"/>
      <c r="O862" s="488"/>
      <c r="P862" s="488"/>
      <c r="Q862" s="488"/>
      <c r="R862" s="488"/>
      <c r="S862" s="488"/>
      <c r="T862" s="488"/>
      <c r="U862" s="488"/>
      <c r="V862" s="488"/>
      <c r="W862" s="488"/>
      <c r="X862" s="488"/>
      <c r="Y862" s="488"/>
      <c r="Z862" s="488"/>
      <c r="AA862" s="488"/>
      <c r="AB862" s="488"/>
      <c r="AC862" s="488"/>
      <c r="AD862" s="488"/>
      <c r="AE862" s="488"/>
      <c r="AF862" s="488"/>
      <c r="AG862" s="488"/>
      <c r="AH862" s="488"/>
      <c r="AI862" s="488"/>
      <c r="AJ862" s="488"/>
    </row>
    <row r="863" spans="1:36" s="496" customFormat="1">
      <c r="A863" s="488"/>
      <c r="C863" s="488"/>
      <c r="D863" s="488"/>
      <c r="E863" s="488"/>
      <c r="F863" s="488"/>
      <c r="G863" s="488"/>
      <c r="H863" s="488"/>
      <c r="I863" s="488"/>
      <c r="J863" s="488"/>
      <c r="K863" s="488"/>
      <c r="L863" s="488"/>
      <c r="M863" s="488"/>
      <c r="N863" s="488"/>
      <c r="O863" s="488"/>
      <c r="P863" s="488"/>
      <c r="Q863" s="488"/>
      <c r="R863" s="488"/>
      <c r="S863" s="488"/>
      <c r="T863" s="488"/>
      <c r="U863" s="488"/>
      <c r="V863" s="488"/>
      <c r="W863" s="488"/>
      <c r="X863" s="488"/>
      <c r="Y863" s="488"/>
      <c r="Z863" s="488"/>
      <c r="AA863" s="488"/>
      <c r="AB863" s="488"/>
      <c r="AC863" s="488"/>
      <c r="AD863" s="488"/>
      <c r="AE863" s="488"/>
      <c r="AF863" s="488"/>
      <c r="AG863" s="488"/>
      <c r="AH863" s="488"/>
      <c r="AI863" s="488"/>
      <c r="AJ863" s="488"/>
    </row>
    <row r="864" spans="1:36" s="496" customFormat="1">
      <c r="A864" s="488"/>
      <c r="C864" s="488"/>
      <c r="D864" s="488"/>
      <c r="E864" s="488"/>
      <c r="F864" s="488"/>
      <c r="G864" s="488"/>
      <c r="H864" s="488"/>
      <c r="I864" s="488"/>
      <c r="J864" s="488"/>
      <c r="K864" s="488"/>
      <c r="L864" s="488"/>
      <c r="M864" s="488"/>
      <c r="N864" s="488"/>
      <c r="O864" s="488"/>
      <c r="P864" s="488"/>
      <c r="Q864" s="488"/>
      <c r="R864" s="488"/>
      <c r="S864" s="488"/>
      <c r="T864" s="488"/>
      <c r="U864" s="488"/>
      <c r="V864" s="488"/>
      <c r="W864" s="488"/>
      <c r="X864" s="488"/>
      <c r="Y864" s="488"/>
      <c r="Z864" s="488"/>
      <c r="AA864" s="488"/>
      <c r="AB864" s="488"/>
      <c r="AC864" s="488"/>
      <c r="AD864" s="488"/>
      <c r="AE864" s="488"/>
      <c r="AF864" s="488"/>
      <c r="AG864" s="488"/>
      <c r="AH864" s="488"/>
      <c r="AI864" s="488"/>
      <c r="AJ864" s="488"/>
    </row>
    <row r="865" spans="1:36" s="496" customFormat="1">
      <c r="A865" s="488"/>
      <c r="C865" s="488"/>
      <c r="D865" s="488"/>
      <c r="E865" s="488"/>
      <c r="F865" s="488"/>
      <c r="G865" s="488"/>
      <c r="H865" s="488"/>
      <c r="I865" s="488"/>
      <c r="J865" s="488"/>
      <c r="K865" s="488"/>
      <c r="L865" s="488"/>
      <c r="M865" s="488"/>
      <c r="N865" s="488"/>
      <c r="O865" s="488"/>
      <c r="P865" s="488"/>
      <c r="Q865" s="488"/>
      <c r="R865" s="488"/>
      <c r="S865" s="488"/>
      <c r="T865" s="488"/>
      <c r="U865" s="488"/>
      <c r="V865" s="488"/>
      <c r="W865" s="488"/>
      <c r="X865" s="488"/>
      <c r="Y865" s="488"/>
      <c r="Z865" s="488"/>
      <c r="AA865" s="488"/>
      <c r="AB865" s="488"/>
      <c r="AC865" s="488"/>
      <c r="AD865" s="488"/>
      <c r="AE865" s="488"/>
      <c r="AF865" s="488"/>
      <c r="AG865" s="488"/>
      <c r="AH865" s="488"/>
      <c r="AI865" s="488"/>
      <c r="AJ865" s="488"/>
    </row>
    <row r="866" spans="1:36" s="496" customFormat="1">
      <c r="A866" s="488"/>
      <c r="C866" s="488"/>
      <c r="D866" s="488"/>
      <c r="E866" s="488"/>
      <c r="F866" s="488"/>
      <c r="G866" s="488"/>
      <c r="H866" s="488"/>
      <c r="I866" s="488"/>
      <c r="J866" s="488"/>
      <c r="K866" s="488"/>
      <c r="L866" s="488"/>
      <c r="M866" s="488"/>
      <c r="N866" s="488"/>
      <c r="O866" s="488"/>
      <c r="P866" s="488"/>
      <c r="Q866" s="488"/>
      <c r="R866" s="488"/>
      <c r="S866" s="488"/>
      <c r="T866" s="488"/>
      <c r="U866" s="488"/>
      <c r="V866" s="488"/>
      <c r="W866" s="488"/>
      <c r="X866" s="488"/>
      <c r="Y866" s="488"/>
      <c r="Z866" s="488"/>
      <c r="AA866" s="488"/>
      <c r="AB866" s="488"/>
      <c r="AC866" s="488"/>
      <c r="AD866" s="488"/>
      <c r="AE866" s="488"/>
      <c r="AF866" s="488"/>
      <c r="AG866" s="488"/>
      <c r="AH866" s="488"/>
      <c r="AI866" s="488"/>
      <c r="AJ866" s="488"/>
    </row>
    <row r="867" spans="1:36" s="496" customFormat="1">
      <c r="A867" s="488"/>
      <c r="C867" s="488"/>
      <c r="D867" s="488"/>
      <c r="E867" s="488"/>
      <c r="F867" s="488"/>
      <c r="G867" s="488"/>
      <c r="H867" s="488"/>
      <c r="I867" s="488"/>
      <c r="J867" s="488"/>
      <c r="K867" s="488"/>
      <c r="L867" s="488"/>
      <c r="M867" s="488"/>
      <c r="N867" s="488"/>
      <c r="O867" s="488"/>
      <c r="P867" s="488"/>
      <c r="Q867" s="488"/>
      <c r="R867" s="488"/>
      <c r="S867" s="488"/>
      <c r="T867" s="488"/>
      <c r="U867" s="488"/>
      <c r="V867" s="488"/>
      <c r="W867" s="488"/>
      <c r="X867" s="488"/>
      <c r="Y867" s="488"/>
      <c r="Z867" s="488"/>
      <c r="AA867" s="488"/>
      <c r="AB867" s="488"/>
      <c r="AC867" s="488"/>
      <c r="AD867" s="488"/>
      <c r="AE867" s="488"/>
      <c r="AF867" s="488"/>
      <c r="AG867" s="488"/>
      <c r="AH867" s="488"/>
      <c r="AI867" s="488"/>
      <c r="AJ867" s="488"/>
    </row>
    <row r="868" spans="1:36" s="496" customFormat="1">
      <c r="A868" s="488"/>
      <c r="C868" s="488"/>
      <c r="D868" s="488"/>
      <c r="E868" s="488"/>
      <c r="F868" s="488"/>
      <c r="G868" s="488"/>
      <c r="H868" s="488"/>
      <c r="I868" s="488"/>
      <c r="J868" s="488"/>
      <c r="K868" s="488"/>
      <c r="L868" s="488"/>
      <c r="M868" s="488"/>
      <c r="N868" s="488"/>
      <c r="O868" s="488"/>
      <c r="P868" s="488"/>
      <c r="Q868" s="488"/>
      <c r="R868" s="488"/>
      <c r="S868" s="488"/>
      <c r="T868" s="488"/>
      <c r="U868" s="488"/>
      <c r="V868" s="488"/>
      <c r="W868" s="488"/>
      <c r="X868" s="488"/>
      <c r="Y868" s="488"/>
      <c r="Z868" s="488"/>
      <c r="AA868" s="488"/>
      <c r="AB868" s="488"/>
      <c r="AC868" s="488"/>
      <c r="AD868" s="488"/>
      <c r="AE868" s="488"/>
      <c r="AF868" s="488"/>
      <c r="AG868" s="488"/>
      <c r="AH868" s="488"/>
      <c r="AI868" s="488"/>
      <c r="AJ868" s="488"/>
    </row>
    <row r="869" spans="1:36" s="496" customFormat="1">
      <c r="A869" s="488"/>
      <c r="C869" s="488"/>
      <c r="D869" s="488"/>
      <c r="E869" s="488"/>
      <c r="F869" s="488"/>
      <c r="G869" s="488"/>
      <c r="H869" s="488"/>
      <c r="I869" s="488"/>
      <c r="J869" s="488"/>
      <c r="K869" s="488"/>
      <c r="L869" s="488"/>
      <c r="M869" s="488"/>
      <c r="N869" s="488"/>
      <c r="O869" s="488"/>
      <c r="P869" s="488"/>
      <c r="Q869" s="488"/>
      <c r="R869" s="488"/>
      <c r="S869" s="488"/>
      <c r="T869" s="488"/>
      <c r="U869" s="488"/>
      <c r="V869" s="488"/>
      <c r="W869" s="488"/>
      <c r="X869" s="488"/>
      <c r="Y869" s="488"/>
      <c r="Z869" s="488"/>
      <c r="AA869" s="488"/>
      <c r="AB869" s="488"/>
      <c r="AC869" s="488"/>
      <c r="AD869" s="488"/>
      <c r="AE869" s="488"/>
      <c r="AF869" s="488"/>
      <c r="AG869" s="488"/>
      <c r="AH869" s="488"/>
      <c r="AI869" s="488"/>
      <c r="AJ869" s="488"/>
    </row>
    <row r="870" spans="1:36" s="496" customFormat="1">
      <c r="A870" s="488"/>
      <c r="C870" s="488"/>
      <c r="D870" s="488"/>
      <c r="E870" s="488"/>
      <c r="F870" s="488"/>
      <c r="G870" s="488"/>
      <c r="H870" s="488"/>
      <c r="I870" s="488"/>
      <c r="J870" s="488"/>
      <c r="K870" s="488"/>
      <c r="L870" s="488"/>
      <c r="M870" s="488"/>
      <c r="N870" s="488"/>
      <c r="O870" s="488"/>
      <c r="P870" s="488"/>
      <c r="Q870" s="488"/>
      <c r="R870" s="488"/>
      <c r="S870" s="488"/>
      <c r="T870" s="488"/>
      <c r="U870" s="488"/>
      <c r="V870" s="488"/>
      <c r="W870" s="488"/>
      <c r="X870" s="488"/>
      <c r="Y870" s="488"/>
      <c r="Z870" s="488"/>
      <c r="AA870" s="488"/>
      <c r="AB870" s="488"/>
      <c r="AC870" s="488"/>
      <c r="AD870" s="488"/>
      <c r="AE870" s="488"/>
      <c r="AF870" s="488"/>
      <c r="AG870" s="488"/>
      <c r="AH870" s="488"/>
      <c r="AI870" s="488"/>
      <c r="AJ870" s="488"/>
    </row>
    <row r="871" spans="1:36" s="496" customFormat="1">
      <c r="A871" s="488"/>
      <c r="C871" s="488"/>
      <c r="D871" s="488"/>
      <c r="E871" s="488"/>
      <c r="F871" s="488"/>
      <c r="G871" s="488"/>
      <c r="H871" s="488"/>
      <c r="I871" s="488"/>
      <c r="J871" s="488"/>
      <c r="K871" s="488"/>
      <c r="L871" s="488"/>
      <c r="M871" s="488"/>
      <c r="N871" s="488"/>
      <c r="O871" s="488"/>
      <c r="P871" s="488"/>
      <c r="Q871" s="488"/>
      <c r="R871" s="488"/>
      <c r="S871" s="488"/>
      <c r="T871" s="488"/>
      <c r="U871" s="488"/>
      <c r="V871" s="488"/>
      <c r="W871" s="488"/>
      <c r="X871" s="488"/>
      <c r="Y871" s="488"/>
      <c r="Z871" s="488"/>
      <c r="AA871" s="488"/>
      <c r="AB871" s="488"/>
      <c r="AC871" s="488"/>
      <c r="AD871" s="488"/>
      <c r="AE871" s="488"/>
      <c r="AF871" s="488"/>
      <c r="AG871" s="488"/>
      <c r="AH871" s="488"/>
      <c r="AI871" s="488"/>
      <c r="AJ871" s="488"/>
    </row>
    <row r="872" spans="1:36" s="496" customFormat="1">
      <c r="A872" s="488"/>
      <c r="C872" s="488"/>
      <c r="D872" s="488"/>
      <c r="E872" s="488"/>
      <c r="F872" s="488"/>
      <c r="G872" s="488"/>
      <c r="H872" s="488"/>
      <c r="I872" s="488"/>
      <c r="J872" s="488"/>
      <c r="K872" s="488"/>
      <c r="L872" s="488"/>
      <c r="M872" s="488"/>
      <c r="N872" s="488"/>
      <c r="O872" s="488"/>
      <c r="P872" s="488"/>
      <c r="Q872" s="488"/>
      <c r="R872" s="488"/>
      <c r="S872" s="488"/>
      <c r="T872" s="488"/>
      <c r="U872" s="488"/>
      <c r="V872" s="488"/>
      <c r="W872" s="488"/>
      <c r="X872" s="488"/>
      <c r="Y872" s="488"/>
      <c r="Z872" s="488"/>
      <c r="AA872" s="488"/>
      <c r="AB872" s="488"/>
      <c r="AC872" s="488"/>
      <c r="AD872" s="488"/>
      <c r="AE872" s="488"/>
      <c r="AF872" s="488"/>
      <c r="AG872" s="488"/>
      <c r="AH872" s="488"/>
      <c r="AI872" s="488"/>
      <c r="AJ872" s="488"/>
    </row>
    <row r="873" spans="1:36" s="496" customFormat="1">
      <c r="A873" s="488"/>
      <c r="C873" s="488"/>
      <c r="D873" s="488"/>
      <c r="E873" s="488"/>
      <c r="F873" s="488"/>
      <c r="G873" s="488"/>
      <c r="H873" s="488"/>
      <c r="I873" s="488"/>
      <c r="J873" s="488"/>
      <c r="K873" s="488"/>
      <c r="L873" s="488"/>
      <c r="M873" s="488"/>
      <c r="N873" s="488"/>
      <c r="O873" s="488"/>
      <c r="P873" s="488"/>
      <c r="Q873" s="488"/>
      <c r="R873" s="488"/>
      <c r="S873" s="488"/>
      <c r="T873" s="488"/>
      <c r="U873" s="488"/>
      <c r="V873" s="488"/>
      <c r="W873" s="488"/>
      <c r="X873" s="488"/>
      <c r="Y873" s="488"/>
      <c r="Z873" s="488"/>
      <c r="AA873" s="488"/>
      <c r="AB873" s="488"/>
      <c r="AC873" s="488"/>
      <c r="AD873" s="488"/>
      <c r="AE873" s="488"/>
      <c r="AF873" s="488"/>
      <c r="AG873" s="488"/>
      <c r="AH873" s="488"/>
      <c r="AI873" s="488"/>
      <c r="AJ873" s="488"/>
    </row>
    <row r="874" spans="1:36" s="496" customFormat="1">
      <c r="A874" s="488"/>
      <c r="C874" s="488"/>
      <c r="D874" s="488"/>
      <c r="E874" s="488"/>
      <c r="F874" s="488"/>
      <c r="G874" s="488"/>
      <c r="H874" s="488"/>
      <c r="I874" s="488"/>
      <c r="J874" s="488"/>
      <c r="K874" s="488"/>
      <c r="L874" s="488"/>
      <c r="M874" s="488"/>
      <c r="N874" s="488"/>
      <c r="O874" s="488"/>
      <c r="P874" s="488"/>
      <c r="Q874" s="488"/>
      <c r="R874" s="488"/>
      <c r="S874" s="488"/>
      <c r="T874" s="488"/>
      <c r="U874" s="488"/>
      <c r="V874" s="488"/>
      <c r="W874" s="488"/>
      <c r="X874" s="488"/>
      <c r="Y874" s="488"/>
      <c r="Z874" s="488"/>
      <c r="AA874" s="488"/>
      <c r="AB874" s="488"/>
      <c r="AC874" s="488"/>
      <c r="AD874" s="488"/>
      <c r="AE874" s="488"/>
      <c r="AF874" s="488"/>
      <c r="AG874" s="488"/>
      <c r="AH874" s="488"/>
      <c r="AI874" s="488"/>
      <c r="AJ874" s="488"/>
    </row>
    <row r="875" spans="1:36" s="496" customFormat="1">
      <c r="A875" s="488"/>
      <c r="C875" s="488"/>
      <c r="D875" s="488"/>
      <c r="E875" s="488"/>
      <c r="F875" s="488"/>
      <c r="G875" s="488"/>
      <c r="H875" s="488"/>
      <c r="I875" s="488"/>
      <c r="J875" s="488"/>
      <c r="K875" s="488"/>
      <c r="L875" s="488"/>
      <c r="M875" s="488"/>
      <c r="N875" s="488"/>
      <c r="O875" s="488"/>
      <c r="P875" s="488"/>
      <c r="Q875" s="488"/>
      <c r="R875" s="488"/>
      <c r="S875" s="488"/>
      <c r="T875" s="488"/>
      <c r="U875" s="488"/>
      <c r="V875" s="488"/>
      <c r="W875" s="488"/>
      <c r="X875" s="488"/>
      <c r="Y875" s="488"/>
      <c r="Z875" s="488"/>
      <c r="AA875" s="488"/>
      <c r="AB875" s="488"/>
      <c r="AC875" s="488"/>
      <c r="AD875" s="488"/>
      <c r="AE875" s="488"/>
      <c r="AF875" s="488"/>
      <c r="AG875" s="488"/>
      <c r="AH875" s="488"/>
      <c r="AI875" s="488"/>
      <c r="AJ875" s="488"/>
    </row>
    <row r="876" spans="1:36" s="496" customFormat="1">
      <c r="A876" s="488"/>
      <c r="C876" s="488"/>
      <c r="D876" s="488"/>
      <c r="E876" s="488"/>
      <c r="F876" s="488"/>
      <c r="G876" s="488"/>
      <c r="H876" s="488"/>
      <c r="I876" s="488"/>
      <c r="J876" s="488"/>
      <c r="K876" s="488"/>
      <c r="L876" s="488"/>
      <c r="M876" s="488"/>
      <c r="N876" s="488"/>
      <c r="O876" s="488"/>
      <c r="P876" s="488"/>
      <c r="Q876" s="488"/>
      <c r="R876" s="488"/>
      <c r="S876" s="488"/>
      <c r="T876" s="488"/>
      <c r="U876" s="488"/>
      <c r="V876" s="488"/>
      <c r="W876" s="488"/>
      <c r="X876" s="488"/>
      <c r="Y876" s="488"/>
      <c r="Z876" s="488"/>
      <c r="AA876" s="488"/>
      <c r="AB876" s="488"/>
      <c r="AC876" s="488"/>
      <c r="AD876" s="488"/>
      <c r="AE876" s="488"/>
      <c r="AF876" s="488"/>
      <c r="AG876" s="488"/>
      <c r="AH876" s="488"/>
      <c r="AI876" s="488"/>
      <c r="AJ876" s="488"/>
    </row>
    <row r="877" spans="1:36" s="496" customFormat="1">
      <c r="A877" s="488"/>
      <c r="C877" s="488"/>
      <c r="D877" s="488"/>
      <c r="E877" s="488"/>
      <c r="F877" s="488"/>
      <c r="G877" s="488"/>
      <c r="H877" s="488"/>
      <c r="I877" s="488"/>
      <c r="J877" s="488"/>
      <c r="K877" s="488"/>
      <c r="L877" s="488"/>
      <c r="M877" s="488"/>
      <c r="N877" s="488"/>
      <c r="O877" s="488"/>
      <c r="P877" s="488"/>
      <c r="Q877" s="488"/>
      <c r="R877" s="488"/>
      <c r="S877" s="488"/>
      <c r="T877" s="488"/>
      <c r="U877" s="488"/>
      <c r="V877" s="488"/>
      <c r="W877" s="488"/>
      <c r="X877" s="488"/>
      <c r="Y877" s="488"/>
      <c r="Z877" s="488"/>
      <c r="AA877" s="488"/>
      <c r="AB877" s="488"/>
      <c r="AC877" s="488"/>
      <c r="AD877" s="488"/>
      <c r="AE877" s="488"/>
      <c r="AF877" s="488"/>
      <c r="AG877" s="488"/>
      <c r="AH877" s="488"/>
      <c r="AI877" s="488"/>
      <c r="AJ877" s="488"/>
    </row>
    <row r="878" spans="1:36" s="496" customFormat="1">
      <c r="A878" s="488"/>
      <c r="C878" s="488"/>
      <c r="D878" s="488"/>
      <c r="E878" s="488"/>
      <c r="F878" s="488"/>
      <c r="G878" s="488"/>
      <c r="H878" s="488"/>
      <c r="I878" s="488"/>
      <c r="J878" s="488"/>
      <c r="K878" s="488"/>
      <c r="L878" s="488"/>
      <c r="M878" s="488"/>
      <c r="N878" s="488"/>
      <c r="O878" s="488"/>
      <c r="P878" s="488"/>
      <c r="Q878" s="488"/>
      <c r="R878" s="488"/>
      <c r="S878" s="488"/>
      <c r="T878" s="488"/>
      <c r="U878" s="488"/>
      <c r="V878" s="488"/>
      <c r="W878" s="488"/>
      <c r="X878" s="488"/>
      <c r="Y878" s="488"/>
      <c r="Z878" s="488"/>
      <c r="AA878" s="488"/>
      <c r="AB878" s="488"/>
      <c r="AC878" s="488"/>
      <c r="AD878" s="488"/>
      <c r="AE878" s="488"/>
      <c r="AF878" s="488"/>
      <c r="AG878" s="488"/>
      <c r="AH878" s="488"/>
      <c r="AI878" s="488"/>
      <c r="AJ878" s="488"/>
    </row>
    <row r="879" spans="1:36" s="496" customFormat="1">
      <c r="A879" s="488"/>
      <c r="C879" s="488"/>
      <c r="D879" s="488"/>
      <c r="E879" s="488"/>
      <c r="F879" s="488"/>
      <c r="G879" s="488"/>
      <c r="H879" s="488"/>
      <c r="I879" s="488"/>
      <c r="J879" s="488"/>
      <c r="K879" s="488"/>
      <c r="L879" s="488"/>
      <c r="M879" s="488"/>
      <c r="N879" s="488"/>
      <c r="O879" s="488"/>
      <c r="P879" s="488"/>
      <c r="Q879" s="488"/>
      <c r="R879" s="488"/>
      <c r="S879" s="488"/>
      <c r="T879" s="488"/>
      <c r="U879" s="488"/>
      <c r="V879" s="488"/>
      <c r="W879" s="488"/>
      <c r="X879" s="488"/>
      <c r="Y879" s="488"/>
      <c r="Z879" s="488"/>
      <c r="AA879" s="488"/>
      <c r="AB879" s="488"/>
      <c r="AC879" s="488"/>
      <c r="AD879" s="488"/>
      <c r="AE879" s="488"/>
      <c r="AF879" s="488"/>
      <c r="AG879" s="488"/>
      <c r="AH879" s="488"/>
      <c r="AI879" s="488"/>
      <c r="AJ879" s="488"/>
    </row>
    <row r="880" spans="1:36" s="496" customFormat="1">
      <c r="A880" s="488"/>
      <c r="C880" s="488"/>
      <c r="D880" s="488"/>
      <c r="E880" s="488"/>
      <c r="F880" s="488"/>
      <c r="G880" s="488"/>
      <c r="H880" s="488"/>
      <c r="I880" s="488"/>
      <c r="J880" s="488"/>
      <c r="K880" s="488"/>
      <c r="L880" s="488"/>
      <c r="M880" s="488"/>
      <c r="N880" s="488"/>
      <c r="O880" s="488"/>
      <c r="P880" s="488"/>
      <c r="Q880" s="488"/>
      <c r="R880" s="488"/>
      <c r="S880" s="488"/>
      <c r="T880" s="488"/>
      <c r="U880" s="488"/>
      <c r="V880" s="488"/>
      <c r="W880" s="488"/>
      <c r="X880" s="488"/>
      <c r="Y880" s="488"/>
      <c r="Z880" s="488"/>
      <c r="AA880" s="488"/>
      <c r="AB880" s="488"/>
      <c r="AC880" s="488"/>
      <c r="AD880" s="488"/>
      <c r="AE880" s="488"/>
      <c r="AF880" s="488"/>
      <c r="AG880" s="488"/>
      <c r="AH880" s="488"/>
      <c r="AI880" s="488"/>
      <c r="AJ880" s="488"/>
    </row>
    <row r="881" spans="1:36" s="496" customFormat="1">
      <c r="A881" s="488"/>
      <c r="C881" s="488"/>
      <c r="D881" s="488"/>
      <c r="E881" s="488"/>
      <c r="F881" s="488"/>
      <c r="G881" s="488"/>
      <c r="H881" s="488"/>
      <c r="I881" s="488"/>
      <c r="J881" s="488"/>
      <c r="K881" s="488"/>
      <c r="L881" s="488"/>
      <c r="M881" s="488"/>
      <c r="N881" s="488"/>
      <c r="O881" s="488"/>
      <c r="P881" s="488"/>
      <c r="Q881" s="488"/>
      <c r="R881" s="488"/>
      <c r="S881" s="488"/>
      <c r="T881" s="488"/>
      <c r="U881" s="488"/>
      <c r="V881" s="488"/>
      <c r="W881" s="488"/>
      <c r="X881" s="488"/>
      <c r="Y881" s="488"/>
      <c r="Z881" s="488"/>
      <c r="AA881" s="488"/>
      <c r="AB881" s="488"/>
      <c r="AC881" s="488"/>
      <c r="AD881" s="488"/>
      <c r="AE881" s="488"/>
      <c r="AF881" s="488"/>
      <c r="AG881" s="488"/>
      <c r="AH881" s="488"/>
      <c r="AI881" s="488"/>
      <c r="AJ881" s="488"/>
    </row>
    <row r="882" spans="1:36" s="496" customFormat="1">
      <c r="A882" s="488"/>
      <c r="C882" s="488"/>
      <c r="D882" s="488"/>
      <c r="E882" s="488"/>
      <c r="F882" s="488"/>
      <c r="G882" s="488"/>
      <c r="H882" s="488"/>
      <c r="I882" s="488"/>
      <c r="J882" s="488"/>
      <c r="K882" s="488"/>
      <c r="L882" s="488"/>
      <c r="M882" s="488"/>
      <c r="N882" s="488"/>
      <c r="O882" s="488"/>
      <c r="P882" s="488"/>
      <c r="Q882" s="488"/>
      <c r="R882" s="488"/>
      <c r="S882" s="488"/>
      <c r="T882" s="488"/>
      <c r="U882" s="488"/>
      <c r="V882" s="488"/>
      <c r="W882" s="488"/>
      <c r="X882" s="488"/>
      <c r="Y882" s="488"/>
      <c r="Z882" s="488"/>
      <c r="AA882" s="488"/>
      <c r="AB882" s="488"/>
      <c r="AC882" s="488"/>
      <c r="AD882" s="488"/>
      <c r="AE882" s="488"/>
      <c r="AF882" s="488"/>
      <c r="AG882" s="488"/>
      <c r="AH882" s="488"/>
      <c r="AI882" s="488"/>
      <c r="AJ882" s="488"/>
    </row>
    <row r="883" spans="1:36" s="496" customFormat="1">
      <c r="A883" s="488"/>
      <c r="C883" s="488"/>
      <c r="D883" s="488"/>
      <c r="E883" s="488"/>
      <c r="F883" s="488"/>
      <c r="G883" s="488"/>
      <c r="H883" s="488"/>
      <c r="I883" s="488"/>
      <c r="J883" s="488"/>
      <c r="K883" s="488"/>
      <c r="L883" s="488"/>
      <c r="M883" s="488"/>
      <c r="N883" s="488"/>
      <c r="O883" s="488"/>
      <c r="P883" s="488"/>
      <c r="Q883" s="488"/>
      <c r="R883" s="488"/>
      <c r="S883" s="488"/>
      <c r="T883" s="488"/>
      <c r="U883" s="488"/>
      <c r="V883" s="488"/>
      <c r="W883" s="488"/>
      <c r="X883" s="488"/>
      <c r="Y883" s="488"/>
      <c r="Z883" s="488"/>
      <c r="AA883" s="488"/>
      <c r="AB883" s="488"/>
      <c r="AC883" s="488"/>
      <c r="AD883" s="488"/>
      <c r="AE883" s="488"/>
      <c r="AF883" s="488"/>
      <c r="AG883" s="488"/>
      <c r="AH883" s="488"/>
      <c r="AI883" s="488"/>
      <c r="AJ883" s="488"/>
    </row>
    <row r="884" spans="1:36" s="496" customFormat="1">
      <c r="A884" s="488"/>
      <c r="C884" s="488"/>
      <c r="D884" s="488"/>
      <c r="E884" s="488"/>
      <c r="F884" s="488"/>
      <c r="G884" s="488"/>
      <c r="H884" s="488"/>
      <c r="I884" s="488"/>
      <c r="J884" s="488"/>
      <c r="K884" s="488"/>
      <c r="L884" s="488"/>
      <c r="M884" s="488"/>
      <c r="N884" s="488"/>
      <c r="O884" s="488"/>
      <c r="P884" s="488"/>
      <c r="Q884" s="488"/>
      <c r="R884" s="488"/>
      <c r="S884" s="488"/>
      <c r="T884" s="488"/>
      <c r="U884" s="488"/>
      <c r="V884" s="488"/>
      <c r="W884" s="488"/>
      <c r="X884" s="488"/>
      <c r="Y884" s="488"/>
      <c r="Z884" s="488"/>
      <c r="AA884" s="488"/>
      <c r="AB884" s="488"/>
      <c r="AC884" s="488"/>
      <c r="AD884" s="488"/>
      <c r="AE884" s="488"/>
      <c r="AF884" s="488"/>
      <c r="AG884" s="488"/>
      <c r="AH884" s="488"/>
      <c r="AI884" s="488"/>
      <c r="AJ884" s="488"/>
    </row>
    <row r="885" spans="1:36" s="496" customFormat="1">
      <c r="A885" s="488"/>
      <c r="C885" s="488"/>
      <c r="D885" s="488"/>
      <c r="E885" s="488"/>
      <c r="F885" s="488"/>
      <c r="G885" s="488"/>
      <c r="H885" s="488"/>
      <c r="I885" s="488"/>
      <c r="J885" s="488"/>
      <c r="K885" s="488"/>
      <c r="L885" s="488"/>
      <c r="M885" s="488"/>
      <c r="N885" s="488"/>
      <c r="O885" s="488"/>
      <c r="P885" s="488"/>
      <c r="Q885" s="488"/>
      <c r="R885" s="488"/>
      <c r="S885" s="488"/>
      <c r="T885" s="488"/>
      <c r="U885" s="488"/>
      <c r="V885" s="488"/>
      <c r="W885" s="488"/>
      <c r="X885" s="488"/>
      <c r="Y885" s="488"/>
      <c r="Z885" s="488"/>
      <c r="AA885" s="488"/>
      <c r="AB885" s="488"/>
      <c r="AC885" s="488"/>
      <c r="AD885" s="488"/>
      <c r="AE885" s="488"/>
      <c r="AF885" s="488"/>
      <c r="AG885" s="488"/>
      <c r="AH885" s="488"/>
      <c r="AI885" s="488"/>
      <c r="AJ885" s="488"/>
    </row>
    <row r="886" spans="1:36" s="496" customFormat="1">
      <c r="A886" s="488"/>
      <c r="C886" s="488"/>
      <c r="D886" s="488"/>
      <c r="E886" s="488"/>
      <c r="F886" s="488"/>
      <c r="G886" s="488"/>
      <c r="H886" s="488"/>
      <c r="I886" s="488"/>
      <c r="J886" s="488"/>
      <c r="K886" s="488"/>
      <c r="L886" s="488"/>
      <c r="M886" s="488"/>
      <c r="N886" s="488"/>
      <c r="O886" s="488"/>
      <c r="P886" s="488"/>
      <c r="Q886" s="488"/>
      <c r="R886" s="488"/>
      <c r="S886" s="488"/>
      <c r="T886" s="488"/>
      <c r="U886" s="488"/>
      <c r="V886" s="488"/>
      <c r="W886" s="488"/>
      <c r="X886" s="488"/>
      <c r="Y886" s="488"/>
      <c r="Z886" s="488"/>
      <c r="AA886" s="488"/>
      <c r="AB886" s="488"/>
      <c r="AC886" s="488"/>
      <c r="AD886" s="488"/>
      <c r="AE886" s="488"/>
      <c r="AF886" s="488"/>
      <c r="AG886" s="488"/>
      <c r="AH886" s="488"/>
      <c r="AI886" s="488"/>
      <c r="AJ886" s="488"/>
    </row>
    <row r="887" spans="1:36" s="496" customFormat="1">
      <c r="A887" s="488"/>
      <c r="C887" s="488"/>
      <c r="D887" s="488"/>
      <c r="E887" s="488"/>
      <c r="F887" s="488"/>
      <c r="G887" s="488"/>
      <c r="H887" s="488"/>
      <c r="I887" s="488"/>
      <c r="J887" s="488"/>
      <c r="K887" s="488"/>
      <c r="L887" s="488"/>
      <c r="M887" s="488"/>
      <c r="N887" s="488"/>
      <c r="O887" s="488"/>
      <c r="P887" s="488"/>
      <c r="Q887" s="488"/>
      <c r="R887" s="488"/>
      <c r="S887" s="488"/>
      <c r="T887" s="488"/>
      <c r="U887" s="488"/>
      <c r="V887" s="488"/>
      <c r="W887" s="488"/>
      <c r="X887" s="488"/>
      <c r="Y887" s="488"/>
      <c r="Z887" s="488"/>
      <c r="AA887" s="488"/>
      <c r="AB887" s="488"/>
      <c r="AC887" s="488"/>
      <c r="AD887" s="488"/>
      <c r="AE887" s="488"/>
      <c r="AF887" s="488"/>
      <c r="AG887" s="488"/>
      <c r="AH887" s="488"/>
      <c r="AI887" s="488"/>
      <c r="AJ887" s="488"/>
    </row>
    <row r="888" spans="1:36" s="496" customFormat="1">
      <c r="A888" s="488"/>
      <c r="C888" s="488"/>
      <c r="D888" s="488"/>
      <c r="E888" s="488"/>
      <c r="F888" s="488"/>
      <c r="G888" s="488"/>
      <c r="H888" s="488"/>
      <c r="I888" s="488"/>
      <c r="J888" s="488"/>
      <c r="K888" s="488"/>
      <c r="L888" s="488"/>
      <c r="M888" s="488"/>
      <c r="N888" s="488"/>
      <c r="O888" s="488"/>
      <c r="P888" s="488"/>
      <c r="Q888" s="488"/>
      <c r="R888" s="488"/>
      <c r="S888" s="488"/>
      <c r="T888" s="488"/>
      <c r="U888" s="488"/>
      <c r="V888" s="488"/>
      <c r="W888" s="488"/>
      <c r="X888" s="488"/>
      <c r="Y888" s="488"/>
      <c r="Z888" s="488"/>
      <c r="AA888" s="488"/>
      <c r="AB888" s="488"/>
      <c r="AC888" s="488"/>
      <c r="AD888" s="488"/>
      <c r="AE888" s="488"/>
      <c r="AF888" s="488"/>
      <c r="AG888" s="488"/>
      <c r="AH888" s="488"/>
      <c r="AI888" s="488"/>
      <c r="AJ888" s="488"/>
    </row>
    <row r="889" spans="1:36" s="496" customFormat="1">
      <c r="A889" s="488"/>
      <c r="C889" s="488"/>
      <c r="D889" s="488"/>
      <c r="E889" s="488"/>
      <c r="F889" s="488"/>
      <c r="G889" s="488"/>
      <c r="H889" s="488"/>
      <c r="I889" s="488"/>
      <c r="J889" s="488"/>
      <c r="K889" s="488"/>
      <c r="L889" s="488"/>
      <c r="M889" s="488"/>
      <c r="N889" s="488"/>
      <c r="O889" s="488"/>
      <c r="P889" s="488"/>
      <c r="Q889" s="488"/>
      <c r="R889" s="488"/>
      <c r="S889" s="488"/>
      <c r="T889" s="488"/>
      <c r="U889" s="488"/>
      <c r="V889" s="488"/>
      <c r="W889" s="488"/>
      <c r="X889" s="488"/>
      <c r="Y889" s="488"/>
      <c r="Z889" s="488"/>
      <c r="AA889" s="488"/>
      <c r="AB889" s="488"/>
      <c r="AC889" s="488"/>
      <c r="AD889" s="488"/>
      <c r="AE889" s="488"/>
      <c r="AF889" s="488"/>
      <c r="AG889" s="488"/>
      <c r="AH889" s="488"/>
      <c r="AI889" s="488"/>
      <c r="AJ889" s="488"/>
    </row>
    <row r="890" spans="1:36" s="496" customFormat="1">
      <c r="A890" s="488"/>
      <c r="C890" s="488"/>
      <c r="D890" s="488"/>
      <c r="E890" s="488"/>
      <c r="F890" s="488"/>
      <c r="G890" s="488"/>
      <c r="H890" s="488"/>
      <c r="I890" s="488"/>
      <c r="J890" s="488"/>
      <c r="K890" s="488"/>
      <c r="L890" s="488"/>
      <c r="M890" s="488"/>
      <c r="N890" s="488"/>
      <c r="O890" s="488"/>
      <c r="P890" s="488"/>
      <c r="Q890" s="488"/>
      <c r="R890" s="488"/>
      <c r="S890" s="488"/>
      <c r="T890" s="488"/>
      <c r="U890" s="488"/>
      <c r="V890" s="488"/>
      <c r="W890" s="488"/>
      <c r="X890" s="488"/>
      <c r="Y890" s="488"/>
      <c r="Z890" s="488"/>
      <c r="AA890" s="488"/>
      <c r="AB890" s="488"/>
      <c r="AC890" s="488"/>
      <c r="AD890" s="488"/>
      <c r="AE890" s="488"/>
      <c r="AF890" s="488"/>
      <c r="AG890" s="488"/>
      <c r="AH890" s="488"/>
      <c r="AI890" s="488"/>
      <c r="AJ890" s="488"/>
    </row>
    <row r="891" spans="1:36" s="496" customFormat="1">
      <c r="A891" s="488"/>
      <c r="C891" s="488"/>
      <c r="D891" s="488"/>
      <c r="E891" s="488"/>
      <c r="F891" s="488"/>
      <c r="G891" s="488"/>
      <c r="H891" s="488"/>
      <c r="I891" s="488"/>
      <c r="J891" s="488"/>
      <c r="K891" s="488"/>
      <c r="L891" s="488"/>
      <c r="M891" s="488"/>
      <c r="N891" s="488"/>
      <c r="O891" s="488"/>
      <c r="P891" s="488"/>
      <c r="Q891" s="488"/>
      <c r="R891" s="488"/>
      <c r="S891" s="488"/>
      <c r="T891" s="488"/>
      <c r="U891" s="488"/>
      <c r="V891" s="488"/>
      <c r="W891" s="488"/>
      <c r="X891" s="488"/>
      <c r="Y891" s="488"/>
      <c r="Z891" s="488"/>
      <c r="AA891" s="488"/>
      <c r="AB891" s="488"/>
      <c r="AC891" s="488"/>
      <c r="AD891" s="488"/>
      <c r="AE891" s="488"/>
      <c r="AF891" s="488"/>
      <c r="AG891" s="488"/>
      <c r="AH891" s="488"/>
      <c r="AI891" s="488"/>
      <c r="AJ891" s="488"/>
    </row>
    <row r="892" spans="1:36" s="496" customFormat="1">
      <c r="A892" s="488"/>
      <c r="C892" s="488"/>
      <c r="D892" s="488"/>
      <c r="E892" s="488"/>
      <c r="F892" s="488"/>
      <c r="G892" s="488"/>
      <c r="H892" s="488"/>
      <c r="I892" s="488"/>
      <c r="J892" s="488"/>
      <c r="K892" s="488"/>
      <c r="L892" s="488"/>
      <c r="M892" s="488"/>
      <c r="N892" s="488"/>
      <c r="O892" s="488"/>
      <c r="P892" s="488"/>
      <c r="Q892" s="488"/>
      <c r="R892" s="488"/>
      <c r="S892" s="488"/>
      <c r="T892" s="488"/>
      <c r="U892" s="488"/>
      <c r="V892" s="488"/>
      <c r="W892" s="488"/>
      <c r="X892" s="488"/>
      <c r="Y892" s="488"/>
      <c r="Z892" s="488"/>
      <c r="AA892" s="488"/>
      <c r="AB892" s="488"/>
      <c r="AC892" s="488"/>
      <c r="AD892" s="488"/>
      <c r="AE892" s="488"/>
      <c r="AF892" s="488"/>
      <c r="AG892" s="488"/>
      <c r="AH892" s="488"/>
      <c r="AI892" s="488"/>
      <c r="AJ892" s="488"/>
    </row>
    <row r="893" spans="1:36" s="496" customFormat="1">
      <c r="A893" s="488"/>
      <c r="C893" s="488"/>
      <c r="D893" s="488"/>
      <c r="E893" s="488"/>
      <c r="F893" s="488"/>
      <c r="G893" s="488"/>
      <c r="H893" s="488"/>
      <c r="I893" s="488"/>
      <c r="J893" s="488"/>
      <c r="K893" s="488"/>
      <c r="L893" s="488"/>
      <c r="M893" s="488"/>
      <c r="N893" s="488"/>
      <c r="O893" s="488"/>
      <c r="P893" s="488"/>
      <c r="Q893" s="488"/>
      <c r="R893" s="488"/>
      <c r="S893" s="488"/>
      <c r="T893" s="488"/>
      <c r="U893" s="488"/>
      <c r="V893" s="488"/>
      <c r="W893" s="488"/>
      <c r="X893" s="488"/>
      <c r="Y893" s="488"/>
      <c r="Z893" s="488"/>
      <c r="AA893" s="488"/>
      <c r="AB893" s="488"/>
      <c r="AC893" s="488"/>
      <c r="AD893" s="488"/>
      <c r="AE893" s="488"/>
      <c r="AF893" s="488"/>
      <c r="AG893" s="488"/>
      <c r="AH893" s="488"/>
      <c r="AI893" s="488"/>
      <c r="AJ893" s="488"/>
    </row>
    <row r="894" spans="1:36" s="496" customFormat="1">
      <c r="A894" s="488"/>
      <c r="C894" s="488"/>
      <c r="D894" s="488"/>
      <c r="E894" s="488"/>
      <c r="F894" s="488"/>
      <c r="G894" s="488"/>
      <c r="H894" s="488"/>
      <c r="I894" s="488"/>
      <c r="J894" s="488"/>
      <c r="K894" s="488"/>
      <c r="L894" s="488"/>
      <c r="M894" s="488"/>
      <c r="N894" s="488"/>
      <c r="O894" s="488"/>
      <c r="P894" s="488"/>
      <c r="Q894" s="488"/>
      <c r="R894" s="488"/>
      <c r="S894" s="488"/>
      <c r="T894" s="488"/>
      <c r="U894" s="488"/>
      <c r="V894" s="488"/>
      <c r="W894" s="488"/>
      <c r="X894" s="488"/>
      <c r="Y894" s="488"/>
      <c r="Z894" s="488"/>
      <c r="AA894" s="488"/>
      <c r="AB894" s="488"/>
      <c r="AC894" s="488"/>
      <c r="AD894" s="488"/>
      <c r="AE894" s="488"/>
      <c r="AF894" s="488"/>
      <c r="AG894" s="488"/>
      <c r="AH894" s="488"/>
      <c r="AI894" s="488"/>
      <c r="AJ894" s="488"/>
    </row>
    <row r="895" spans="1:36" s="496" customFormat="1">
      <c r="A895" s="488"/>
      <c r="C895" s="488"/>
      <c r="D895" s="488"/>
      <c r="E895" s="488"/>
      <c r="F895" s="488"/>
      <c r="G895" s="488"/>
      <c r="H895" s="488"/>
      <c r="I895" s="488"/>
      <c r="J895" s="488"/>
      <c r="K895" s="488"/>
      <c r="L895" s="488"/>
      <c r="M895" s="488"/>
      <c r="N895" s="488"/>
      <c r="O895" s="488"/>
      <c r="P895" s="488"/>
      <c r="Q895" s="488"/>
      <c r="R895" s="488"/>
      <c r="S895" s="488"/>
      <c r="T895" s="488"/>
      <c r="U895" s="488"/>
      <c r="V895" s="488"/>
      <c r="W895" s="488"/>
      <c r="X895" s="488"/>
      <c r="Y895" s="488"/>
      <c r="Z895" s="488"/>
      <c r="AA895" s="488"/>
      <c r="AB895" s="488"/>
      <c r="AC895" s="488"/>
      <c r="AD895" s="488"/>
      <c r="AE895" s="488"/>
      <c r="AF895" s="488"/>
      <c r="AG895" s="488"/>
      <c r="AH895" s="488"/>
      <c r="AI895" s="488"/>
      <c r="AJ895" s="488"/>
    </row>
    <row r="896" spans="1:36" s="496" customFormat="1">
      <c r="A896" s="488"/>
      <c r="C896" s="488"/>
      <c r="D896" s="488"/>
      <c r="E896" s="488"/>
      <c r="F896" s="488"/>
      <c r="G896" s="488"/>
      <c r="H896" s="488"/>
      <c r="I896" s="488"/>
      <c r="J896" s="488"/>
      <c r="K896" s="488"/>
      <c r="L896" s="488"/>
      <c r="M896" s="488"/>
      <c r="N896" s="488"/>
      <c r="O896" s="488"/>
      <c r="P896" s="488"/>
      <c r="Q896" s="488"/>
      <c r="R896" s="488"/>
      <c r="S896" s="488"/>
      <c r="T896" s="488"/>
      <c r="U896" s="488"/>
      <c r="V896" s="488"/>
      <c r="W896" s="488"/>
      <c r="X896" s="488"/>
      <c r="Y896" s="488"/>
      <c r="Z896" s="488"/>
      <c r="AA896" s="488"/>
      <c r="AB896" s="488"/>
      <c r="AC896" s="488"/>
      <c r="AD896" s="488"/>
      <c r="AE896" s="488"/>
      <c r="AF896" s="488"/>
      <c r="AG896" s="488"/>
      <c r="AH896" s="488"/>
      <c r="AI896" s="488"/>
      <c r="AJ896" s="488"/>
    </row>
    <row r="897" spans="1:36" s="496" customFormat="1">
      <c r="A897" s="488"/>
      <c r="C897" s="488"/>
      <c r="D897" s="488"/>
      <c r="E897" s="488"/>
      <c r="F897" s="488"/>
      <c r="G897" s="488"/>
      <c r="H897" s="488"/>
      <c r="I897" s="488"/>
      <c r="J897" s="488"/>
      <c r="K897" s="488"/>
      <c r="L897" s="488"/>
      <c r="M897" s="488"/>
      <c r="N897" s="488"/>
      <c r="O897" s="488"/>
      <c r="P897" s="488"/>
      <c r="Q897" s="488"/>
      <c r="R897" s="488"/>
      <c r="S897" s="488"/>
      <c r="T897" s="488"/>
      <c r="U897" s="488"/>
      <c r="V897" s="488"/>
      <c r="W897" s="488"/>
      <c r="X897" s="488"/>
      <c r="Y897" s="488"/>
      <c r="Z897" s="488"/>
      <c r="AA897" s="488"/>
      <c r="AB897" s="488"/>
      <c r="AC897" s="488"/>
      <c r="AD897" s="488"/>
      <c r="AE897" s="488"/>
      <c r="AF897" s="488"/>
      <c r="AG897" s="488"/>
      <c r="AH897" s="488"/>
      <c r="AI897" s="488"/>
      <c r="AJ897" s="488"/>
    </row>
    <row r="898" spans="1:36" s="496" customFormat="1">
      <c r="A898" s="488"/>
      <c r="C898" s="488"/>
      <c r="D898" s="488"/>
      <c r="E898" s="488"/>
      <c r="F898" s="488"/>
      <c r="G898" s="488"/>
      <c r="H898" s="488"/>
      <c r="I898" s="488"/>
      <c r="J898" s="488"/>
      <c r="K898" s="488"/>
      <c r="L898" s="488"/>
      <c r="M898" s="488"/>
      <c r="N898" s="488"/>
      <c r="O898" s="488"/>
      <c r="P898" s="488"/>
      <c r="Q898" s="488"/>
      <c r="R898" s="488"/>
      <c r="S898" s="488"/>
      <c r="T898" s="488"/>
      <c r="U898" s="488"/>
      <c r="V898" s="488"/>
      <c r="W898" s="488"/>
      <c r="X898" s="488"/>
      <c r="Y898" s="488"/>
      <c r="Z898" s="488"/>
      <c r="AA898" s="488"/>
      <c r="AB898" s="488"/>
      <c r="AC898" s="488"/>
      <c r="AD898" s="488"/>
      <c r="AE898" s="488"/>
      <c r="AF898" s="488"/>
      <c r="AG898" s="488"/>
      <c r="AH898" s="488"/>
      <c r="AI898" s="488"/>
      <c r="AJ898" s="488"/>
    </row>
    <row r="899" spans="1:36" s="496" customFormat="1">
      <c r="A899" s="488"/>
      <c r="C899" s="488"/>
      <c r="D899" s="488"/>
      <c r="E899" s="488"/>
      <c r="F899" s="488"/>
      <c r="G899" s="488"/>
      <c r="H899" s="488"/>
      <c r="I899" s="488"/>
      <c r="J899" s="488"/>
      <c r="K899" s="488"/>
      <c r="L899" s="488"/>
      <c r="M899" s="488"/>
      <c r="N899" s="488"/>
      <c r="O899" s="488"/>
      <c r="P899" s="488"/>
      <c r="Q899" s="488"/>
      <c r="R899" s="488"/>
      <c r="S899" s="488"/>
      <c r="T899" s="488"/>
      <c r="U899" s="488"/>
      <c r="V899" s="488"/>
      <c r="W899" s="488"/>
      <c r="X899" s="488"/>
      <c r="Y899" s="488"/>
      <c r="Z899" s="488"/>
      <c r="AA899" s="488"/>
      <c r="AB899" s="488"/>
      <c r="AC899" s="488"/>
      <c r="AD899" s="488"/>
      <c r="AE899" s="488"/>
      <c r="AF899" s="488"/>
      <c r="AG899" s="488"/>
      <c r="AH899" s="488"/>
      <c r="AI899" s="488"/>
      <c r="AJ899" s="488"/>
    </row>
    <row r="900" spans="1:36" s="496" customFormat="1">
      <c r="A900" s="488"/>
      <c r="C900" s="488"/>
      <c r="D900" s="488"/>
      <c r="E900" s="488"/>
      <c r="F900" s="488"/>
      <c r="G900" s="488"/>
      <c r="H900" s="488"/>
      <c r="I900" s="488"/>
      <c r="J900" s="488"/>
      <c r="K900" s="488"/>
      <c r="L900" s="488"/>
      <c r="M900" s="488"/>
      <c r="N900" s="488"/>
      <c r="O900" s="488"/>
      <c r="P900" s="488"/>
      <c r="Q900" s="488"/>
      <c r="R900" s="488"/>
      <c r="S900" s="488"/>
      <c r="T900" s="488"/>
      <c r="U900" s="488"/>
      <c r="V900" s="488"/>
      <c r="W900" s="488"/>
      <c r="X900" s="488"/>
      <c r="Y900" s="488"/>
      <c r="Z900" s="488"/>
      <c r="AA900" s="488"/>
      <c r="AB900" s="488"/>
      <c r="AC900" s="488"/>
      <c r="AD900" s="488"/>
      <c r="AE900" s="488"/>
      <c r="AF900" s="488"/>
      <c r="AG900" s="488"/>
      <c r="AH900" s="488"/>
      <c r="AI900" s="488"/>
      <c r="AJ900" s="488"/>
    </row>
    <row r="901" spans="1:36" s="496" customFormat="1">
      <c r="A901" s="488"/>
      <c r="C901" s="488"/>
      <c r="D901" s="488"/>
      <c r="E901" s="488"/>
      <c r="F901" s="488"/>
      <c r="G901" s="488"/>
      <c r="H901" s="488"/>
      <c r="I901" s="488"/>
      <c r="J901" s="488"/>
      <c r="K901" s="488"/>
      <c r="L901" s="488"/>
      <c r="M901" s="488"/>
      <c r="N901" s="488"/>
      <c r="O901" s="488"/>
      <c r="P901" s="488"/>
      <c r="Q901" s="488"/>
      <c r="R901" s="488"/>
      <c r="S901" s="488"/>
      <c r="T901" s="488"/>
      <c r="U901" s="488"/>
      <c r="V901" s="488"/>
      <c r="W901" s="488"/>
      <c r="X901" s="488"/>
      <c r="Y901" s="488"/>
      <c r="Z901" s="488"/>
      <c r="AA901" s="488"/>
      <c r="AB901" s="488"/>
      <c r="AC901" s="488"/>
      <c r="AD901" s="488"/>
      <c r="AE901" s="488"/>
      <c r="AF901" s="488"/>
      <c r="AG901" s="488"/>
      <c r="AH901" s="488"/>
      <c r="AI901" s="488"/>
      <c r="AJ901" s="488"/>
    </row>
    <row r="902" spans="1:36" s="496" customFormat="1">
      <c r="A902" s="488"/>
      <c r="C902" s="488"/>
      <c r="D902" s="488"/>
      <c r="E902" s="488"/>
      <c r="F902" s="488"/>
      <c r="G902" s="488"/>
      <c r="H902" s="488"/>
      <c r="I902" s="488"/>
      <c r="J902" s="488"/>
      <c r="K902" s="488"/>
      <c r="L902" s="488"/>
      <c r="M902" s="488"/>
      <c r="N902" s="488"/>
      <c r="O902" s="488"/>
      <c r="P902" s="488"/>
      <c r="Q902" s="488"/>
      <c r="R902" s="488"/>
      <c r="S902" s="488"/>
      <c r="T902" s="488"/>
      <c r="U902" s="488"/>
      <c r="V902" s="488"/>
      <c r="W902" s="488"/>
      <c r="X902" s="488"/>
      <c r="Y902" s="488"/>
      <c r="Z902" s="488"/>
      <c r="AA902" s="488"/>
      <c r="AB902" s="488"/>
      <c r="AC902" s="488"/>
      <c r="AD902" s="488"/>
      <c r="AE902" s="488"/>
      <c r="AF902" s="488"/>
      <c r="AG902" s="488"/>
      <c r="AH902" s="488"/>
      <c r="AI902" s="488"/>
      <c r="AJ902" s="488"/>
    </row>
    <row r="903" spans="1:36" s="496" customFormat="1">
      <c r="A903" s="488"/>
      <c r="C903" s="488"/>
      <c r="D903" s="488"/>
      <c r="E903" s="488"/>
      <c r="F903" s="488"/>
      <c r="G903" s="488"/>
      <c r="H903" s="488"/>
      <c r="I903" s="488"/>
      <c r="J903" s="488"/>
      <c r="K903" s="488"/>
      <c r="L903" s="488"/>
      <c r="M903" s="488"/>
      <c r="N903" s="488"/>
      <c r="O903" s="488"/>
      <c r="P903" s="488"/>
      <c r="Q903" s="488"/>
      <c r="R903" s="488"/>
      <c r="S903" s="488"/>
      <c r="T903" s="488"/>
      <c r="U903" s="488"/>
      <c r="V903" s="488"/>
      <c r="W903" s="488"/>
      <c r="X903" s="488"/>
      <c r="Y903" s="488"/>
      <c r="Z903" s="488"/>
      <c r="AA903" s="488"/>
      <c r="AB903" s="488"/>
      <c r="AC903" s="488"/>
      <c r="AD903" s="488"/>
      <c r="AE903" s="488"/>
      <c r="AF903" s="488"/>
      <c r="AG903" s="488"/>
      <c r="AH903" s="488"/>
      <c r="AI903" s="488"/>
      <c r="AJ903" s="488"/>
    </row>
    <row r="904" spans="1:36" s="496" customFormat="1">
      <c r="A904" s="488"/>
      <c r="C904" s="488"/>
      <c r="D904" s="488"/>
      <c r="E904" s="488"/>
      <c r="F904" s="488"/>
      <c r="G904" s="488"/>
      <c r="H904" s="488"/>
      <c r="I904" s="488"/>
      <c r="J904" s="488"/>
      <c r="K904" s="488"/>
      <c r="L904" s="488"/>
      <c r="M904" s="488"/>
      <c r="N904" s="488"/>
      <c r="O904" s="488"/>
      <c r="P904" s="488"/>
      <c r="Q904" s="488"/>
      <c r="R904" s="488"/>
      <c r="S904" s="488"/>
      <c r="T904" s="488"/>
      <c r="U904" s="488"/>
      <c r="V904" s="488"/>
      <c r="W904" s="488"/>
      <c r="X904" s="488"/>
      <c r="Y904" s="488"/>
      <c r="Z904" s="488"/>
      <c r="AA904" s="488"/>
      <c r="AB904" s="488"/>
      <c r="AC904" s="488"/>
      <c r="AD904" s="488"/>
      <c r="AE904" s="488"/>
      <c r="AF904" s="488"/>
      <c r="AG904" s="488"/>
      <c r="AH904" s="488"/>
      <c r="AI904" s="488"/>
      <c r="AJ904" s="488"/>
    </row>
    <row r="905" spans="1:36" s="496" customFormat="1">
      <c r="A905" s="488"/>
      <c r="C905" s="488"/>
      <c r="D905" s="488"/>
      <c r="E905" s="488"/>
      <c r="F905" s="488"/>
      <c r="G905" s="488"/>
      <c r="H905" s="488"/>
      <c r="I905" s="488"/>
      <c r="J905" s="488"/>
      <c r="K905" s="488"/>
      <c r="L905" s="488"/>
      <c r="M905" s="488"/>
      <c r="N905" s="488"/>
      <c r="O905" s="488"/>
      <c r="P905" s="488"/>
      <c r="Q905" s="488"/>
      <c r="R905" s="488"/>
      <c r="S905" s="488"/>
      <c r="T905" s="488"/>
      <c r="U905" s="488"/>
      <c r="V905" s="488"/>
      <c r="W905" s="488"/>
      <c r="X905" s="488"/>
      <c r="Y905" s="488"/>
      <c r="Z905" s="488"/>
      <c r="AA905" s="488"/>
      <c r="AB905" s="488"/>
      <c r="AC905" s="488"/>
      <c r="AD905" s="488"/>
      <c r="AE905" s="488"/>
      <c r="AF905" s="488"/>
      <c r="AG905" s="488"/>
      <c r="AH905" s="488"/>
      <c r="AI905" s="488"/>
      <c r="AJ905" s="488"/>
    </row>
    <row r="906" spans="1:36" s="496" customFormat="1">
      <c r="A906" s="488"/>
      <c r="C906" s="488"/>
      <c r="D906" s="488"/>
      <c r="E906" s="488"/>
      <c r="F906" s="488"/>
      <c r="G906" s="488"/>
      <c r="H906" s="488"/>
      <c r="I906" s="488"/>
      <c r="J906" s="488"/>
      <c r="K906" s="488"/>
      <c r="L906" s="488"/>
      <c r="M906" s="488"/>
      <c r="N906" s="488"/>
      <c r="O906" s="488"/>
      <c r="P906" s="488"/>
      <c r="Q906" s="488"/>
      <c r="R906" s="488"/>
      <c r="S906" s="488"/>
      <c r="T906" s="488"/>
      <c r="U906" s="488"/>
      <c r="V906" s="488"/>
      <c r="W906" s="488"/>
      <c r="X906" s="488"/>
      <c r="Y906" s="488"/>
      <c r="Z906" s="488"/>
      <c r="AA906" s="488"/>
      <c r="AB906" s="488"/>
      <c r="AC906" s="488"/>
      <c r="AD906" s="488"/>
      <c r="AE906" s="488"/>
      <c r="AF906" s="488"/>
      <c r="AG906" s="488"/>
      <c r="AH906" s="488"/>
      <c r="AI906" s="488"/>
      <c r="AJ906" s="488"/>
    </row>
    <row r="907" spans="1:36" s="496" customFormat="1">
      <c r="A907" s="488"/>
      <c r="C907" s="488"/>
      <c r="D907" s="488"/>
      <c r="E907" s="488"/>
      <c r="F907" s="488"/>
      <c r="G907" s="488"/>
      <c r="H907" s="488"/>
      <c r="I907" s="488"/>
      <c r="J907" s="488"/>
      <c r="K907" s="488"/>
      <c r="L907" s="488"/>
      <c r="M907" s="488"/>
      <c r="N907" s="488"/>
      <c r="O907" s="488"/>
      <c r="P907" s="488"/>
      <c r="Q907" s="488"/>
      <c r="R907" s="488"/>
      <c r="S907" s="488"/>
      <c r="T907" s="488"/>
      <c r="U907" s="488"/>
      <c r="V907" s="488"/>
      <c r="W907" s="488"/>
      <c r="X907" s="488"/>
      <c r="Y907" s="488"/>
      <c r="Z907" s="488"/>
      <c r="AA907" s="488"/>
      <c r="AB907" s="488"/>
      <c r="AC907" s="488"/>
      <c r="AD907" s="488"/>
      <c r="AE907" s="488"/>
      <c r="AF907" s="488"/>
      <c r="AG907" s="488"/>
      <c r="AH907" s="488"/>
      <c r="AI907" s="488"/>
      <c r="AJ907" s="488"/>
    </row>
    <row r="908" spans="1:36" s="496" customFormat="1">
      <c r="A908" s="488"/>
      <c r="C908" s="488"/>
      <c r="D908" s="488"/>
      <c r="E908" s="488"/>
      <c r="F908" s="488"/>
      <c r="G908" s="488"/>
      <c r="H908" s="488"/>
      <c r="I908" s="488"/>
      <c r="J908" s="488"/>
      <c r="K908" s="488"/>
      <c r="L908" s="488"/>
      <c r="M908" s="488"/>
      <c r="N908" s="488"/>
      <c r="O908" s="488"/>
      <c r="P908" s="488"/>
      <c r="Q908" s="488"/>
      <c r="R908" s="488"/>
      <c r="S908" s="488"/>
      <c r="T908" s="488"/>
      <c r="U908" s="488"/>
      <c r="V908" s="488"/>
      <c r="W908" s="488"/>
      <c r="X908" s="488"/>
      <c r="Y908" s="488"/>
      <c r="Z908" s="488"/>
      <c r="AA908" s="488"/>
      <c r="AB908" s="488"/>
      <c r="AC908" s="488"/>
      <c r="AD908" s="488"/>
      <c r="AE908" s="488"/>
      <c r="AF908" s="488"/>
      <c r="AG908" s="488"/>
      <c r="AH908" s="488"/>
      <c r="AI908" s="488"/>
      <c r="AJ908" s="488"/>
    </row>
    <row r="909" spans="1:36" s="496" customFormat="1">
      <c r="A909" s="488"/>
      <c r="C909" s="488"/>
      <c r="D909" s="488"/>
      <c r="E909" s="488"/>
      <c r="F909" s="488"/>
      <c r="G909" s="488"/>
      <c r="H909" s="488"/>
      <c r="I909" s="488"/>
      <c r="J909" s="488"/>
      <c r="K909" s="488"/>
      <c r="L909" s="488"/>
      <c r="M909" s="488"/>
      <c r="N909" s="488"/>
      <c r="O909" s="488"/>
      <c r="P909" s="488"/>
      <c r="Q909" s="488"/>
      <c r="R909" s="488"/>
      <c r="S909" s="488"/>
      <c r="T909" s="488"/>
      <c r="U909" s="488"/>
      <c r="V909" s="488"/>
      <c r="W909" s="488"/>
      <c r="X909" s="488"/>
      <c r="Y909" s="488"/>
      <c r="Z909" s="488"/>
      <c r="AA909" s="488"/>
      <c r="AB909" s="488"/>
      <c r="AC909" s="488"/>
      <c r="AD909" s="488"/>
      <c r="AE909" s="488"/>
      <c r="AF909" s="488"/>
      <c r="AG909" s="488"/>
      <c r="AH909" s="488"/>
      <c r="AI909" s="488"/>
      <c r="AJ909" s="488"/>
    </row>
    <row r="910" spans="1:36" s="496" customFormat="1">
      <c r="A910" s="488"/>
      <c r="C910" s="488"/>
      <c r="D910" s="488"/>
      <c r="E910" s="488"/>
      <c r="F910" s="488"/>
      <c r="G910" s="488"/>
      <c r="H910" s="488"/>
      <c r="I910" s="488"/>
      <c r="J910" s="488"/>
      <c r="K910" s="488"/>
      <c r="L910" s="488"/>
      <c r="M910" s="488"/>
      <c r="N910" s="488"/>
      <c r="O910" s="488"/>
      <c r="P910" s="488"/>
      <c r="Q910" s="488"/>
      <c r="R910" s="488"/>
      <c r="S910" s="488"/>
      <c r="T910" s="488"/>
      <c r="U910" s="488"/>
      <c r="V910" s="488"/>
      <c r="W910" s="488"/>
      <c r="X910" s="488"/>
      <c r="Y910" s="488"/>
      <c r="Z910" s="488"/>
      <c r="AA910" s="488"/>
      <c r="AB910" s="488"/>
      <c r="AC910" s="488"/>
      <c r="AD910" s="488"/>
      <c r="AE910" s="488"/>
      <c r="AF910" s="488"/>
      <c r="AG910" s="488"/>
      <c r="AH910" s="488"/>
      <c r="AI910" s="488"/>
      <c r="AJ910" s="488"/>
    </row>
    <row r="911" spans="1:36" s="496" customFormat="1">
      <c r="A911" s="488"/>
      <c r="C911" s="488"/>
      <c r="D911" s="488"/>
      <c r="E911" s="488"/>
      <c r="F911" s="488"/>
      <c r="G911" s="488"/>
      <c r="H911" s="488"/>
      <c r="I911" s="488"/>
      <c r="J911" s="488"/>
      <c r="K911" s="488"/>
      <c r="L911" s="488"/>
      <c r="M911" s="488"/>
      <c r="N911" s="488"/>
      <c r="O911" s="488"/>
      <c r="P911" s="488"/>
      <c r="Q911" s="488"/>
      <c r="R911" s="488"/>
      <c r="S911" s="488"/>
      <c r="T911" s="488"/>
      <c r="U911" s="488"/>
      <c r="V911" s="488"/>
      <c r="W911" s="488"/>
      <c r="X911" s="488"/>
      <c r="Y911" s="488"/>
      <c r="Z911" s="488"/>
      <c r="AA911" s="488"/>
      <c r="AB911" s="488"/>
      <c r="AC911" s="488"/>
      <c r="AD911" s="488"/>
      <c r="AE911" s="488"/>
      <c r="AF911" s="488"/>
      <c r="AG911" s="488"/>
      <c r="AH911" s="488"/>
      <c r="AI911" s="488"/>
      <c r="AJ911" s="488"/>
    </row>
    <row r="912" spans="1:36" s="496" customFormat="1">
      <c r="A912" s="488"/>
      <c r="C912" s="488"/>
      <c r="D912" s="488"/>
      <c r="E912" s="488"/>
      <c r="F912" s="488"/>
      <c r="G912" s="488"/>
      <c r="H912" s="488"/>
      <c r="I912" s="488"/>
      <c r="J912" s="488"/>
      <c r="K912" s="488"/>
      <c r="L912" s="488"/>
      <c r="M912" s="488"/>
      <c r="N912" s="488"/>
      <c r="O912" s="488"/>
      <c r="P912" s="488"/>
      <c r="Q912" s="488"/>
      <c r="R912" s="488"/>
      <c r="S912" s="488"/>
      <c r="T912" s="488"/>
      <c r="U912" s="488"/>
      <c r="V912" s="488"/>
      <c r="W912" s="488"/>
      <c r="X912" s="488"/>
      <c r="Y912" s="488"/>
      <c r="Z912" s="488"/>
      <c r="AA912" s="488"/>
      <c r="AB912" s="488"/>
      <c r="AC912" s="488"/>
      <c r="AD912" s="488"/>
      <c r="AE912" s="488"/>
      <c r="AF912" s="488"/>
      <c r="AG912" s="488"/>
      <c r="AH912" s="488"/>
      <c r="AI912" s="488"/>
      <c r="AJ912" s="488"/>
    </row>
    <row r="913" spans="1:36" s="496" customFormat="1">
      <c r="A913" s="488"/>
      <c r="C913" s="488"/>
      <c r="D913" s="488"/>
      <c r="E913" s="488"/>
      <c r="F913" s="488"/>
      <c r="G913" s="488"/>
      <c r="H913" s="488"/>
      <c r="I913" s="488"/>
      <c r="J913" s="488"/>
      <c r="K913" s="488"/>
      <c r="L913" s="488"/>
      <c r="M913" s="488"/>
      <c r="N913" s="488"/>
      <c r="O913" s="488"/>
      <c r="P913" s="488"/>
      <c r="Q913" s="488"/>
      <c r="R913" s="488"/>
      <c r="S913" s="488"/>
      <c r="T913" s="488"/>
      <c r="U913" s="488"/>
      <c r="V913" s="488"/>
      <c r="W913" s="488"/>
      <c r="X913" s="488"/>
      <c r="Y913" s="488"/>
      <c r="Z913" s="488"/>
      <c r="AA913" s="488"/>
      <c r="AB913" s="488"/>
      <c r="AC913" s="488"/>
      <c r="AD913" s="488"/>
      <c r="AE913" s="488"/>
      <c r="AF913" s="488"/>
      <c r="AG913" s="488"/>
      <c r="AH913" s="488"/>
      <c r="AI913" s="488"/>
      <c r="AJ913" s="488"/>
    </row>
    <row r="914" spans="1:36" s="496" customFormat="1">
      <c r="A914" s="488"/>
      <c r="C914" s="488"/>
      <c r="D914" s="488"/>
      <c r="E914" s="488"/>
      <c r="F914" s="488"/>
      <c r="G914" s="488"/>
      <c r="H914" s="488"/>
      <c r="I914" s="488"/>
      <c r="J914" s="488"/>
      <c r="K914" s="488"/>
      <c r="L914" s="488"/>
      <c r="M914" s="488"/>
      <c r="N914" s="488"/>
      <c r="O914" s="488"/>
      <c r="P914" s="488"/>
      <c r="Q914" s="488"/>
      <c r="R914" s="488"/>
      <c r="S914" s="488"/>
      <c r="T914" s="488"/>
      <c r="U914" s="488"/>
      <c r="V914" s="488"/>
      <c r="W914" s="488"/>
      <c r="X914" s="488"/>
      <c r="Y914" s="488"/>
      <c r="Z914" s="488"/>
      <c r="AA914" s="488"/>
      <c r="AB914" s="488"/>
      <c r="AC914" s="488"/>
      <c r="AD914" s="488"/>
      <c r="AE914" s="488"/>
      <c r="AF914" s="488"/>
      <c r="AG914" s="488"/>
      <c r="AH914" s="488"/>
      <c r="AI914" s="488"/>
      <c r="AJ914" s="488"/>
    </row>
    <row r="915" spans="1:36" s="496" customFormat="1">
      <c r="A915" s="488"/>
      <c r="C915" s="488"/>
      <c r="D915" s="488"/>
      <c r="E915" s="488"/>
      <c r="F915" s="488"/>
      <c r="G915" s="488"/>
      <c r="H915" s="488"/>
      <c r="I915" s="488"/>
      <c r="J915" s="488"/>
      <c r="K915" s="488"/>
      <c r="L915" s="488"/>
      <c r="M915" s="488"/>
      <c r="N915" s="488"/>
      <c r="O915" s="488"/>
      <c r="P915" s="488"/>
      <c r="Q915" s="488"/>
      <c r="R915" s="488"/>
      <c r="S915" s="488"/>
      <c r="T915" s="488"/>
      <c r="U915" s="488"/>
      <c r="V915" s="488"/>
      <c r="W915" s="488"/>
      <c r="X915" s="488"/>
      <c r="Y915" s="488"/>
      <c r="Z915" s="488"/>
      <c r="AA915" s="488"/>
      <c r="AB915" s="488"/>
      <c r="AC915" s="488"/>
      <c r="AD915" s="488"/>
      <c r="AE915" s="488"/>
      <c r="AF915" s="488"/>
      <c r="AG915" s="488"/>
      <c r="AH915" s="488"/>
      <c r="AI915" s="488"/>
      <c r="AJ915" s="488"/>
    </row>
    <row r="916" spans="1:36" s="496" customFormat="1">
      <c r="A916" s="488"/>
      <c r="C916" s="488"/>
      <c r="D916" s="488"/>
      <c r="E916" s="488"/>
      <c r="F916" s="488"/>
      <c r="G916" s="488"/>
      <c r="H916" s="488"/>
      <c r="I916" s="488"/>
      <c r="J916" s="488"/>
      <c r="K916" s="488"/>
      <c r="L916" s="488"/>
      <c r="M916" s="488"/>
      <c r="N916" s="488"/>
      <c r="O916" s="488"/>
      <c r="P916" s="488"/>
      <c r="Q916" s="488"/>
      <c r="R916" s="488"/>
      <c r="S916" s="488"/>
      <c r="T916" s="488"/>
      <c r="U916" s="488"/>
      <c r="V916" s="488"/>
      <c r="W916" s="488"/>
      <c r="X916" s="488"/>
      <c r="Y916" s="488"/>
      <c r="Z916" s="488"/>
      <c r="AA916" s="488"/>
      <c r="AB916" s="488"/>
      <c r="AC916" s="488"/>
      <c r="AD916" s="488"/>
      <c r="AE916" s="488"/>
      <c r="AF916" s="488"/>
      <c r="AG916" s="488"/>
      <c r="AH916" s="488"/>
      <c r="AI916" s="488"/>
      <c r="AJ916" s="488"/>
    </row>
    <row r="917" spans="1:36" s="496" customFormat="1">
      <c r="A917" s="488"/>
      <c r="C917" s="488"/>
      <c r="D917" s="488"/>
      <c r="E917" s="488"/>
      <c r="F917" s="488"/>
      <c r="G917" s="488"/>
      <c r="H917" s="488"/>
      <c r="I917" s="488"/>
      <c r="J917" s="488"/>
      <c r="K917" s="488"/>
      <c r="L917" s="488"/>
      <c r="M917" s="488"/>
      <c r="N917" s="488"/>
      <c r="O917" s="488"/>
      <c r="P917" s="488"/>
      <c r="Q917" s="488"/>
      <c r="R917" s="488"/>
      <c r="S917" s="488"/>
      <c r="T917" s="488"/>
      <c r="U917" s="488"/>
      <c r="V917" s="488"/>
      <c r="W917" s="488"/>
      <c r="X917" s="488"/>
      <c r="Y917" s="488"/>
      <c r="Z917" s="488"/>
      <c r="AA917" s="488"/>
      <c r="AB917" s="488"/>
      <c r="AC917" s="488"/>
      <c r="AD917" s="488"/>
      <c r="AE917" s="488"/>
      <c r="AF917" s="488"/>
      <c r="AG917" s="488"/>
      <c r="AH917" s="488"/>
      <c r="AI917" s="488"/>
      <c r="AJ917" s="488"/>
    </row>
    <row r="918" spans="1:36" s="496" customFormat="1">
      <c r="A918" s="488"/>
      <c r="C918" s="488"/>
      <c r="D918" s="488"/>
      <c r="E918" s="488"/>
      <c r="F918" s="488"/>
      <c r="G918" s="488"/>
      <c r="H918" s="488"/>
      <c r="I918" s="488"/>
      <c r="J918" s="488"/>
      <c r="K918" s="488"/>
      <c r="L918" s="488"/>
      <c r="M918" s="488"/>
      <c r="N918" s="488"/>
      <c r="O918" s="488"/>
      <c r="P918" s="488"/>
      <c r="Q918" s="488"/>
      <c r="R918" s="488"/>
      <c r="S918" s="488"/>
      <c r="T918" s="488"/>
      <c r="U918" s="488"/>
      <c r="V918" s="488"/>
      <c r="W918" s="488"/>
      <c r="X918" s="488"/>
      <c r="Y918" s="488"/>
      <c r="Z918" s="488"/>
      <c r="AA918" s="488"/>
      <c r="AB918" s="488"/>
      <c r="AC918" s="488"/>
      <c r="AD918" s="488"/>
      <c r="AE918" s="488"/>
      <c r="AF918" s="488"/>
      <c r="AG918" s="488"/>
      <c r="AH918" s="488"/>
      <c r="AI918" s="488"/>
      <c r="AJ918" s="488"/>
    </row>
    <row r="919" spans="1:36" s="496" customFormat="1">
      <c r="A919" s="488"/>
      <c r="C919" s="488"/>
      <c r="D919" s="488"/>
      <c r="E919" s="488"/>
      <c r="F919" s="488"/>
      <c r="G919" s="488"/>
      <c r="H919" s="488"/>
      <c r="I919" s="488"/>
      <c r="J919" s="488"/>
      <c r="K919" s="488"/>
      <c r="L919" s="488"/>
      <c r="M919" s="488"/>
      <c r="N919" s="488"/>
      <c r="O919" s="488"/>
      <c r="P919" s="488"/>
      <c r="Q919" s="488"/>
      <c r="R919" s="488"/>
      <c r="S919" s="488"/>
      <c r="T919" s="488"/>
      <c r="U919" s="488"/>
      <c r="V919" s="488"/>
      <c r="W919" s="488"/>
      <c r="X919" s="488"/>
      <c r="Y919" s="488"/>
      <c r="Z919" s="488"/>
      <c r="AA919" s="488"/>
      <c r="AB919" s="488"/>
      <c r="AC919" s="488"/>
      <c r="AD919" s="488"/>
      <c r="AE919" s="488"/>
      <c r="AF919" s="488"/>
      <c r="AG919" s="488"/>
      <c r="AH919" s="488"/>
      <c r="AI919" s="488"/>
      <c r="AJ919" s="488"/>
    </row>
    <row r="920" spans="1:36" s="496" customFormat="1">
      <c r="A920" s="488"/>
      <c r="C920" s="488"/>
      <c r="D920" s="488"/>
      <c r="E920" s="488"/>
      <c r="F920" s="488"/>
      <c r="G920" s="488"/>
      <c r="H920" s="488"/>
      <c r="I920" s="488"/>
      <c r="J920" s="488"/>
      <c r="K920" s="488"/>
      <c r="L920" s="488"/>
      <c r="M920" s="488"/>
      <c r="N920" s="488"/>
      <c r="O920" s="488"/>
      <c r="P920" s="488"/>
      <c r="Q920" s="488"/>
      <c r="R920" s="488"/>
      <c r="S920" s="488"/>
      <c r="T920" s="488"/>
      <c r="U920" s="488"/>
      <c r="V920" s="488"/>
      <c r="W920" s="488"/>
      <c r="X920" s="488"/>
      <c r="Y920" s="488"/>
      <c r="Z920" s="488"/>
      <c r="AA920" s="488"/>
      <c r="AB920" s="488"/>
      <c r="AC920" s="488"/>
      <c r="AD920" s="488"/>
      <c r="AE920" s="488"/>
      <c r="AF920" s="488"/>
      <c r="AG920" s="488"/>
      <c r="AH920" s="488"/>
      <c r="AI920" s="488"/>
      <c r="AJ920" s="488"/>
    </row>
    <row r="921" spans="1:36" s="496" customFormat="1">
      <c r="A921" s="488"/>
      <c r="C921" s="488"/>
      <c r="D921" s="488"/>
      <c r="E921" s="488"/>
      <c r="F921" s="488"/>
      <c r="G921" s="488"/>
      <c r="H921" s="488"/>
      <c r="I921" s="488"/>
      <c r="J921" s="488"/>
      <c r="K921" s="488"/>
      <c r="L921" s="488"/>
      <c r="M921" s="488"/>
      <c r="N921" s="488"/>
      <c r="O921" s="488"/>
      <c r="P921" s="488"/>
      <c r="Q921" s="488"/>
      <c r="R921" s="488"/>
      <c r="S921" s="488"/>
      <c r="T921" s="488"/>
      <c r="U921" s="488"/>
      <c r="V921" s="488"/>
      <c r="W921" s="488"/>
      <c r="X921" s="488"/>
      <c r="Y921" s="488"/>
      <c r="Z921" s="488"/>
      <c r="AA921" s="488"/>
      <c r="AB921" s="488"/>
      <c r="AC921" s="488"/>
      <c r="AD921" s="488"/>
      <c r="AE921" s="488"/>
      <c r="AF921" s="488"/>
      <c r="AG921" s="488"/>
      <c r="AH921" s="488"/>
      <c r="AI921" s="488"/>
      <c r="AJ921" s="488"/>
    </row>
    <row r="922" spans="1:36" s="496" customFormat="1">
      <c r="A922" s="488"/>
      <c r="C922" s="488"/>
      <c r="D922" s="488"/>
      <c r="E922" s="488"/>
      <c r="F922" s="488"/>
      <c r="G922" s="488"/>
      <c r="H922" s="488"/>
      <c r="I922" s="488"/>
      <c r="J922" s="488"/>
      <c r="K922" s="488"/>
      <c r="L922" s="488"/>
      <c r="M922" s="488"/>
      <c r="N922" s="488"/>
      <c r="O922" s="488"/>
      <c r="P922" s="488"/>
      <c r="Q922" s="488"/>
      <c r="R922" s="488"/>
      <c r="S922" s="488"/>
      <c r="T922" s="488"/>
      <c r="U922" s="488"/>
      <c r="V922" s="488"/>
      <c r="W922" s="488"/>
      <c r="X922" s="488"/>
      <c r="Y922" s="488"/>
      <c r="Z922" s="488"/>
      <c r="AA922" s="488"/>
      <c r="AB922" s="488"/>
      <c r="AC922" s="488"/>
      <c r="AD922" s="488"/>
      <c r="AE922" s="488"/>
      <c r="AF922" s="488"/>
      <c r="AG922" s="488"/>
      <c r="AH922" s="488"/>
      <c r="AI922" s="488"/>
      <c r="AJ922" s="488"/>
    </row>
    <row r="923" spans="1:36" s="496" customFormat="1">
      <c r="A923" s="488"/>
      <c r="C923" s="488"/>
      <c r="D923" s="488"/>
      <c r="E923" s="488"/>
      <c r="F923" s="488"/>
      <c r="G923" s="488"/>
      <c r="H923" s="488"/>
      <c r="I923" s="488"/>
      <c r="J923" s="488"/>
      <c r="K923" s="488"/>
      <c r="L923" s="488"/>
      <c r="M923" s="488"/>
      <c r="N923" s="488"/>
      <c r="O923" s="488"/>
      <c r="P923" s="488"/>
      <c r="Q923" s="488"/>
      <c r="R923" s="488"/>
      <c r="S923" s="488"/>
      <c r="T923" s="488"/>
      <c r="U923" s="488"/>
      <c r="V923" s="488"/>
      <c r="W923" s="488"/>
      <c r="X923" s="488"/>
      <c r="Y923" s="488"/>
      <c r="Z923" s="488"/>
      <c r="AA923" s="488"/>
      <c r="AB923" s="488"/>
      <c r="AC923" s="488"/>
      <c r="AD923" s="488"/>
      <c r="AE923" s="488"/>
      <c r="AF923" s="488"/>
      <c r="AG923" s="488"/>
      <c r="AH923" s="488"/>
      <c r="AI923" s="488"/>
      <c r="AJ923" s="488"/>
    </row>
    <row r="924" spans="1:36" s="496" customFormat="1">
      <c r="A924" s="488"/>
      <c r="C924" s="488"/>
      <c r="D924" s="488"/>
      <c r="E924" s="488"/>
      <c r="F924" s="488"/>
      <c r="G924" s="488"/>
      <c r="H924" s="488"/>
      <c r="I924" s="488"/>
      <c r="J924" s="488"/>
      <c r="K924" s="488"/>
      <c r="L924" s="488"/>
      <c r="M924" s="488"/>
      <c r="N924" s="488"/>
      <c r="O924" s="488"/>
      <c r="P924" s="488"/>
      <c r="Q924" s="488"/>
      <c r="R924" s="488"/>
      <c r="S924" s="488"/>
      <c r="T924" s="488"/>
      <c r="U924" s="488"/>
      <c r="V924" s="488"/>
      <c r="W924" s="488"/>
      <c r="X924" s="488"/>
      <c r="Y924" s="488"/>
      <c r="Z924" s="488"/>
      <c r="AA924" s="488"/>
      <c r="AB924" s="488"/>
      <c r="AC924" s="488"/>
      <c r="AD924" s="488"/>
      <c r="AE924" s="488"/>
      <c r="AF924" s="488"/>
      <c r="AG924" s="488"/>
      <c r="AH924" s="488"/>
      <c r="AI924" s="488"/>
      <c r="AJ924" s="488"/>
    </row>
    <row r="925" spans="1:36" s="496" customFormat="1">
      <c r="A925" s="488"/>
      <c r="C925" s="488"/>
      <c r="D925" s="488"/>
      <c r="E925" s="488"/>
      <c r="F925" s="488"/>
      <c r="G925" s="488"/>
      <c r="H925" s="488"/>
      <c r="I925" s="488"/>
      <c r="J925" s="488"/>
      <c r="K925" s="488"/>
      <c r="L925" s="488"/>
      <c r="M925" s="488"/>
      <c r="N925" s="488"/>
      <c r="O925" s="488"/>
      <c r="P925" s="488"/>
      <c r="Q925" s="488"/>
      <c r="R925" s="488"/>
      <c r="S925" s="488"/>
      <c r="T925" s="488"/>
      <c r="U925" s="488"/>
      <c r="V925" s="488"/>
      <c r="W925" s="488"/>
      <c r="X925" s="488"/>
      <c r="Y925" s="488"/>
      <c r="Z925" s="488"/>
      <c r="AA925" s="488"/>
      <c r="AB925" s="488"/>
      <c r="AC925" s="488"/>
      <c r="AD925" s="488"/>
      <c r="AE925" s="488"/>
      <c r="AF925" s="488"/>
      <c r="AG925" s="488"/>
      <c r="AH925" s="488"/>
      <c r="AI925" s="488"/>
      <c r="AJ925" s="488"/>
    </row>
    <row r="926" spans="1:36" s="496" customFormat="1">
      <c r="A926" s="488"/>
      <c r="C926" s="488"/>
      <c r="D926" s="488"/>
      <c r="E926" s="488"/>
      <c r="F926" s="488"/>
      <c r="G926" s="488"/>
      <c r="H926" s="488"/>
      <c r="I926" s="488"/>
      <c r="J926" s="488"/>
      <c r="K926" s="488"/>
      <c r="L926" s="488"/>
      <c r="M926" s="488"/>
      <c r="N926" s="488"/>
      <c r="O926" s="488"/>
      <c r="P926" s="488"/>
      <c r="Q926" s="488"/>
      <c r="R926" s="488"/>
      <c r="S926" s="488"/>
      <c r="T926" s="488"/>
      <c r="U926" s="488"/>
      <c r="V926" s="488"/>
      <c r="W926" s="488"/>
      <c r="X926" s="488"/>
      <c r="Y926" s="488"/>
      <c r="Z926" s="488"/>
      <c r="AA926" s="488"/>
      <c r="AB926" s="488"/>
      <c r="AC926" s="488"/>
      <c r="AD926" s="488"/>
      <c r="AE926" s="488"/>
      <c r="AF926" s="488"/>
      <c r="AG926" s="488"/>
      <c r="AH926" s="488"/>
      <c r="AI926" s="488"/>
      <c r="AJ926" s="488"/>
    </row>
    <row r="927" spans="1:36" s="496" customFormat="1">
      <c r="A927" s="488"/>
      <c r="C927" s="488"/>
      <c r="D927" s="488"/>
      <c r="E927" s="488"/>
      <c r="F927" s="488"/>
      <c r="G927" s="488"/>
      <c r="H927" s="488"/>
      <c r="I927" s="488"/>
      <c r="J927" s="488"/>
      <c r="K927" s="488"/>
      <c r="L927" s="488"/>
      <c r="M927" s="488"/>
      <c r="N927" s="488"/>
      <c r="O927" s="488"/>
      <c r="P927" s="488"/>
      <c r="Q927" s="488"/>
      <c r="R927" s="488"/>
      <c r="S927" s="488"/>
      <c r="T927" s="488"/>
      <c r="U927" s="488"/>
      <c r="V927" s="488"/>
      <c r="W927" s="488"/>
      <c r="X927" s="488"/>
      <c r="Y927" s="488"/>
      <c r="Z927" s="488"/>
      <c r="AA927" s="488"/>
      <c r="AB927" s="488"/>
      <c r="AC927" s="488"/>
      <c r="AD927" s="488"/>
      <c r="AE927" s="488"/>
      <c r="AF927" s="488"/>
      <c r="AG927" s="488"/>
      <c r="AH927" s="488"/>
      <c r="AI927" s="488"/>
      <c r="AJ927" s="488"/>
    </row>
    <row r="928" spans="1:36" s="496" customFormat="1">
      <c r="A928" s="488"/>
      <c r="C928" s="488"/>
      <c r="D928" s="488"/>
      <c r="E928" s="488"/>
      <c r="F928" s="488"/>
      <c r="G928" s="488"/>
      <c r="H928" s="488"/>
      <c r="I928" s="488"/>
      <c r="J928" s="488"/>
      <c r="K928" s="488"/>
      <c r="L928" s="488"/>
      <c r="M928" s="488"/>
      <c r="N928" s="488"/>
      <c r="O928" s="488"/>
      <c r="P928" s="488"/>
      <c r="Q928" s="488"/>
      <c r="R928" s="488"/>
      <c r="S928" s="488"/>
      <c r="T928" s="488"/>
      <c r="U928" s="488"/>
      <c r="V928" s="488"/>
      <c r="W928" s="488"/>
      <c r="X928" s="488"/>
      <c r="Y928" s="488"/>
      <c r="Z928" s="488"/>
      <c r="AA928" s="488"/>
      <c r="AB928" s="488"/>
      <c r="AC928" s="488"/>
      <c r="AD928" s="488"/>
      <c r="AE928" s="488"/>
      <c r="AF928" s="488"/>
      <c r="AG928" s="488"/>
      <c r="AH928" s="488"/>
      <c r="AI928" s="488"/>
      <c r="AJ928" s="488"/>
    </row>
    <row r="929" spans="1:36" s="496" customFormat="1">
      <c r="A929" s="488"/>
      <c r="C929" s="488"/>
      <c r="D929" s="488"/>
      <c r="E929" s="488"/>
      <c r="F929" s="488"/>
      <c r="G929" s="488"/>
      <c r="H929" s="488"/>
      <c r="I929" s="488"/>
      <c r="J929" s="488"/>
      <c r="K929" s="488"/>
      <c r="L929" s="488"/>
      <c r="M929" s="488"/>
      <c r="N929" s="488"/>
      <c r="O929" s="488"/>
      <c r="P929" s="488"/>
      <c r="Q929" s="488"/>
      <c r="R929" s="488"/>
      <c r="S929" s="488"/>
      <c r="T929" s="488"/>
      <c r="U929" s="488"/>
      <c r="V929" s="488"/>
      <c r="W929" s="488"/>
      <c r="X929" s="488"/>
      <c r="Y929" s="488"/>
      <c r="Z929" s="488"/>
      <c r="AA929" s="488"/>
      <c r="AB929" s="488"/>
      <c r="AC929" s="488"/>
      <c r="AD929" s="488"/>
      <c r="AE929" s="488"/>
      <c r="AF929" s="488"/>
      <c r="AG929" s="488"/>
      <c r="AH929" s="488"/>
      <c r="AI929" s="488"/>
      <c r="AJ929" s="488"/>
    </row>
    <row r="930" spans="1:36" s="496" customFormat="1">
      <c r="A930" s="488"/>
      <c r="C930" s="488"/>
      <c r="D930" s="488"/>
      <c r="E930" s="488"/>
      <c r="F930" s="488"/>
      <c r="G930" s="488"/>
      <c r="H930" s="488"/>
      <c r="I930" s="488"/>
      <c r="J930" s="488"/>
      <c r="K930" s="488"/>
      <c r="L930" s="488"/>
      <c r="M930" s="488"/>
      <c r="N930" s="488"/>
      <c r="O930" s="488"/>
      <c r="P930" s="488"/>
      <c r="Q930" s="488"/>
      <c r="R930" s="488"/>
      <c r="S930" s="488"/>
      <c r="T930" s="488"/>
      <c r="U930" s="488"/>
      <c r="V930" s="488"/>
      <c r="W930" s="488"/>
      <c r="X930" s="488"/>
      <c r="Y930" s="488"/>
      <c r="Z930" s="488"/>
      <c r="AA930" s="488"/>
      <c r="AB930" s="488"/>
      <c r="AC930" s="488"/>
      <c r="AD930" s="488"/>
      <c r="AE930" s="488"/>
      <c r="AF930" s="488"/>
      <c r="AG930" s="488"/>
      <c r="AH930" s="488"/>
      <c r="AI930" s="488"/>
      <c r="AJ930" s="488"/>
    </row>
    <row r="931" spans="1:36" s="496" customFormat="1">
      <c r="A931" s="488"/>
      <c r="C931" s="488"/>
      <c r="D931" s="488"/>
      <c r="E931" s="488"/>
      <c r="F931" s="488"/>
      <c r="G931" s="488"/>
      <c r="H931" s="488"/>
      <c r="I931" s="488"/>
      <c r="J931" s="488"/>
      <c r="K931" s="488"/>
      <c r="L931" s="488"/>
      <c r="M931" s="488"/>
      <c r="N931" s="488"/>
      <c r="O931" s="488"/>
      <c r="P931" s="488"/>
      <c r="Q931" s="488"/>
      <c r="R931" s="488"/>
      <c r="S931" s="488"/>
      <c r="T931" s="488"/>
      <c r="U931" s="488"/>
      <c r="V931" s="488"/>
      <c r="W931" s="488"/>
      <c r="X931" s="488"/>
      <c r="Y931" s="488"/>
      <c r="Z931" s="488"/>
      <c r="AA931" s="488"/>
      <c r="AB931" s="488"/>
      <c r="AC931" s="488"/>
      <c r="AD931" s="488"/>
      <c r="AE931" s="488"/>
      <c r="AF931" s="488"/>
      <c r="AG931" s="488"/>
      <c r="AH931" s="488"/>
      <c r="AI931" s="488"/>
      <c r="AJ931" s="488"/>
    </row>
    <row r="932" spans="1:36" s="496" customFormat="1">
      <c r="A932" s="488"/>
      <c r="C932" s="488"/>
      <c r="D932" s="488"/>
      <c r="E932" s="488"/>
      <c r="F932" s="488"/>
      <c r="G932" s="488"/>
      <c r="H932" s="488"/>
      <c r="I932" s="488"/>
      <c r="J932" s="488"/>
      <c r="K932" s="488"/>
      <c r="L932" s="488"/>
      <c r="M932" s="488"/>
      <c r="N932" s="488"/>
      <c r="O932" s="488"/>
      <c r="P932" s="488"/>
      <c r="Q932" s="488"/>
      <c r="R932" s="488"/>
      <c r="S932" s="488"/>
      <c r="T932" s="488"/>
      <c r="U932" s="488"/>
      <c r="V932" s="488"/>
      <c r="W932" s="488"/>
      <c r="X932" s="488"/>
      <c r="Y932" s="488"/>
      <c r="Z932" s="488"/>
      <c r="AA932" s="488"/>
      <c r="AB932" s="488"/>
      <c r="AC932" s="488"/>
      <c r="AD932" s="488"/>
      <c r="AE932" s="488"/>
      <c r="AF932" s="488"/>
      <c r="AG932" s="488"/>
      <c r="AH932" s="488"/>
      <c r="AI932" s="488"/>
      <c r="AJ932" s="488"/>
    </row>
    <row r="933" spans="1:36" s="496" customFormat="1">
      <c r="A933" s="488"/>
      <c r="C933" s="488"/>
      <c r="D933" s="488"/>
      <c r="E933" s="488"/>
      <c r="F933" s="488"/>
      <c r="G933" s="488"/>
      <c r="H933" s="488"/>
      <c r="I933" s="488"/>
      <c r="J933" s="488"/>
      <c r="K933" s="488"/>
      <c r="L933" s="488"/>
      <c r="M933" s="488"/>
      <c r="N933" s="488"/>
      <c r="O933" s="488"/>
      <c r="P933" s="488"/>
      <c r="Q933" s="488"/>
      <c r="R933" s="488"/>
      <c r="S933" s="488"/>
      <c r="T933" s="488"/>
      <c r="U933" s="488"/>
      <c r="V933" s="488"/>
      <c r="W933" s="488"/>
      <c r="X933" s="488"/>
      <c r="Y933" s="488"/>
      <c r="Z933" s="488"/>
      <c r="AA933" s="488"/>
      <c r="AB933" s="488"/>
      <c r="AC933" s="488"/>
      <c r="AD933" s="488"/>
      <c r="AE933" s="488"/>
      <c r="AF933" s="488"/>
      <c r="AG933" s="488"/>
      <c r="AH933" s="488"/>
      <c r="AI933" s="488"/>
      <c r="AJ933" s="488"/>
    </row>
    <row r="934" spans="1:36" s="496" customFormat="1">
      <c r="A934" s="488"/>
      <c r="C934" s="488"/>
      <c r="D934" s="488"/>
      <c r="E934" s="488"/>
      <c r="F934" s="488"/>
      <c r="G934" s="488"/>
      <c r="H934" s="488"/>
      <c r="I934" s="488"/>
      <c r="J934" s="488"/>
      <c r="K934" s="488"/>
      <c r="L934" s="488"/>
      <c r="M934" s="488"/>
      <c r="N934" s="488"/>
      <c r="O934" s="488"/>
      <c r="P934" s="488"/>
      <c r="Q934" s="488"/>
      <c r="R934" s="488"/>
      <c r="S934" s="488"/>
      <c r="T934" s="488"/>
      <c r="U934" s="488"/>
      <c r="V934" s="488"/>
      <c r="W934" s="488"/>
      <c r="X934" s="488"/>
      <c r="Y934" s="488"/>
      <c r="Z934" s="488"/>
      <c r="AA934" s="488"/>
      <c r="AB934" s="488"/>
      <c r="AC934" s="488"/>
      <c r="AD934" s="488"/>
      <c r="AE934" s="488"/>
      <c r="AF934" s="488"/>
      <c r="AG934" s="488"/>
      <c r="AH934" s="488"/>
      <c r="AI934" s="488"/>
      <c r="AJ934" s="488"/>
    </row>
    <row r="935" spans="1:36" s="496" customFormat="1">
      <c r="A935" s="488"/>
      <c r="C935" s="488"/>
      <c r="D935" s="488"/>
      <c r="E935" s="488"/>
      <c r="F935" s="488"/>
      <c r="G935" s="488"/>
      <c r="H935" s="488"/>
      <c r="I935" s="488"/>
      <c r="J935" s="488"/>
      <c r="K935" s="488"/>
      <c r="L935" s="488"/>
      <c r="M935" s="488"/>
      <c r="N935" s="488"/>
      <c r="O935" s="488"/>
      <c r="P935" s="488"/>
      <c r="Q935" s="488"/>
      <c r="R935" s="488"/>
      <c r="S935" s="488"/>
      <c r="T935" s="488"/>
      <c r="U935" s="488"/>
      <c r="V935" s="488"/>
      <c r="W935" s="488"/>
      <c r="X935" s="488"/>
      <c r="Y935" s="488"/>
      <c r="Z935" s="488"/>
      <c r="AA935" s="488"/>
      <c r="AB935" s="488"/>
      <c r="AC935" s="488"/>
      <c r="AD935" s="488"/>
      <c r="AE935" s="488"/>
      <c r="AF935" s="488"/>
      <c r="AG935" s="488"/>
      <c r="AH935" s="488"/>
      <c r="AI935" s="488"/>
      <c r="AJ935" s="488"/>
    </row>
    <row r="936" spans="1:36" s="496" customFormat="1">
      <c r="A936" s="488"/>
      <c r="C936" s="488"/>
      <c r="D936" s="488"/>
      <c r="E936" s="488"/>
      <c r="F936" s="488"/>
      <c r="G936" s="488"/>
      <c r="H936" s="488"/>
      <c r="I936" s="488"/>
      <c r="J936" s="488"/>
      <c r="K936" s="488"/>
      <c r="L936" s="488"/>
      <c r="M936" s="488"/>
      <c r="N936" s="488"/>
      <c r="O936" s="488"/>
      <c r="P936" s="488"/>
      <c r="Q936" s="488"/>
      <c r="R936" s="488"/>
      <c r="S936" s="488"/>
      <c r="T936" s="488"/>
      <c r="U936" s="488"/>
      <c r="V936" s="488"/>
      <c r="W936" s="488"/>
      <c r="X936" s="488"/>
      <c r="Y936" s="488"/>
      <c r="Z936" s="488"/>
      <c r="AA936" s="488"/>
      <c r="AB936" s="488"/>
      <c r="AC936" s="488"/>
      <c r="AD936" s="488"/>
      <c r="AE936" s="488"/>
      <c r="AF936" s="488"/>
      <c r="AG936" s="488"/>
      <c r="AH936" s="488"/>
      <c r="AI936" s="488"/>
      <c r="AJ936" s="488"/>
    </row>
    <row r="937" spans="1:36" s="496" customFormat="1">
      <c r="A937" s="488"/>
      <c r="C937" s="488"/>
      <c r="D937" s="488"/>
      <c r="E937" s="488"/>
      <c r="F937" s="488"/>
      <c r="G937" s="488"/>
      <c r="H937" s="488"/>
      <c r="I937" s="488"/>
      <c r="J937" s="488"/>
      <c r="K937" s="488"/>
      <c r="L937" s="488"/>
      <c r="M937" s="488"/>
      <c r="N937" s="488"/>
      <c r="O937" s="488"/>
      <c r="P937" s="488"/>
      <c r="Q937" s="488"/>
      <c r="R937" s="488"/>
      <c r="S937" s="488"/>
      <c r="T937" s="488"/>
      <c r="U937" s="488"/>
      <c r="V937" s="488"/>
      <c r="W937" s="488"/>
      <c r="X937" s="488"/>
      <c r="Y937" s="488"/>
      <c r="Z937" s="488"/>
      <c r="AA937" s="488"/>
      <c r="AB937" s="488"/>
      <c r="AC937" s="488"/>
      <c r="AD937" s="488"/>
      <c r="AE937" s="488"/>
      <c r="AF937" s="488"/>
      <c r="AG937" s="488"/>
      <c r="AH937" s="488"/>
      <c r="AI937" s="488"/>
      <c r="AJ937" s="488"/>
    </row>
    <row r="938" spans="1:36" s="496" customFormat="1">
      <c r="A938" s="488"/>
      <c r="C938" s="488"/>
      <c r="D938" s="488"/>
      <c r="E938" s="488"/>
      <c r="F938" s="488"/>
      <c r="G938" s="488"/>
      <c r="H938" s="488"/>
      <c r="I938" s="488"/>
      <c r="J938" s="488"/>
      <c r="K938" s="488"/>
      <c r="L938" s="488"/>
      <c r="M938" s="488"/>
      <c r="N938" s="488"/>
      <c r="O938" s="488"/>
      <c r="P938" s="488"/>
      <c r="Q938" s="488"/>
      <c r="R938" s="488"/>
      <c r="S938" s="488"/>
      <c r="T938" s="488"/>
      <c r="U938" s="488"/>
      <c r="V938" s="488"/>
      <c r="W938" s="488"/>
      <c r="X938" s="488"/>
      <c r="Y938" s="488"/>
      <c r="Z938" s="488"/>
      <c r="AA938" s="488"/>
      <c r="AB938" s="488"/>
      <c r="AC938" s="488"/>
      <c r="AD938" s="488"/>
      <c r="AE938" s="488"/>
      <c r="AF938" s="488"/>
      <c r="AG938" s="488"/>
      <c r="AH938" s="488"/>
      <c r="AI938" s="488"/>
      <c r="AJ938" s="488"/>
    </row>
    <row r="939" spans="1:36" s="496" customFormat="1">
      <c r="A939" s="488"/>
      <c r="C939" s="488"/>
      <c r="D939" s="488"/>
      <c r="E939" s="488"/>
      <c r="F939" s="488"/>
      <c r="G939" s="488"/>
      <c r="H939" s="488"/>
      <c r="I939" s="488"/>
      <c r="J939" s="488"/>
      <c r="K939" s="488"/>
      <c r="L939" s="488"/>
      <c r="M939" s="488"/>
      <c r="N939" s="488"/>
      <c r="O939" s="488"/>
      <c r="P939" s="488"/>
      <c r="Q939" s="488"/>
      <c r="R939" s="488"/>
      <c r="S939" s="488"/>
      <c r="T939" s="488"/>
      <c r="U939" s="488"/>
      <c r="V939" s="488"/>
      <c r="W939" s="488"/>
      <c r="X939" s="488"/>
      <c r="Y939" s="488"/>
      <c r="Z939" s="488"/>
      <c r="AA939" s="488"/>
      <c r="AB939" s="488"/>
      <c r="AC939" s="488"/>
      <c r="AD939" s="488"/>
      <c r="AE939" s="488"/>
      <c r="AF939" s="488"/>
      <c r="AG939" s="488"/>
      <c r="AH939" s="488"/>
      <c r="AI939" s="488"/>
      <c r="AJ939" s="488"/>
    </row>
    <row r="940" spans="1:36" s="496" customFormat="1">
      <c r="A940" s="488"/>
      <c r="C940" s="488"/>
      <c r="D940" s="488"/>
      <c r="E940" s="488"/>
      <c r="F940" s="488"/>
      <c r="G940" s="488"/>
      <c r="H940" s="488"/>
      <c r="I940" s="488"/>
      <c r="J940" s="488"/>
      <c r="K940" s="488"/>
      <c r="L940" s="488"/>
      <c r="M940" s="488"/>
      <c r="N940" s="488"/>
      <c r="O940" s="488"/>
      <c r="P940" s="488"/>
      <c r="Q940" s="488"/>
      <c r="R940" s="488"/>
      <c r="S940" s="488"/>
      <c r="T940" s="488"/>
      <c r="U940" s="488"/>
      <c r="V940" s="488"/>
      <c r="W940" s="488"/>
      <c r="X940" s="488"/>
      <c r="Y940" s="488"/>
      <c r="Z940" s="488"/>
      <c r="AA940" s="488"/>
      <c r="AB940" s="488"/>
      <c r="AC940" s="488"/>
      <c r="AD940" s="488"/>
      <c r="AE940" s="488"/>
      <c r="AF940" s="488"/>
      <c r="AG940" s="488"/>
      <c r="AH940" s="488"/>
      <c r="AI940" s="488"/>
      <c r="AJ940" s="488"/>
    </row>
    <row r="941" spans="1:36" s="496" customFormat="1">
      <c r="A941" s="488"/>
      <c r="C941" s="488"/>
      <c r="D941" s="488"/>
      <c r="E941" s="488"/>
      <c r="F941" s="488"/>
      <c r="G941" s="488"/>
      <c r="H941" s="488"/>
      <c r="I941" s="488"/>
      <c r="J941" s="488"/>
      <c r="K941" s="488"/>
      <c r="L941" s="488"/>
      <c r="M941" s="488"/>
      <c r="N941" s="488"/>
      <c r="O941" s="488"/>
      <c r="P941" s="488"/>
      <c r="Q941" s="488"/>
      <c r="R941" s="488"/>
      <c r="S941" s="488"/>
      <c r="T941" s="488"/>
      <c r="U941" s="488"/>
      <c r="V941" s="488"/>
      <c r="W941" s="488"/>
      <c r="X941" s="488"/>
      <c r="Y941" s="488"/>
      <c r="Z941" s="488"/>
      <c r="AA941" s="488"/>
      <c r="AB941" s="488"/>
      <c r="AC941" s="488"/>
      <c r="AD941" s="488"/>
      <c r="AE941" s="488"/>
      <c r="AF941" s="488"/>
      <c r="AG941" s="488"/>
      <c r="AH941" s="488"/>
      <c r="AI941" s="488"/>
      <c r="AJ941" s="488"/>
    </row>
    <row r="942" spans="1:36" s="496" customFormat="1">
      <c r="A942" s="488"/>
      <c r="C942" s="488"/>
      <c r="D942" s="488"/>
      <c r="E942" s="488"/>
      <c r="F942" s="488"/>
      <c r="G942" s="488"/>
      <c r="H942" s="488"/>
      <c r="I942" s="488"/>
      <c r="J942" s="488"/>
      <c r="K942" s="488"/>
      <c r="L942" s="488"/>
      <c r="M942" s="488"/>
      <c r="N942" s="488"/>
      <c r="O942" s="488"/>
      <c r="P942" s="488"/>
      <c r="Q942" s="488"/>
      <c r="R942" s="488"/>
      <c r="S942" s="488"/>
      <c r="T942" s="488"/>
      <c r="U942" s="488"/>
      <c r="V942" s="488"/>
      <c r="W942" s="488"/>
      <c r="X942" s="488"/>
      <c r="Y942" s="488"/>
      <c r="Z942" s="488"/>
      <c r="AA942" s="488"/>
      <c r="AB942" s="488"/>
      <c r="AC942" s="488"/>
      <c r="AD942" s="488"/>
      <c r="AE942" s="488"/>
      <c r="AF942" s="488"/>
      <c r="AG942" s="488"/>
      <c r="AH942" s="488"/>
      <c r="AI942" s="488"/>
      <c r="AJ942" s="488"/>
    </row>
    <row r="943" spans="1:36" s="496" customFormat="1">
      <c r="A943" s="488"/>
      <c r="C943" s="488"/>
      <c r="D943" s="488"/>
      <c r="E943" s="488"/>
      <c r="F943" s="488"/>
      <c r="G943" s="488"/>
      <c r="H943" s="488"/>
      <c r="I943" s="488"/>
      <c r="J943" s="488"/>
      <c r="K943" s="488"/>
      <c r="L943" s="488"/>
      <c r="M943" s="488"/>
      <c r="N943" s="488"/>
      <c r="O943" s="488"/>
      <c r="P943" s="488"/>
      <c r="Q943" s="488"/>
      <c r="R943" s="488"/>
      <c r="S943" s="488"/>
      <c r="T943" s="488"/>
      <c r="U943" s="488"/>
      <c r="V943" s="488"/>
      <c r="W943" s="488"/>
      <c r="X943" s="488"/>
      <c r="Y943" s="488"/>
      <c r="Z943" s="488"/>
      <c r="AA943" s="488"/>
      <c r="AB943" s="488"/>
      <c r="AC943" s="488"/>
      <c r="AD943" s="488"/>
      <c r="AE943" s="488"/>
      <c r="AF943" s="488"/>
      <c r="AG943" s="488"/>
      <c r="AH943" s="488"/>
      <c r="AI943" s="488"/>
      <c r="AJ943" s="488"/>
    </row>
    <row r="944" spans="1:36" s="496" customFormat="1">
      <c r="A944" s="488"/>
      <c r="C944" s="488"/>
      <c r="D944" s="488"/>
      <c r="E944" s="488"/>
      <c r="F944" s="488"/>
      <c r="G944" s="488"/>
      <c r="H944" s="488"/>
      <c r="I944" s="488"/>
      <c r="J944" s="488"/>
      <c r="K944" s="488"/>
      <c r="L944" s="488"/>
      <c r="M944" s="488"/>
      <c r="N944" s="488"/>
      <c r="O944" s="488"/>
      <c r="P944" s="488"/>
      <c r="Q944" s="488"/>
      <c r="R944" s="488"/>
      <c r="S944" s="488"/>
      <c r="T944" s="488"/>
      <c r="U944" s="488"/>
      <c r="V944" s="488"/>
      <c r="W944" s="488"/>
      <c r="X944" s="488"/>
      <c r="Y944" s="488"/>
      <c r="Z944" s="488"/>
      <c r="AA944" s="488"/>
      <c r="AB944" s="488"/>
      <c r="AC944" s="488"/>
      <c r="AD944" s="488"/>
      <c r="AE944" s="488"/>
      <c r="AF944" s="488"/>
      <c r="AG944" s="488"/>
      <c r="AH944" s="488"/>
      <c r="AI944" s="488"/>
      <c r="AJ944" s="488"/>
    </row>
    <row r="945" spans="1:36" s="496" customFormat="1">
      <c r="A945" s="488"/>
      <c r="C945" s="488"/>
      <c r="D945" s="488"/>
      <c r="E945" s="488"/>
      <c r="F945" s="488"/>
      <c r="G945" s="488"/>
      <c r="H945" s="488"/>
      <c r="I945" s="488"/>
      <c r="J945" s="488"/>
      <c r="K945" s="488"/>
      <c r="L945" s="488"/>
      <c r="M945" s="488"/>
      <c r="N945" s="488"/>
      <c r="O945" s="488"/>
      <c r="P945" s="488"/>
      <c r="Q945" s="488"/>
      <c r="R945" s="488"/>
      <c r="S945" s="488"/>
      <c r="T945" s="488"/>
      <c r="U945" s="488"/>
      <c r="V945" s="488"/>
      <c r="W945" s="488"/>
      <c r="X945" s="488"/>
      <c r="Y945" s="488"/>
      <c r="Z945" s="488"/>
      <c r="AA945" s="488"/>
      <c r="AB945" s="488"/>
      <c r="AC945" s="488"/>
      <c r="AD945" s="488"/>
      <c r="AE945" s="488"/>
      <c r="AF945" s="488"/>
      <c r="AG945" s="488"/>
      <c r="AH945" s="488"/>
      <c r="AI945" s="488"/>
      <c r="AJ945" s="488"/>
    </row>
    <row r="946" spans="1:36" s="496" customFormat="1">
      <c r="A946" s="488"/>
      <c r="C946" s="488"/>
      <c r="D946" s="488"/>
      <c r="E946" s="488"/>
      <c r="F946" s="488"/>
      <c r="G946" s="488"/>
      <c r="H946" s="488"/>
      <c r="I946" s="488"/>
      <c r="J946" s="488"/>
      <c r="K946" s="488"/>
      <c r="L946" s="488"/>
      <c r="M946" s="488"/>
      <c r="N946" s="488"/>
      <c r="O946" s="488"/>
      <c r="P946" s="488"/>
      <c r="Q946" s="488"/>
      <c r="R946" s="488"/>
      <c r="S946" s="488"/>
      <c r="T946" s="488"/>
      <c r="U946" s="488"/>
      <c r="V946" s="488"/>
      <c r="W946" s="488"/>
      <c r="X946" s="488"/>
      <c r="Y946" s="488"/>
      <c r="Z946" s="488"/>
      <c r="AA946" s="488"/>
      <c r="AB946" s="488"/>
      <c r="AC946" s="488"/>
      <c r="AD946" s="488"/>
      <c r="AE946" s="488"/>
      <c r="AF946" s="488"/>
      <c r="AG946" s="488"/>
      <c r="AH946" s="488"/>
      <c r="AI946" s="488"/>
      <c r="AJ946" s="488"/>
    </row>
    <row r="947" spans="1:36" s="496" customFormat="1">
      <c r="A947" s="488"/>
      <c r="C947" s="488"/>
      <c r="D947" s="488"/>
      <c r="E947" s="488"/>
      <c r="F947" s="488"/>
      <c r="G947" s="488"/>
      <c r="H947" s="488"/>
      <c r="I947" s="488"/>
      <c r="J947" s="488"/>
      <c r="K947" s="488"/>
      <c r="L947" s="488"/>
      <c r="M947" s="488"/>
      <c r="N947" s="488"/>
      <c r="O947" s="488"/>
      <c r="P947" s="488"/>
      <c r="Q947" s="488"/>
      <c r="R947" s="488"/>
      <c r="S947" s="488"/>
      <c r="T947" s="488"/>
      <c r="U947" s="488"/>
      <c r="V947" s="488"/>
      <c r="W947" s="488"/>
      <c r="X947" s="488"/>
      <c r="Y947" s="488"/>
      <c r="Z947" s="488"/>
      <c r="AA947" s="488"/>
      <c r="AB947" s="488"/>
      <c r="AC947" s="488"/>
      <c r="AD947" s="488"/>
      <c r="AE947" s="488"/>
      <c r="AF947" s="488"/>
      <c r="AG947" s="488"/>
      <c r="AH947" s="488"/>
      <c r="AI947" s="488"/>
      <c r="AJ947" s="488"/>
    </row>
    <row r="948" spans="1:36" s="496" customFormat="1">
      <c r="A948" s="488"/>
      <c r="C948" s="488"/>
      <c r="D948" s="488"/>
      <c r="E948" s="488"/>
      <c r="F948" s="488"/>
      <c r="G948" s="488"/>
      <c r="H948" s="488"/>
      <c r="I948" s="488"/>
      <c r="J948" s="488"/>
      <c r="K948" s="488"/>
      <c r="L948" s="488"/>
      <c r="M948" s="488"/>
      <c r="N948" s="488"/>
      <c r="O948" s="488"/>
      <c r="P948" s="488"/>
      <c r="Q948" s="488"/>
      <c r="R948" s="488"/>
      <c r="S948" s="488"/>
      <c r="T948" s="488"/>
      <c r="U948" s="488"/>
      <c r="V948" s="488"/>
      <c r="W948" s="488"/>
      <c r="X948" s="488"/>
      <c r="Y948" s="488"/>
      <c r="Z948" s="488"/>
      <c r="AA948" s="488"/>
      <c r="AB948" s="488"/>
      <c r="AC948" s="488"/>
      <c r="AD948" s="488"/>
      <c r="AE948" s="488"/>
      <c r="AF948" s="488"/>
      <c r="AG948" s="488"/>
      <c r="AH948" s="488"/>
      <c r="AI948" s="488"/>
      <c r="AJ948" s="488"/>
    </row>
    <row r="949" spans="1:36" s="496" customFormat="1">
      <c r="A949" s="488"/>
      <c r="C949" s="488"/>
      <c r="D949" s="488"/>
      <c r="E949" s="488"/>
      <c r="F949" s="488"/>
      <c r="G949" s="488"/>
      <c r="H949" s="488"/>
      <c r="I949" s="488"/>
      <c r="J949" s="488"/>
      <c r="K949" s="488"/>
      <c r="L949" s="488"/>
      <c r="M949" s="488"/>
      <c r="N949" s="488"/>
      <c r="O949" s="488"/>
      <c r="P949" s="488"/>
      <c r="Q949" s="488"/>
      <c r="R949" s="488"/>
      <c r="S949" s="488"/>
      <c r="T949" s="488"/>
      <c r="U949" s="488"/>
      <c r="V949" s="488"/>
      <c r="W949" s="488"/>
      <c r="X949" s="488"/>
      <c r="Y949" s="488"/>
      <c r="Z949" s="488"/>
      <c r="AA949" s="488"/>
      <c r="AB949" s="488"/>
      <c r="AC949" s="488"/>
      <c r="AD949" s="488"/>
      <c r="AE949" s="488"/>
      <c r="AF949" s="488"/>
      <c r="AG949" s="488"/>
      <c r="AH949" s="488"/>
      <c r="AI949" s="488"/>
      <c r="AJ949" s="488"/>
    </row>
    <row r="950" spans="1:36" s="496" customFormat="1">
      <c r="A950" s="488"/>
      <c r="C950" s="488"/>
      <c r="D950" s="488"/>
      <c r="E950" s="488"/>
      <c r="F950" s="488"/>
      <c r="G950" s="488"/>
      <c r="H950" s="488"/>
      <c r="I950" s="488"/>
      <c r="J950" s="488"/>
      <c r="K950" s="488"/>
      <c r="L950" s="488"/>
      <c r="M950" s="488"/>
      <c r="N950" s="488"/>
      <c r="O950" s="488"/>
      <c r="P950" s="488"/>
      <c r="Q950" s="488"/>
      <c r="R950" s="488"/>
      <c r="S950" s="488"/>
      <c r="T950" s="488"/>
      <c r="U950" s="488"/>
      <c r="V950" s="488"/>
      <c r="W950" s="488"/>
      <c r="X950" s="488"/>
      <c r="Y950" s="488"/>
      <c r="Z950" s="488"/>
      <c r="AA950" s="488"/>
      <c r="AB950" s="488"/>
      <c r="AC950" s="488"/>
      <c r="AD950" s="488"/>
      <c r="AE950" s="488"/>
      <c r="AF950" s="488"/>
      <c r="AG950" s="488"/>
      <c r="AH950" s="488"/>
      <c r="AI950" s="488"/>
      <c r="AJ950" s="488"/>
    </row>
    <row r="951" spans="1:36" s="496" customFormat="1">
      <c r="A951" s="488"/>
      <c r="C951" s="488"/>
      <c r="D951" s="488"/>
      <c r="E951" s="488"/>
      <c r="F951" s="488"/>
      <c r="G951" s="488"/>
      <c r="H951" s="488"/>
      <c r="I951" s="488"/>
      <c r="J951" s="488"/>
      <c r="K951" s="488"/>
      <c r="L951" s="488"/>
      <c r="M951" s="488"/>
      <c r="N951" s="488"/>
      <c r="O951" s="488"/>
      <c r="P951" s="488"/>
      <c r="Q951" s="488"/>
      <c r="R951" s="488"/>
      <c r="S951" s="488"/>
      <c r="T951" s="488"/>
      <c r="U951" s="488"/>
      <c r="V951" s="488"/>
      <c r="W951" s="488"/>
      <c r="X951" s="488"/>
      <c r="Y951" s="488"/>
      <c r="Z951" s="488"/>
      <c r="AA951" s="488"/>
      <c r="AB951" s="488"/>
      <c r="AC951" s="488"/>
      <c r="AD951" s="488"/>
      <c r="AE951" s="488"/>
      <c r="AF951" s="488"/>
      <c r="AG951" s="488"/>
      <c r="AH951" s="488"/>
      <c r="AI951" s="488"/>
      <c r="AJ951" s="488"/>
    </row>
    <row r="952" spans="1:36" s="496" customFormat="1">
      <c r="A952" s="488"/>
      <c r="C952" s="488"/>
      <c r="D952" s="488"/>
      <c r="E952" s="488"/>
      <c r="F952" s="488"/>
      <c r="G952" s="488"/>
      <c r="H952" s="488"/>
      <c r="I952" s="488"/>
      <c r="J952" s="488"/>
      <c r="K952" s="488"/>
      <c r="L952" s="488"/>
      <c r="M952" s="488"/>
      <c r="N952" s="488"/>
      <c r="O952" s="488"/>
      <c r="P952" s="488"/>
      <c r="Q952" s="488"/>
      <c r="R952" s="488"/>
      <c r="S952" s="488"/>
      <c r="T952" s="488"/>
      <c r="U952" s="488"/>
      <c r="V952" s="488"/>
      <c r="W952" s="488"/>
      <c r="X952" s="488"/>
      <c r="Y952" s="488"/>
      <c r="Z952" s="488"/>
      <c r="AA952" s="488"/>
      <c r="AB952" s="488"/>
      <c r="AC952" s="488"/>
      <c r="AD952" s="488"/>
      <c r="AE952" s="488"/>
      <c r="AF952" s="488"/>
      <c r="AG952" s="488"/>
      <c r="AH952" s="488"/>
      <c r="AI952" s="488"/>
      <c r="AJ952" s="488"/>
    </row>
    <row r="953" spans="1:36" s="496" customFormat="1">
      <c r="A953" s="488"/>
      <c r="C953" s="488"/>
      <c r="D953" s="488"/>
      <c r="E953" s="488"/>
      <c r="F953" s="488"/>
      <c r="G953" s="488"/>
      <c r="H953" s="488"/>
      <c r="I953" s="488"/>
      <c r="J953" s="488"/>
      <c r="K953" s="488"/>
      <c r="L953" s="488"/>
      <c r="M953" s="488"/>
      <c r="N953" s="488"/>
      <c r="O953" s="488"/>
      <c r="P953" s="488"/>
      <c r="Q953" s="488"/>
      <c r="R953" s="488"/>
      <c r="S953" s="488"/>
      <c r="T953" s="488"/>
      <c r="U953" s="488"/>
      <c r="V953" s="488"/>
      <c r="W953" s="488"/>
      <c r="X953" s="488"/>
      <c r="Y953" s="488"/>
      <c r="Z953" s="488"/>
      <c r="AA953" s="488"/>
      <c r="AB953" s="488"/>
      <c r="AC953" s="488"/>
      <c r="AD953" s="488"/>
      <c r="AE953" s="488"/>
      <c r="AF953" s="488"/>
      <c r="AG953" s="488"/>
      <c r="AH953" s="488"/>
      <c r="AI953" s="488"/>
      <c r="AJ953" s="488"/>
    </row>
    <row r="954" spans="1:36" s="496" customFormat="1">
      <c r="A954" s="488"/>
      <c r="C954" s="488"/>
      <c r="D954" s="488"/>
      <c r="E954" s="488"/>
      <c r="F954" s="488"/>
      <c r="G954" s="488"/>
      <c r="H954" s="488"/>
      <c r="I954" s="488"/>
      <c r="J954" s="488"/>
      <c r="K954" s="488"/>
      <c r="L954" s="488"/>
      <c r="M954" s="488"/>
      <c r="N954" s="488"/>
      <c r="O954" s="488"/>
      <c r="P954" s="488"/>
      <c r="Q954" s="488"/>
      <c r="R954" s="488"/>
      <c r="S954" s="488"/>
      <c r="T954" s="488"/>
      <c r="U954" s="488"/>
      <c r="V954" s="488"/>
      <c r="W954" s="488"/>
      <c r="X954" s="488"/>
      <c r="Y954" s="488"/>
      <c r="Z954" s="488"/>
      <c r="AA954" s="488"/>
      <c r="AB954" s="488"/>
      <c r="AC954" s="488"/>
      <c r="AD954" s="488"/>
      <c r="AE954" s="488"/>
      <c r="AF954" s="488"/>
      <c r="AG954" s="488"/>
      <c r="AH954" s="488"/>
      <c r="AI954" s="488"/>
      <c r="AJ954" s="488"/>
    </row>
    <row r="955" spans="1:36" s="496" customFormat="1">
      <c r="A955" s="488"/>
      <c r="C955" s="488"/>
      <c r="D955" s="488"/>
      <c r="E955" s="488"/>
      <c r="F955" s="488"/>
      <c r="G955" s="488"/>
      <c r="H955" s="488"/>
      <c r="I955" s="488"/>
      <c r="J955" s="488"/>
      <c r="K955" s="488"/>
      <c r="L955" s="488"/>
      <c r="M955" s="488"/>
      <c r="N955" s="488"/>
      <c r="O955" s="488"/>
      <c r="P955" s="488"/>
      <c r="Q955" s="488"/>
      <c r="R955" s="488"/>
      <c r="S955" s="488"/>
      <c r="T955" s="488"/>
      <c r="U955" s="488"/>
      <c r="V955" s="488"/>
      <c r="W955" s="488"/>
      <c r="X955" s="488"/>
      <c r="Y955" s="488"/>
      <c r="Z955" s="488"/>
      <c r="AA955" s="488"/>
      <c r="AB955" s="488"/>
      <c r="AC955" s="488"/>
      <c r="AD955" s="488"/>
      <c r="AE955" s="488"/>
      <c r="AF955" s="488"/>
      <c r="AG955" s="488"/>
      <c r="AH955" s="488"/>
      <c r="AI955" s="488"/>
      <c r="AJ955" s="488"/>
    </row>
    <row r="956" spans="1:36" s="496" customFormat="1">
      <c r="A956" s="488"/>
      <c r="C956" s="488"/>
      <c r="D956" s="488"/>
      <c r="E956" s="488"/>
      <c r="F956" s="488"/>
      <c r="G956" s="488"/>
      <c r="H956" s="488"/>
      <c r="I956" s="488"/>
      <c r="J956" s="488"/>
      <c r="K956" s="488"/>
      <c r="L956" s="488"/>
      <c r="M956" s="488"/>
      <c r="N956" s="488"/>
      <c r="O956" s="488"/>
      <c r="P956" s="488"/>
      <c r="Q956" s="488"/>
      <c r="R956" s="488"/>
      <c r="S956" s="488"/>
      <c r="T956" s="488"/>
      <c r="U956" s="488"/>
      <c r="V956" s="488"/>
      <c r="W956" s="488"/>
      <c r="X956" s="488"/>
      <c r="Y956" s="488"/>
      <c r="Z956" s="488"/>
      <c r="AA956" s="488"/>
      <c r="AB956" s="488"/>
      <c r="AC956" s="488"/>
      <c r="AD956" s="488"/>
      <c r="AE956" s="488"/>
      <c r="AF956" s="488"/>
      <c r="AG956" s="488"/>
      <c r="AH956" s="488"/>
      <c r="AI956" s="488"/>
      <c r="AJ956" s="488"/>
    </row>
    <row r="957" spans="1:36" s="496" customFormat="1">
      <c r="A957" s="488"/>
      <c r="C957" s="488"/>
      <c r="D957" s="488"/>
      <c r="E957" s="488"/>
      <c r="F957" s="488"/>
      <c r="G957" s="488"/>
      <c r="H957" s="488"/>
      <c r="I957" s="488"/>
      <c r="J957" s="488"/>
      <c r="K957" s="488"/>
      <c r="L957" s="488"/>
      <c r="M957" s="488"/>
      <c r="N957" s="488"/>
      <c r="O957" s="488"/>
      <c r="P957" s="488"/>
      <c r="Q957" s="488"/>
      <c r="R957" s="488"/>
      <c r="S957" s="488"/>
      <c r="T957" s="488"/>
      <c r="U957" s="488"/>
      <c r="V957" s="488"/>
      <c r="W957" s="488"/>
      <c r="X957" s="488"/>
      <c r="Y957" s="488"/>
      <c r="Z957" s="488"/>
      <c r="AA957" s="488"/>
      <c r="AB957" s="488"/>
      <c r="AC957" s="488"/>
      <c r="AD957" s="488"/>
      <c r="AE957" s="488"/>
      <c r="AF957" s="488"/>
      <c r="AG957" s="488"/>
      <c r="AH957" s="488"/>
      <c r="AI957" s="488"/>
      <c r="AJ957" s="488"/>
    </row>
    <row r="958" spans="1:36" s="496" customFormat="1">
      <c r="A958" s="488"/>
      <c r="C958" s="488"/>
      <c r="D958" s="488"/>
      <c r="E958" s="488"/>
      <c r="F958" s="488"/>
      <c r="G958" s="488"/>
      <c r="H958" s="488"/>
      <c r="I958" s="488"/>
      <c r="J958" s="488"/>
      <c r="K958" s="488"/>
      <c r="L958" s="488"/>
      <c r="M958" s="488"/>
      <c r="N958" s="488"/>
      <c r="O958" s="488"/>
      <c r="P958" s="488"/>
      <c r="Q958" s="488"/>
      <c r="R958" s="488"/>
      <c r="S958" s="488"/>
      <c r="T958" s="488"/>
      <c r="U958" s="488"/>
      <c r="V958" s="488"/>
      <c r="W958" s="488"/>
      <c r="X958" s="488"/>
      <c r="Y958" s="488"/>
      <c r="Z958" s="488"/>
      <c r="AA958" s="488"/>
      <c r="AB958" s="488"/>
      <c r="AC958" s="488"/>
      <c r="AD958" s="488"/>
      <c r="AE958" s="488"/>
      <c r="AF958" s="488"/>
      <c r="AG958" s="488"/>
      <c r="AH958" s="488"/>
      <c r="AI958" s="488"/>
      <c r="AJ958" s="488"/>
    </row>
    <row r="959" spans="1:36" s="496" customFormat="1">
      <c r="A959" s="488"/>
      <c r="C959" s="488"/>
      <c r="D959" s="488"/>
      <c r="E959" s="488"/>
      <c r="F959" s="488"/>
      <c r="G959" s="488"/>
      <c r="H959" s="488"/>
      <c r="I959" s="488"/>
      <c r="J959" s="488"/>
      <c r="K959" s="488"/>
      <c r="L959" s="488"/>
      <c r="M959" s="488"/>
      <c r="N959" s="488"/>
      <c r="O959" s="488"/>
      <c r="P959" s="488"/>
      <c r="Q959" s="488"/>
      <c r="R959" s="488"/>
      <c r="S959" s="488"/>
      <c r="T959" s="488"/>
      <c r="U959" s="488"/>
      <c r="V959" s="488"/>
      <c r="W959" s="488"/>
      <c r="X959" s="488"/>
      <c r="Y959" s="488"/>
      <c r="Z959" s="488"/>
      <c r="AA959" s="488"/>
      <c r="AB959" s="488"/>
      <c r="AC959" s="488"/>
      <c r="AD959" s="488"/>
      <c r="AE959" s="488"/>
      <c r="AF959" s="488"/>
      <c r="AG959" s="488"/>
      <c r="AH959" s="488"/>
      <c r="AI959" s="488"/>
      <c r="AJ959" s="488"/>
    </row>
    <row r="960" spans="1:36" s="496" customFormat="1">
      <c r="A960" s="488"/>
      <c r="C960" s="488"/>
      <c r="D960" s="488"/>
      <c r="E960" s="488"/>
      <c r="F960" s="488"/>
      <c r="G960" s="488"/>
      <c r="H960" s="488"/>
      <c r="I960" s="488"/>
      <c r="J960" s="488"/>
      <c r="K960" s="488"/>
      <c r="L960" s="488"/>
      <c r="M960" s="488"/>
      <c r="N960" s="488"/>
      <c r="O960" s="488"/>
      <c r="P960" s="488"/>
      <c r="Q960" s="488"/>
      <c r="R960" s="488"/>
      <c r="S960" s="488"/>
      <c r="T960" s="488"/>
      <c r="U960" s="488"/>
      <c r="V960" s="488"/>
      <c r="W960" s="488"/>
      <c r="X960" s="488"/>
      <c r="Y960" s="488"/>
      <c r="Z960" s="488"/>
      <c r="AA960" s="488"/>
      <c r="AB960" s="488"/>
      <c r="AC960" s="488"/>
      <c r="AD960" s="488"/>
      <c r="AE960" s="488"/>
      <c r="AF960" s="488"/>
      <c r="AG960" s="488"/>
      <c r="AH960" s="488"/>
      <c r="AI960" s="488"/>
      <c r="AJ960" s="488"/>
    </row>
    <row r="961" spans="1:36" s="496" customFormat="1">
      <c r="A961" s="488"/>
      <c r="C961" s="488"/>
      <c r="D961" s="488"/>
      <c r="E961" s="488"/>
      <c r="F961" s="488"/>
      <c r="G961" s="488"/>
      <c r="H961" s="488"/>
      <c r="I961" s="488"/>
      <c r="J961" s="488"/>
      <c r="K961" s="488"/>
      <c r="L961" s="488"/>
      <c r="M961" s="488"/>
      <c r="N961" s="488"/>
      <c r="O961" s="488"/>
      <c r="P961" s="488"/>
      <c r="Q961" s="488"/>
      <c r="R961" s="488"/>
      <c r="S961" s="488"/>
      <c r="T961" s="488"/>
      <c r="U961" s="488"/>
      <c r="V961" s="488"/>
      <c r="W961" s="488"/>
      <c r="X961" s="488"/>
      <c r="Y961" s="488"/>
      <c r="Z961" s="488"/>
      <c r="AA961" s="488"/>
      <c r="AB961" s="488"/>
      <c r="AC961" s="488"/>
      <c r="AD961" s="488"/>
      <c r="AE961" s="488"/>
      <c r="AF961" s="488"/>
      <c r="AG961" s="488"/>
      <c r="AH961" s="488"/>
      <c r="AI961" s="488"/>
      <c r="AJ961" s="488"/>
    </row>
    <row r="962" spans="1:36" s="496" customFormat="1">
      <c r="A962" s="488"/>
      <c r="C962" s="488"/>
      <c r="D962" s="488"/>
      <c r="E962" s="488"/>
      <c r="F962" s="488"/>
      <c r="G962" s="488"/>
      <c r="H962" s="488"/>
      <c r="I962" s="488"/>
      <c r="J962" s="488"/>
      <c r="K962" s="488"/>
      <c r="L962" s="488"/>
      <c r="M962" s="488"/>
      <c r="N962" s="488"/>
      <c r="O962" s="488"/>
      <c r="P962" s="488"/>
      <c r="Q962" s="488"/>
      <c r="R962" s="488"/>
      <c r="S962" s="488"/>
      <c r="T962" s="488"/>
      <c r="U962" s="488"/>
      <c r="V962" s="488"/>
      <c r="W962" s="488"/>
      <c r="X962" s="488"/>
      <c r="Y962" s="488"/>
      <c r="Z962" s="488"/>
      <c r="AA962" s="488"/>
      <c r="AB962" s="488"/>
      <c r="AC962" s="488"/>
      <c r="AD962" s="488"/>
      <c r="AE962" s="488"/>
      <c r="AF962" s="488"/>
      <c r="AG962" s="488"/>
      <c r="AH962" s="488"/>
      <c r="AI962" s="488"/>
      <c r="AJ962" s="488"/>
    </row>
    <row r="963" spans="1:36" s="496" customFormat="1">
      <c r="A963" s="488"/>
      <c r="C963" s="488"/>
      <c r="D963" s="488"/>
      <c r="E963" s="488"/>
      <c r="F963" s="488"/>
      <c r="G963" s="488"/>
      <c r="H963" s="488"/>
      <c r="I963" s="488"/>
      <c r="J963" s="488"/>
      <c r="K963" s="488"/>
      <c r="L963" s="488"/>
      <c r="M963" s="488"/>
      <c r="N963" s="488"/>
      <c r="O963" s="488"/>
      <c r="P963" s="488"/>
      <c r="Q963" s="488"/>
      <c r="R963" s="488"/>
      <c r="S963" s="488"/>
      <c r="T963" s="488"/>
      <c r="U963" s="488"/>
      <c r="V963" s="488"/>
      <c r="W963" s="488"/>
      <c r="X963" s="488"/>
      <c r="Y963" s="488"/>
      <c r="Z963" s="488"/>
      <c r="AA963" s="488"/>
      <c r="AB963" s="488"/>
      <c r="AC963" s="488"/>
      <c r="AD963" s="488"/>
      <c r="AE963" s="488"/>
      <c r="AF963" s="488"/>
      <c r="AG963" s="488"/>
      <c r="AH963" s="488"/>
      <c r="AI963" s="488"/>
      <c r="AJ963" s="488"/>
    </row>
    <row r="964" spans="1:36" s="496" customFormat="1">
      <c r="A964" s="488"/>
      <c r="C964" s="488"/>
      <c r="D964" s="488"/>
      <c r="E964" s="488"/>
      <c r="F964" s="488"/>
      <c r="G964" s="488"/>
      <c r="H964" s="488"/>
      <c r="I964" s="488"/>
      <c r="J964" s="488"/>
      <c r="K964" s="488"/>
      <c r="L964" s="488"/>
      <c r="M964" s="488"/>
      <c r="N964" s="488"/>
      <c r="O964" s="488"/>
      <c r="P964" s="488"/>
      <c r="Q964" s="488"/>
      <c r="R964" s="488"/>
      <c r="S964" s="488"/>
      <c r="T964" s="488"/>
      <c r="U964" s="488"/>
      <c r="V964" s="488"/>
      <c r="W964" s="488"/>
      <c r="X964" s="488"/>
      <c r="Y964" s="488"/>
      <c r="Z964" s="488"/>
      <c r="AA964" s="488"/>
      <c r="AB964" s="488"/>
      <c r="AC964" s="488"/>
      <c r="AD964" s="488"/>
      <c r="AE964" s="488"/>
      <c r="AF964" s="488"/>
      <c r="AG964" s="488"/>
      <c r="AH964" s="488"/>
      <c r="AI964" s="488"/>
      <c r="AJ964" s="488"/>
    </row>
    <row r="965" spans="1:36" s="496" customFormat="1">
      <c r="A965" s="488"/>
      <c r="C965" s="488"/>
      <c r="D965" s="488"/>
      <c r="E965" s="488"/>
      <c r="F965" s="488"/>
      <c r="G965" s="488"/>
      <c r="H965" s="488"/>
      <c r="I965" s="488"/>
      <c r="J965" s="488"/>
      <c r="K965" s="488"/>
      <c r="L965" s="488"/>
      <c r="M965" s="488"/>
      <c r="N965" s="488"/>
      <c r="O965" s="488"/>
      <c r="P965" s="488"/>
      <c r="Q965" s="488"/>
      <c r="R965" s="488"/>
      <c r="S965" s="488"/>
      <c r="T965" s="488"/>
      <c r="U965" s="488"/>
      <c r="V965" s="488"/>
      <c r="W965" s="488"/>
      <c r="X965" s="488"/>
      <c r="Y965" s="488"/>
      <c r="Z965" s="488"/>
      <c r="AA965" s="488"/>
      <c r="AB965" s="488"/>
      <c r="AC965" s="488"/>
      <c r="AD965" s="488"/>
      <c r="AE965" s="488"/>
      <c r="AF965" s="488"/>
      <c r="AG965" s="488"/>
      <c r="AH965" s="488"/>
      <c r="AI965" s="488"/>
      <c r="AJ965" s="488"/>
    </row>
    <row r="966" spans="1:36" s="496" customFormat="1">
      <c r="A966" s="488"/>
      <c r="C966" s="488"/>
      <c r="D966" s="488"/>
      <c r="E966" s="488"/>
      <c r="F966" s="488"/>
      <c r="G966" s="488"/>
      <c r="H966" s="488"/>
      <c r="I966" s="488"/>
      <c r="J966" s="488"/>
      <c r="K966" s="488"/>
      <c r="L966" s="488"/>
      <c r="M966" s="488"/>
      <c r="N966" s="488"/>
      <c r="O966" s="488"/>
      <c r="P966" s="488"/>
      <c r="Q966" s="488"/>
      <c r="R966" s="488"/>
      <c r="S966" s="488"/>
      <c r="T966" s="488"/>
      <c r="U966" s="488"/>
      <c r="V966" s="488"/>
      <c r="W966" s="488"/>
      <c r="X966" s="488"/>
      <c r="Y966" s="488"/>
      <c r="Z966" s="488"/>
      <c r="AA966" s="488"/>
      <c r="AB966" s="488"/>
      <c r="AC966" s="488"/>
      <c r="AD966" s="488"/>
      <c r="AE966" s="488"/>
      <c r="AF966" s="488"/>
      <c r="AG966" s="488"/>
      <c r="AH966" s="488"/>
      <c r="AI966" s="488"/>
      <c r="AJ966" s="488"/>
    </row>
    <row r="967" spans="1:36" s="496" customFormat="1">
      <c r="A967" s="488"/>
      <c r="C967" s="488"/>
      <c r="D967" s="488"/>
      <c r="E967" s="488"/>
      <c r="F967" s="488"/>
      <c r="G967" s="488"/>
      <c r="H967" s="488"/>
      <c r="I967" s="488"/>
      <c r="J967" s="488"/>
      <c r="K967" s="488"/>
      <c r="L967" s="488"/>
      <c r="M967" s="488"/>
      <c r="N967" s="488"/>
      <c r="O967" s="488"/>
      <c r="P967" s="488"/>
      <c r="Q967" s="488"/>
      <c r="R967" s="488"/>
      <c r="S967" s="488"/>
      <c r="T967" s="488"/>
      <c r="U967" s="488"/>
      <c r="V967" s="488"/>
      <c r="W967" s="488"/>
      <c r="X967" s="488"/>
      <c r="Y967" s="488"/>
      <c r="Z967" s="488"/>
      <c r="AA967" s="488"/>
      <c r="AB967" s="488"/>
      <c r="AC967" s="488"/>
      <c r="AD967" s="488"/>
      <c r="AE967" s="488"/>
      <c r="AF967" s="488"/>
      <c r="AG967" s="488"/>
      <c r="AH967" s="488"/>
      <c r="AI967" s="488"/>
      <c r="AJ967" s="488"/>
    </row>
    <row r="968" spans="1:36" s="496" customFormat="1">
      <c r="A968" s="488"/>
      <c r="C968" s="488"/>
      <c r="D968" s="488"/>
      <c r="E968" s="488"/>
      <c r="F968" s="488"/>
      <c r="G968" s="488"/>
      <c r="H968" s="488"/>
      <c r="I968" s="488"/>
      <c r="J968" s="488"/>
      <c r="K968" s="488"/>
      <c r="L968" s="488"/>
      <c r="M968" s="488"/>
      <c r="N968" s="488"/>
      <c r="O968" s="488"/>
      <c r="P968" s="488"/>
      <c r="Q968" s="488"/>
      <c r="R968" s="488"/>
      <c r="S968" s="488"/>
      <c r="T968" s="488"/>
      <c r="U968" s="488"/>
      <c r="V968" s="488"/>
      <c r="W968" s="488"/>
      <c r="X968" s="488"/>
      <c r="Y968" s="488"/>
      <c r="Z968" s="488"/>
      <c r="AA968" s="488"/>
      <c r="AB968" s="488"/>
      <c r="AC968" s="488"/>
      <c r="AD968" s="488"/>
      <c r="AE968" s="488"/>
      <c r="AF968" s="488"/>
      <c r="AG968" s="488"/>
      <c r="AH968" s="488"/>
      <c r="AI968" s="488"/>
      <c r="AJ968" s="488"/>
    </row>
    <row r="969" spans="1:36" s="496" customFormat="1">
      <c r="A969" s="488"/>
      <c r="C969" s="488"/>
      <c r="D969" s="488"/>
      <c r="E969" s="488"/>
      <c r="F969" s="488"/>
      <c r="G969" s="488"/>
      <c r="H969" s="488"/>
      <c r="I969" s="488"/>
      <c r="J969" s="488"/>
      <c r="K969" s="488"/>
      <c r="L969" s="488"/>
      <c r="M969" s="488"/>
      <c r="N969" s="488"/>
      <c r="O969" s="488"/>
      <c r="P969" s="488"/>
      <c r="Q969" s="488"/>
      <c r="R969" s="488"/>
      <c r="S969" s="488"/>
      <c r="T969" s="488"/>
      <c r="U969" s="488"/>
      <c r="V969" s="488"/>
      <c r="W969" s="488"/>
      <c r="X969" s="488"/>
      <c r="Y969" s="488"/>
      <c r="Z969" s="488"/>
      <c r="AA969" s="488"/>
      <c r="AB969" s="488"/>
      <c r="AC969" s="488"/>
      <c r="AD969" s="488"/>
      <c r="AE969" s="488"/>
      <c r="AF969" s="488"/>
      <c r="AG969" s="488"/>
      <c r="AH969" s="488"/>
      <c r="AI969" s="488"/>
      <c r="AJ969" s="488"/>
    </row>
    <row r="970" spans="1:36" s="496" customFormat="1">
      <c r="A970" s="488"/>
      <c r="C970" s="488"/>
      <c r="D970" s="488"/>
      <c r="E970" s="488"/>
      <c r="F970" s="488"/>
      <c r="G970" s="488"/>
      <c r="H970" s="488"/>
      <c r="I970" s="488"/>
      <c r="J970" s="488"/>
      <c r="K970" s="488"/>
      <c r="L970" s="488"/>
      <c r="M970" s="488"/>
      <c r="N970" s="488"/>
      <c r="O970" s="488"/>
      <c r="P970" s="488"/>
      <c r="Q970" s="488"/>
      <c r="R970" s="488"/>
      <c r="S970" s="488"/>
      <c r="T970" s="488"/>
      <c r="U970" s="488"/>
      <c r="V970" s="488"/>
      <c r="W970" s="488"/>
      <c r="X970" s="488"/>
      <c r="Y970" s="488"/>
      <c r="Z970" s="488"/>
      <c r="AA970" s="488"/>
      <c r="AB970" s="488"/>
      <c r="AC970" s="488"/>
      <c r="AD970" s="488"/>
      <c r="AE970" s="488"/>
      <c r="AF970" s="488"/>
      <c r="AG970" s="488"/>
      <c r="AH970" s="488"/>
      <c r="AI970" s="488"/>
      <c r="AJ970" s="488"/>
    </row>
    <row r="971" spans="1:36" s="496" customFormat="1">
      <c r="A971" s="488"/>
      <c r="C971" s="488"/>
      <c r="D971" s="488"/>
      <c r="E971" s="488"/>
      <c r="F971" s="488"/>
      <c r="G971" s="488"/>
      <c r="H971" s="488"/>
      <c r="I971" s="488"/>
      <c r="J971" s="488"/>
      <c r="K971" s="488"/>
      <c r="L971" s="488"/>
      <c r="M971" s="488"/>
      <c r="N971" s="488"/>
      <c r="O971" s="488"/>
      <c r="P971" s="488"/>
      <c r="Q971" s="488"/>
      <c r="R971" s="488"/>
      <c r="S971" s="488"/>
      <c r="T971" s="488"/>
      <c r="U971" s="488"/>
      <c r="V971" s="488"/>
      <c r="W971" s="488"/>
      <c r="X971" s="488"/>
      <c r="Y971" s="488"/>
      <c r="Z971" s="488"/>
      <c r="AA971" s="488"/>
      <c r="AB971" s="488"/>
      <c r="AC971" s="488"/>
      <c r="AD971" s="488"/>
      <c r="AE971" s="488"/>
      <c r="AF971" s="488"/>
      <c r="AG971" s="488"/>
      <c r="AH971" s="488"/>
      <c r="AI971" s="488"/>
      <c r="AJ971" s="488"/>
    </row>
    <row r="972" spans="1:36" s="496" customFormat="1">
      <c r="A972" s="488"/>
      <c r="C972" s="488"/>
      <c r="D972" s="488"/>
      <c r="E972" s="488"/>
      <c r="F972" s="488"/>
      <c r="G972" s="488"/>
      <c r="H972" s="488"/>
      <c r="I972" s="488"/>
      <c r="J972" s="488"/>
      <c r="K972" s="488"/>
      <c r="L972" s="488"/>
      <c r="M972" s="488"/>
      <c r="N972" s="488"/>
      <c r="O972" s="488"/>
      <c r="P972" s="488"/>
      <c r="Q972" s="488"/>
      <c r="R972" s="488"/>
      <c r="S972" s="488"/>
      <c r="T972" s="488"/>
      <c r="U972" s="488"/>
      <c r="V972" s="488"/>
      <c r="W972" s="488"/>
      <c r="X972" s="488"/>
      <c r="Y972" s="488"/>
      <c r="Z972" s="488"/>
      <c r="AA972" s="488"/>
      <c r="AB972" s="488"/>
      <c r="AC972" s="488"/>
      <c r="AD972" s="488"/>
      <c r="AE972" s="488"/>
      <c r="AF972" s="488"/>
      <c r="AG972" s="488"/>
      <c r="AH972" s="488"/>
      <c r="AI972" s="488"/>
      <c r="AJ972" s="488"/>
    </row>
    <row r="973" spans="1:36" s="496" customFormat="1">
      <c r="A973" s="488"/>
      <c r="C973" s="488"/>
      <c r="D973" s="488"/>
      <c r="E973" s="488"/>
      <c r="F973" s="488"/>
      <c r="G973" s="488"/>
      <c r="H973" s="488"/>
      <c r="I973" s="488"/>
      <c r="J973" s="488"/>
      <c r="K973" s="488"/>
      <c r="L973" s="488"/>
      <c r="M973" s="488"/>
      <c r="N973" s="488"/>
      <c r="O973" s="488"/>
      <c r="P973" s="488"/>
      <c r="Q973" s="488"/>
      <c r="R973" s="488"/>
      <c r="S973" s="488"/>
      <c r="T973" s="488"/>
      <c r="U973" s="488"/>
      <c r="V973" s="488"/>
      <c r="W973" s="488"/>
      <c r="X973" s="488"/>
      <c r="Y973" s="488"/>
      <c r="Z973" s="488"/>
      <c r="AA973" s="488"/>
      <c r="AB973" s="488"/>
      <c r="AC973" s="488"/>
      <c r="AD973" s="488"/>
      <c r="AE973" s="488"/>
      <c r="AF973" s="488"/>
      <c r="AG973" s="488"/>
      <c r="AH973" s="488"/>
      <c r="AI973" s="488"/>
      <c r="AJ973" s="488"/>
    </row>
    <row r="974" spans="1:36" s="496" customFormat="1">
      <c r="A974" s="488"/>
      <c r="C974" s="488"/>
      <c r="D974" s="488"/>
      <c r="E974" s="488"/>
      <c r="F974" s="488"/>
      <c r="G974" s="488"/>
      <c r="H974" s="488"/>
      <c r="I974" s="488"/>
      <c r="J974" s="488"/>
      <c r="K974" s="488"/>
      <c r="L974" s="488"/>
      <c r="M974" s="488"/>
      <c r="N974" s="488"/>
      <c r="O974" s="488"/>
      <c r="P974" s="488"/>
      <c r="Q974" s="488"/>
      <c r="R974" s="488"/>
      <c r="S974" s="488"/>
      <c r="T974" s="488"/>
      <c r="U974" s="488"/>
      <c r="V974" s="488"/>
      <c r="W974" s="488"/>
      <c r="X974" s="488"/>
      <c r="Y974" s="488"/>
      <c r="Z974" s="488"/>
      <c r="AA974" s="488"/>
      <c r="AB974" s="488"/>
      <c r="AC974" s="488"/>
      <c r="AD974" s="488"/>
      <c r="AE974" s="488"/>
      <c r="AF974" s="488"/>
      <c r="AG974" s="488"/>
      <c r="AH974" s="488"/>
      <c r="AI974" s="488"/>
      <c r="AJ974" s="488"/>
    </row>
    <row r="975" spans="1:36" s="496" customFormat="1">
      <c r="A975" s="488"/>
      <c r="C975" s="488"/>
      <c r="D975" s="488"/>
      <c r="E975" s="488"/>
      <c r="F975" s="488"/>
      <c r="G975" s="488"/>
      <c r="H975" s="488"/>
      <c r="I975" s="488"/>
      <c r="J975" s="488"/>
      <c r="K975" s="488"/>
      <c r="L975" s="488"/>
      <c r="M975" s="488"/>
      <c r="N975" s="488"/>
      <c r="O975" s="488"/>
      <c r="P975" s="488"/>
      <c r="Q975" s="488"/>
      <c r="R975" s="488"/>
      <c r="S975" s="488"/>
      <c r="T975" s="488"/>
      <c r="U975" s="488"/>
      <c r="V975" s="488"/>
      <c r="W975" s="488"/>
      <c r="X975" s="488"/>
      <c r="Y975" s="488"/>
      <c r="Z975" s="488"/>
      <c r="AA975" s="488"/>
      <c r="AB975" s="488"/>
      <c r="AC975" s="488"/>
      <c r="AD975" s="488"/>
      <c r="AE975" s="488"/>
      <c r="AF975" s="488"/>
      <c r="AG975" s="488"/>
      <c r="AH975" s="488"/>
      <c r="AI975" s="488"/>
      <c r="AJ975" s="488"/>
    </row>
    <row r="976" spans="1:36" s="496" customFormat="1">
      <c r="A976" s="488"/>
      <c r="C976" s="488"/>
      <c r="D976" s="488"/>
      <c r="E976" s="488"/>
      <c r="F976" s="488"/>
      <c r="G976" s="488"/>
      <c r="H976" s="488"/>
      <c r="I976" s="488"/>
      <c r="J976" s="488"/>
      <c r="K976" s="488"/>
      <c r="L976" s="488"/>
      <c r="M976" s="488"/>
      <c r="N976" s="488"/>
      <c r="O976" s="488"/>
      <c r="P976" s="488"/>
      <c r="Q976" s="488"/>
      <c r="R976" s="488"/>
      <c r="S976" s="488"/>
      <c r="T976" s="488"/>
      <c r="U976" s="488"/>
      <c r="V976" s="488"/>
      <c r="W976" s="488"/>
      <c r="X976" s="488"/>
      <c r="Y976" s="488"/>
      <c r="Z976" s="488"/>
      <c r="AA976" s="488"/>
      <c r="AB976" s="488"/>
      <c r="AC976" s="488"/>
      <c r="AD976" s="488"/>
      <c r="AE976" s="488"/>
      <c r="AF976" s="488"/>
      <c r="AG976" s="488"/>
      <c r="AH976" s="488"/>
      <c r="AI976" s="488"/>
      <c r="AJ976" s="488"/>
    </row>
    <row r="977" spans="1:36" s="496" customFormat="1">
      <c r="A977" s="488"/>
      <c r="C977" s="488"/>
      <c r="D977" s="488"/>
      <c r="E977" s="488"/>
      <c r="F977" s="488"/>
      <c r="G977" s="488"/>
      <c r="H977" s="488"/>
      <c r="I977" s="488"/>
      <c r="J977" s="488"/>
      <c r="K977" s="488"/>
      <c r="L977" s="488"/>
      <c r="M977" s="488"/>
      <c r="N977" s="488"/>
      <c r="O977" s="488"/>
      <c r="P977" s="488"/>
      <c r="Q977" s="488"/>
      <c r="R977" s="488"/>
      <c r="S977" s="488"/>
      <c r="T977" s="488"/>
      <c r="U977" s="488"/>
      <c r="V977" s="488"/>
      <c r="W977" s="488"/>
      <c r="X977" s="488"/>
      <c r="Y977" s="488"/>
      <c r="Z977" s="488"/>
      <c r="AA977" s="488"/>
      <c r="AB977" s="488"/>
      <c r="AC977" s="488"/>
      <c r="AD977" s="488"/>
      <c r="AE977" s="488"/>
      <c r="AF977" s="488"/>
      <c r="AG977" s="488"/>
      <c r="AH977" s="488"/>
      <c r="AI977" s="488"/>
      <c r="AJ977" s="488"/>
    </row>
    <row r="978" spans="1:36" s="496" customFormat="1">
      <c r="A978" s="488"/>
      <c r="C978" s="488"/>
      <c r="D978" s="488"/>
      <c r="E978" s="488"/>
      <c r="F978" s="488"/>
      <c r="G978" s="488"/>
      <c r="H978" s="488"/>
      <c r="I978" s="488"/>
      <c r="J978" s="488"/>
      <c r="K978" s="488"/>
      <c r="L978" s="488"/>
      <c r="M978" s="488"/>
      <c r="N978" s="488"/>
      <c r="O978" s="488"/>
      <c r="P978" s="488"/>
      <c r="Q978" s="488"/>
      <c r="R978" s="488"/>
      <c r="S978" s="488"/>
      <c r="T978" s="488"/>
      <c r="U978" s="488"/>
      <c r="V978" s="488"/>
      <c r="W978" s="488"/>
      <c r="X978" s="488"/>
      <c r="Y978" s="488"/>
      <c r="Z978" s="488"/>
      <c r="AA978" s="488"/>
      <c r="AB978" s="488"/>
      <c r="AC978" s="488"/>
      <c r="AD978" s="488"/>
      <c r="AE978" s="488"/>
      <c r="AF978" s="488"/>
      <c r="AG978" s="488"/>
      <c r="AH978" s="488"/>
      <c r="AI978" s="488"/>
      <c r="AJ978" s="488"/>
    </row>
    <row r="979" spans="1:36" s="496" customFormat="1">
      <c r="A979" s="488"/>
      <c r="C979" s="488"/>
      <c r="D979" s="488"/>
      <c r="E979" s="488"/>
      <c r="F979" s="488"/>
      <c r="G979" s="488"/>
      <c r="H979" s="488"/>
      <c r="I979" s="488"/>
      <c r="J979" s="488"/>
      <c r="K979" s="488"/>
      <c r="L979" s="488"/>
      <c r="M979" s="488"/>
      <c r="N979" s="488"/>
      <c r="O979" s="488"/>
      <c r="P979" s="488"/>
      <c r="Q979" s="488"/>
      <c r="R979" s="488"/>
      <c r="S979" s="488"/>
      <c r="T979" s="488"/>
      <c r="U979" s="488"/>
      <c r="V979" s="488"/>
      <c r="W979" s="488"/>
      <c r="X979" s="488"/>
      <c r="Y979" s="488"/>
      <c r="Z979" s="488"/>
      <c r="AA979" s="488"/>
      <c r="AB979" s="488"/>
      <c r="AC979" s="488"/>
      <c r="AD979" s="488"/>
      <c r="AE979" s="488"/>
      <c r="AF979" s="488"/>
      <c r="AG979" s="488"/>
      <c r="AH979" s="488"/>
      <c r="AI979" s="488"/>
      <c r="AJ979" s="488"/>
    </row>
    <row r="980" spans="1:36" s="496" customFormat="1">
      <c r="A980" s="488"/>
      <c r="C980" s="488"/>
      <c r="D980" s="488"/>
      <c r="E980" s="488"/>
      <c r="F980" s="488"/>
      <c r="G980" s="488"/>
      <c r="H980" s="488"/>
      <c r="I980" s="488"/>
      <c r="J980" s="488"/>
      <c r="K980" s="488"/>
      <c r="L980" s="488"/>
      <c r="M980" s="488"/>
      <c r="N980" s="488"/>
      <c r="O980" s="488"/>
      <c r="P980" s="488"/>
      <c r="Q980" s="488"/>
      <c r="R980" s="488"/>
      <c r="S980" s="488"/>
      <c r="T980" s="488"/>
      <c r="U980" s="488"/>
      <c r="V980" s="488"/>
      <c r="W980" s="488"/>
      <c r="X980" s="488"/>
      <c r="Y980" s="488"/>
      <c r="Z980" s="488"/>
      <c r="AA980" s="488"/>
      <c r="AB980" s="488"/>
      <c r="AC980" s="488"/>
      <c r="AD980" s="488"/>
      <c r="AE980" s="488"/>
      <c r="AF980" s="488"/>
      <c r="AG980" s="488"/>
      <c r="AH980" s="488"/>
      <c r="AI980" s="488"/>
      <c r="AJ980" s="488"/>
    </row>
    <row r="981" spans="1:36" s="496" customFormat="1">
      <c r="A981" s="488"/>
      <c r="C981" s="488"/>
      <c r="D981" s="488"/>
      <c r="E981" s="488"/>
      <c r="F981" s="488"/>
      <c r="G981" s="488"/>
      <c r="H981" s="488"/>
      <c r="I981" s="488"/>
      <c r="J981" s="488"/>
      <c r="K981" s="488"/>
      <c r="L981" s="488"/>
      <c r="M981" s="488"/>
      <c r="N981" s="488"/>
      <c r="O981" s="488"/>
      <c r="P981" s="488"/>
      <c r="Q981" s="488"/>
      <c r="R981" s="488"/>
      <c r="S981" s="488"/>
      <c r="T981" s="488"/>
      <c r="U981" s="488"/>
      <c r="V981" s="488"/>
      <c r="W981" s="488"/>
      <c r="X981" s="488"/>
      <c r="Y981" s="488"/>
      <c r="Z981" s="488"/>
      <c r="AA981" s="488"/>
      <c r="AB981" s="488"/>
      <c r="AC981" s="488"/>
      <c r="AD981" s="488"/>
      <c r="AE981" s="488"/>
      <c r="AF981" s="488"/>
      <c r="AG981" s="488"/>
      <c r="AH981" s="488"/>
      <c r="AI981" s="488"/>
      <c r="AJ981" s="488"/>
    </row>
    <row r="982" spans="1:36" s="496" customFormat="1">
      <c r="A982" s="488"/>
      <c r="C982" s="488"/>
      <c r="D982" s="488"/>
      <c r="E982" s="488"/>
      <c r="F982" s="488"/>
      <c r="G982" s="488"/>
      <c r="H982" s="488"/>
      <c r="I982" s="488"/>
      <c r="J982" s="488"/>
      <c r="K982" s="488"/>
      <c r="L982" s="488"/>
      <c r="M982" s="488"/>
      <c r="N982" s="488"/>
      <c r="O982" s="488"/>
      <c r="P982" s="488"/>
      <c r="Q982" s="488"/>
      <c r="R982" s="488"/>
      <c r="S982" s="488"/>
      <c r="T982" s="488"/>
      <c r="U982" s="488"/>
      <c r="V982" s="488"/>
      <c r="W982" s="488"/>
      <c r="X982" s="488"/>
      <c r="Y982" s="488"/>
      <c r="Z982" s="488"/>
      <c r="AA982" s="488"/>
      <c r="AB982" s="488"/>
      <c r="AC982" s="488"/>
      <c r="AD982" s="488"/>
      <c r="AE982" s="488"/>
      <c r="AF982" s="488"/>
      <c r="AG982" s="488"/>
      <c r="AH982" s="488"/>
      <c r="AI982" s="488"/>
      <c r="AJ982" s="488"/>
    </row>
    <row r="983" spans="1:36" s="496" customFormat="1">
      <c r="A983" s="488"/>
      <c r="C983" s="488"/>
      <c r="D983" s="488"/>
      <c r="E983" s="488"/>
      <c r="F983" s="488"/>
      <c r="G983" s="488"/>
      <c r="H983" s="488"/>
      <c r="I983" s="488"/>
      <c r="J983" s="488"/>
      <c r="K983" s="488"/>
      <c r="L983" s="488"/>
      <c r="M983" s="488"/>
      <c r="N983" s="488"/>
      <c r="O983" s="488"/>
      <c r="P983" s="488"/>
      <c r="Q983" s="488"/>
      <c r="R983" s="488"/>
      <c r="S983" s="488"/>
      <c r="T983" s="488"/>
      <c r="U983" s="488"/>
      <c r="V983" s="488"/>
      <c r="W983" s="488"/>
      <c r="X983" s="488"/>
      <c r="Y983" s="488"/>
      <c r="Z983" s="488"/>
      <c r="AA983" s="488"/>
      <c r="AB983" s="488"/>
      <c r="AC983" s="488"/>
      <c r="AD983" s="488"/>
      <c r="AE983" s="488"/>
      <c r="AF983" s="488"/>
      <c r="AG983" s="488"/>
      <c r="AH983" s="488"/>
      <c r="AI983" s="488"/>
      <c r="AJ983" s="488"/>
    </row>
    <row r="984" spans="1:36" s="496" customFormat="1">
      <c r="A984" s="488"/>
      <c r="C984" s="488"/>
      <c r="D984" s="488"/>
      <c r="E984" s="488"/>
      <c r="F984" s="488"/>
      <c r="G984" s="488"/>
      <c r="H984" s="488"/>
      <c r="I984" s="488"/>
      <c r="J984" s="488"/>
      <c r="K984" s="488"/>
      <c r="L984" s="488"/>
      <c r="M984" s="488"/>
      <c r="N984" s="488"/>
      <c r="O984" s="488"/>
      <c r="P984" s="488"/>
      <c r="Q984" s="488"/>
      <c r="R984" s="488"/>
      <c r="S984" s="488"/>
      <c r="T984" s="488"/>
      <c r="U984" s="488"/>
      <c r="V984" s="488"/>
      <c r="W984" s="488"/>
      <c r="X984" s="488"/>
      <c r="Y984" s="488"/>
      <c r="Z984" s="488"/>
      <c r="AA984" s="488"/>
      <c r="AB984" s="488"/>
      <c r="AC984" s="488"/>
      <c r="AD984" s="488"/>
      <c r="AE984" s="488"/>
      <c r="AF984" s="488"/>
      <c r="AG984" s="488"/>
      <c r="AH984" s="488"/>
      <c r="AI984" s="488"/>
      <c r="AJ984" s="488"/>
    </row>
    <row r="985" spans="1:36" s="496" customFormat="1">
      <c r="A985" s="488"/>
      <c r="C985" s="488"/>
      <c r="D985" s="488"/>
      <c r="E985" s="488"/>
      <c r="F985" s="488"/>
      <c r="G985" s="488"/>
      <c r="H985" s="488"/>
      <c r="I985" s="488"/>
      <c r="J985" s="488"/>
      <c r="K985" s="488"/>
      <c r="L985" s="488"/>
      <c r="M985" s="488"/>
      <c r="N985" s="488"/>
      <c r="O985" s="488"/>
      <c r="P985" s="488"/>
      <c r="Q985" s="488"/>
      <c r="R985" s="488"/>
      <c r="S985" s="488"/>
      <c r="T985" s="488"/>
      <c r="U985" s="488"/>
      <c r="V985" s="488"/>
      <c r="W985" s="488"/>
      <c r="X985" s="488"/>
      <c r="Y985" s="488"/>
      <c r="Z985" s="488"/>
      <c r="AA985" s="488"/>
      <c r="AB985" s="488"/>
      <c r="AC985" s="488"/>
      <c r="AD985" s="488"/>
      <c r="AE985" s="488"/>
      <c r="AF985" s="488"/>
      <c r="AG985" s="488"/>
      <c r="AH985" s="488"/>
      <c r="AI985" s="488"/>
      <c r="AJ985" s="488"/>
    </row>
    <row r="986" spans="1:36" s="496" customFormat="1">
      <c r="A986" s="488"/>
      <c r="C986" s="488"/>
      <c r="D986" s="488"/>
      <c r="E986" s="488"/>
      <c r="F986" s="488"/>
      <c r="G986" s="488"/>
      <c r="H986" s="488"/>
      <c r="I986" s="488"/>
      <c r="J986" s="488"/>
      <c r="K986" s="488"/>
      <c r="L986" s="488"/>
      <c r="M986" s="488"/>
      <c r="N986" s="488"/>
      <c r="O986" s="488"/>
      <c r="P986" s="488"/>
      <c r="Q986" s="488"/>
      <c r="R986" s="488"/>
      <c r="S986" s="488"/>
      <c r="T986" s="488"/>
      <c r="U986" s="488"/>
      <c r="V986" s="488"/>
      <c r="W986" s="488"/>
      <c r="X986" s="488"/>
      <c r="Y986" s="488"/>
      <c r="Z986" s="488"/>
      <c r="AA986" s="488"/>
      <c r="AB986" s="488"/>
      <c r="AC986" s="488"/>
      <c r="AD986" s="488"/>
      <c r="AE986" s="488"/>
      <c r="AF986" s="488"/>
      <c r="AG986" s="488"/>
      <c r="AH986" s="488"/>
      <c r="AI986" s="488"/>
      <c r="AJ986" s="488"/>
    </row>
    <row r="987" spans="1:36" s="496" customFormat="1">
      <c r="A987" s="488"/>
      <c r="C987" s="488"/>
      <c r="D987" s="488"/>
      <c r="E987" s="488"/>
      <c r="F987" s="488"/>
      <c r="G987" s="488"/>
      <c r="H987" s="488"/>
      <c r="I987" s="488"/>
      <c r="J987" s="488"/>
      <c r="K987" s="488"/>
      <c r="L987" s="488"/>
      <c r="M987" s="488"/>
      <c r="N987" s="488"/>
      <c r="O987" s="488"/>
      <c r="P987" s="488"/>
      <c r="Q987" s="488"/>
      <c r="R987" s="488"/>
      <c r="S987" s="488"/>
      <c r="T987" s="488"/>
      <c r="U987" s="488"/>
      <c r="V987" s="488"/>
      <c r="W987" s="488"/>
      <c r="X987" s="488"/>
      <c r="Y987" s="488"/>
      <c r="Z987" s="488"/>
      <c r="AA987" s="488"/>
      <c r="AB987" s="488"/>
      <c r="AC987" s="488"/>
      <c r="AD987" s="488"/>
      <c r="AE987" s="488"/>
      <c r="AF987" s="488"/>
      <c r="AG987" s="488"/>
      <c r="AH987" s="488"/>
      <c r="AI987" s="488"/>
      <c r="AJ987" s="488"/>
    </row>
    <row r="988" spans="1:36" s="496" customFormat="1">
      <c r="A988" s="488"/>
      <c r="C988" s="488"/>
      <c r="D988" s="488"/>
      <c r="E988" s="488"/>
      <c r="F988" s="488"/>
      <c r="G988" s="488"/>
      <c r="H988" s="488"/>
      <c r="I988" s="488"/>
      <c r="J988" s="488"/>
      <c r="K988" s="488"/>
      <c r="L988" s="488"/>
      <c r="M988" s="488"/>
      <c r="N988" s="488"/>
      <c r="O988" s="488"/>
      <c r="P988" s="488"/>
      <c r="Q988" s="488"/>
      <c r="R988" s="488"/>
      <c r="S988" s="488"/>
      <c r="T988" s="488"/>
      <c r="U988" s="488"/>
      <c r="V988" s="488"/>
      <c r="W988" s="488"/>
      <c r="X988" s="488"/>
      <c r="Y988" s="488"/>
      <c r="Z988" s="488"/>
      <c r="AA988" s="488"/>
      <c r="AB988" s="488"/>
      <c r="AC988" s="488"/>
      <c r="AD988" s="488"/>
      <c r="AE988" s="488"/>
      <c r="AF988" s="488"/>
      <c r="AG988" s="488"/>
      <c r="AH988" s="488"/>
      <c r="AI988" s="488"/>
      <c r="AJ988" s="488"/>
    </row>
    <row r="989" spans="1:36" s="496" customFormat="1">
      <c r="A989" s="488"/>
      <c r="C989" s="488"/>
      <c r="D989" s="488"/>
      <c r="E989" s="488"/>
      <c r="F989" s="488"/>
      <c r="G989" s="488"/>
      <c r="H989" s="488"/>
      <c r="I989" s="488"/>
      <c r="J989" s="488"/>
      <c r="K989" s="488"/>
      <c r="L989" s="488"/>
      <c r="M989" s="488"/>
      <c r="N989" s="488"/>
      <c r="O989" s="488"/>
      <c r="P989" s="488"/>
      <c r="Q989" s="488"/>
      <c r="R989" s="488"/>
      <c r="S989" s="488"/>
      <c r="T989" s="488"/>
      <c r="U989" s="488"/>
      <c r="V989" s="488"/>
      <c r="W989" s="488"/>
      <c r="X989" s="488"/>
      <c r="Y989" s="488"/>
      <c r="Z989" s="488"/>
      <c r="AA989" s="488"/>
      <c r="AB989" s="488"/>
      <c r="AC989" s="488"/>
      <c r="AD989" s="488"/>
      <c r="AE989" s="488"/>
      <c r="AF989" s="488"/>
      <c r="AG989" s="488"/>
      <c r="AH989" s="488"/>
      <c r="AI989" s="488"/>
      <c r="AJ989" s="488"/>
    </row>
    <row r="990" spans="1:36" s="496" customFormat="1">
      <c r="A990" s="488"/>
      <c r="C990" s="488"/>
      <c r="D990" s="488"/>
      <c r="E990" s="488"/>
      <c r="F990" s="488"/>
      <c r="G990" s="488"/>
      <c r="H990" s="488"/>
      <c r="I990" s="488"/>
      <c r="J990" s="488"/>
      <c r="K990" s="488"/>
      <c r="L990" s="488"/>
      <c r="M990" s="488"/>
      <c r="N990" s="488"/>
      <c r="O990" s="488"/>
      <c r="P990" s="488"/>
      <c r="Q990" s="488"/>
      <c r="R990" s="488"/>
      <c r="S990" s="488"/>
      <c r="T990" s="488"/>
      <c r="U990" s="488"/>
      <c r="V990" s="488"/>
      <c r="W990" s="488"/>
      <c r="X990" s="488"/>
      <c r="Y990" s="488"/>
      <c r="Z990" s="488"/>
      <c r="AA990" s="488"/>
      <c r="AB990" s="488"/>
      <c r="AC990" s="488"/>
      <c r="AD990" s="488"/>
      <c r="AE990" s="488"/>
      <c r="AF990" s="488"/>
      <c r="AG990" s="488"/>
      <c r="AH990" s="488"/>
      <c r="AI990" s="488"/>
      <c r="AJ990" s="488"/>
    </row>
    <row r="991" spans="1:36" s="496" customFormat="1">
      <c r="A991" s="488"/>
      <c r="C991" s="488"/>
      <c r="D991" s="488"/>
      <c r="E991" s="488"/>
      <c r="F991" s="488"/>
      <c r="G991" s="488"/>
      <c r="H991" s="488"/>
      <c r="I991" s="488"/>
      <c r="J991" s="488"/>
      <c r="K991" s="488"/>
      <c r="L991" s="488"/>
      <c r="M991" s="488"/>
      <c r="N991" s="488"/>
      <c r="O991" s="488"/>
      <c r="P991" s="488"/>
      <c r="Q991" s="488"/>
      <c r="R991" s="488"/>
      <c r="S991" s="488"/>
      <c r="T991" s="488"/>
      <c r="U991" s="488"/>
      <c r="V991" s="488"/>
      <c r="W991" s="488"/>
      <c r="X991" s="488"/>
      <c r="Y991" s="488"/>
      <c r="Z991" s="488"/>
      <c r="AA991" s="488"/>
      <c r="AB991" s="488"/>
      <c r="AC991" s="488"/>
      <c r="AD991" s="488"/>
      <c r="AE991" s="488"/>
      <c r="AF991" s="488"/>
      <c r="AG991" s="488"/>
      <c r="AH991" s="488"/>
      <c r="AI991" s="488"/>
      <c r="AJ991" s="488"/>
    </row>
    <row r="992" spans="1:36" s="496" customFormat="1">
      <c r="A992" s="488"/>
      <c r="C992" s="488"/>
      <c r="D992" s="488"/>
      <c r="E992" s="488"/>
      <c r="F992" s="488"/>
      <c r="G992" s="488"/>
      <c r="H992" s="488"/>
      <c r="I992" s="488"/>
      <c r="J992" s="488"/>
      <c r="K992" s="488"/>
      <c r="L992" s="488"/>
      <c r="M992" s="488"/>
      <c r="N992" s="488"/>
      <c r="O992" s="488"/>
      <c r="P992" s="488"/>
      <c r="Q992" s="488"/>
      <c r="R992" s="488"/>
      <c r="S992" s="488"/>
      <c r="T992" s="488"/>
      <c r="U992" s="488"/>
      <c r="V992" s="488"/>
      <c r="W992" s="488"/>
      <c r="X992" s="488"/>
      <c r="Y992" s="488"/>
      <c r="Z992" s="488"/>
      <c r="AA992" s="488"/>
      <c r="AB992" s="488"/>
      <c r="AC992" s="488"/>
      <c r="AD992" s="488"/>
      <c r="AE992" s="488"/>
      <c r="AF992" s="488"/>
      <c r="AG992" s="488"/>
      <c r="AH992" s="488"/>
      <c r="AI992" s="488"/>
      <c r="AJ992" s="488"/>
    </row>
    <row r="993" spans="1:36" s="496" customFormat="1">
      <c r="A993" s="488"/>
      <c r="C993" s="488"/>
      <c r="D993" s="488"/>
      <c r="E993" s="488"/>
      <c r="F993" s="488"/>
      <c r="G993" s="488"/>
      <c r="H993" s="488"/>
      <c r="I993" s="488"/>
      <c r="J993" s="488"/>
      <c r="K993" s="488"/>
      <c r="L993" s="488"/>
      <c r="M993" s="488"/>
      <c r="N993" s="488"/>
      <c r="O993" s="488"/>
      <c r="P993" s="488"/>
      <c r="Q993" s="488"/>
      <c r="R993" s="488"/>
      <c r="S993" s="488"/>
      <c r="T993" s="488"/>
      <c r="U993" s="488"/>
      <c r="V993" s="488"/>
      <c r="W993" s="488"/>
      <c r="X993" s="488"/>
      <c r="Y993" s="488"/>
      <c r="Z993" s="488"/>
      <c r="AA993" s="488"/>
      <c r="AB993" s="488"/>
      <c r="AC993" s="488"/>
      <c r="AD993" s="488"/>
      <c r="AE993" s="488"/>
      <c r="AF993" s="488"/>
      <c r="AG993" s="488"/>
      <c r="AH993" s="488"/>
      <c r="AI993" s="488"/>
      <c r="AJ993" s="488"/>
    </row>
    <row r="994" spans="1:36" s="496" customFormat="1">
      <c r="A994" s="488"/>
      <c r="C994" s="488"/>
      <c r="D994" s="488"/>
      <c r="E994" s="488"/>
      <c r="F994" s="488"/>
      <c r="G994" s="488"/>
      <c r="H994" s="488"/>
      <c r="I994" s="488"/>
      <c r="J994" s="488"/>
      <c r="K994" s="488"/>
      <c r="L994" s="488"/>
      <c r="M994" s="488"/>
      <c r="N994" s="488"/>
      <c r="O994" s="488"/>
      <c r="P994" s="488"/>
      <c r="Q994" s="488"/>
      <c r="R994" s="488"/>
      <c r="S994" s="488"/>
      <c r="T994" s="488"/>
      <c r="U994" s="488"/>
      <c r="V994" s="488"/>
      <c r="W994" s="488"/>
      <c r="X994" s="488"/>
      <c r="Y994" s="488"/>
      <c r="Z994" s="488"/>
      <c r="AA994" s="488"/>
      <c r="AB994" s="488"/>
      <c r="AC994" s="488"/>
      <c r="AD994" s="488"/>
      <c r="AE994" s="488"/>
      <c r="AF994" s="488"/>
      <c r="AG994" s="488"/>
      <c r="AH994" s="488"/>
      <c r="AI994" s="488"/>
      <c r="AJ994" s="488"/>
    </row>
    <row r="995" spans="1:36" s="496" customFormat="1">
      <c r="A995" s="488"/>
      <c r="C995" s="488"/>
      <c r="D995" s="488"/>
      <c r="E995" s="488"/>
      <c r="F995" s="488"/>
      <c r="G995" s="488"/>
      <c r="H995" s="488"/>
      <c r="I995" s="488"/>
      <c r="J995" s="488"/>
      <c r="K995" s="488"/>
      <c r="L995" s="488"/>
      <c r="M995" s="488"/>
      <c r="N995" s="488"/>
      <c r="O995" s="488"/>
      <c r="P995" s="488"/>
      <c r="Q995" s="488"/>
      <c r="R995" s="488"/>
      <c r="S995" s="488"/>
      <c r="T995" s="488"/>
      <c r="U995" s="488"/>
      <c r="V995" s="488"/>
      <c r="W995" s="488"/>
      <c r="X995" s="488"/>
      <c r="Y995" s="488"/>
      <c r="Z995" s="488"/>
      <c r="AA995" s="488"/>
      <c r="AB995" s="488"/>
      <c r="AC995" s="488"/>
      <c r="AD995" s="488"/>
      <c r="AE995" s="488"/>
      <c r="AF995" s="488"/>
      <c r="AG995" s="488"/>
      <c r="AH995" s="488"/>
      <c r="AI995" s="488"/>
      <c r="AJ995" s="488"/>
    </row>
    <row r="996" spans="1:36" s="496" customFormat="1">
      <c r="A996" s="488"/>
      <c r="C996" s="488"/>
      <c r="D996" s="488"/>
      <c r="E996" s="488"/>
      <c r="F996" s="488"/>
      <c r="G996" s="488"/>
      <c r="H996" s="488"/>
      <c r="I996" s="488"/>
      <c r="J996" s="488"/>
      <c r="K996" s="488"/>
      <c r="L996" s="488"/>
      <c r="M996" s="488"/>
      <c r="N996" s="488"/>
      <c r="O996" s="488"/>
      <c r="P996" s="488"/>
      <c r="Q996" s="488"/>
      <c r="R996" s="488"/>
      <c r="S996" s="488"/>
      <c r="T996" s="488"/>
      <c r="U996" s="488"/>
      <c r="V996" s="488"/>
      <c r="W996" s="488"/>
      <c r="X996" s="488"/>
      <c r="Y996" s="488"/>
      <c r="Z996" s="488"/>
      <c r="AA996" s="488"/>
      <c r="AB996" s="488"/>
      <c r="AC996" s="488"/>
      <c r="AD996" s="488"/>
      <c r="AE996" s="488"/>
      <c r="AF996" s="488"/>
      <c r="AG996" s="488"/>
      <c r="AH996" s="488"/>
      <c r="AI996" s="488"/>
      <c r="AJ996" s="488"/>
    </row>
    <row r="997" spans="1:36" s="496" customFormat="1">
      <c r="A997" s="488"/>
      <c r="C997" s="488"/>
      <c r="D997" s="488"/>
      <c r="E997" s="488"/>
      <c r="F997" s="488"/>
      <c r="G997" s="488"/>
      <c r="H997" s="488"/>
      <c r="I997" s="488"/>
      <c r="J997" s="488"/>
      <c r="K997" s="488"/>
      <c r="L997" s="488"/>
      <c r="M997" s="488"/>
      <c r="N997" s="488"/>
      <c r="O997" s="488"/>
      <c r="P997" s="488"/>
      <c r="Q997" s="488"/>
      <c r="R997" s="488"/>
      <c r="S997" s="488"/>
      <c r="T997" s="488"/>
      <c r="U997" s="488"/>
      <c r="V997" s="488"/>
      <c r="W997" s="488"/>
      <c r="X997" s="488"/>
      <c r="Y997" s="488"/>
      <c r="Z997" s="488"/>
      <c r="AA997" s="488"/>
      <c r="AB997" s="488"/>
      <c r="AC997" s="488"/>
      <c r="AD997" s="488"/>
      <c r="AE997" s="488"/>
      <c r="AF997" s="488"/>
      <c r="AG997" s="488"/>
      <c r="AH997" s="488"/>
      <c r="AI997" s="488"/>
      <c r="AJ997" s="488"/>
    </row>
    <row r="998" spans="1:36" s="496" customFormat="1">
      <c r="A998" s="488"/>
      <c r="C998" s="488"/>
      <c r="D998" s="488"/>
      <c r="E998" s="488"/>
      <c r="F998" s="488"/>
      <c r="G998" s="488"/>
      <c r="H998" s="488"/>
      <c r="I998" s="488"/>
      <c r="J998" s="488"/>
      <c r="K998" s="488"/>
      <c r="L998" s="488"/>
      <c r="M998" s="488"/>
      <c r="N998" s="488"/>
      <c r="O998" s="488"/>
      <c r="P998" s="488"/>
      <c r="Q998" s="488"/>
      <c r="R998" s="488"/>
      <c r="S998" s="488"/>
      <c r="T998" s="488"/>
      <c r="U998" s="488"/>
      <c r="V998" s="488"/>
      <c r="W998" s="488"/>
      <c r="X998" s="488"/>
      <c r="Y998" s="488"/>
      <c r="Z998" s="488"/>
      <c r="AA998" s="488"/>
      <c r="AB998" s="488"/>
      <c r="AC998" s="488"/>
      <c r="AD998" s="488"/>
      <c r="AE998" s="488"/>
      <c r="AF998" s="488"/>
      <c r="AG998" s="488"/>
      <c r="AH998" s="488"/>
      <c r="AI998" s="488"/>
      <c r="AJ998" s="488"/>
    </row>
    <row r="999" spans="1:36" s="496" customFormat="1">
      <c r="A999" s="488"/>
      <c r="C999" s="488"/>
      <c r="D999" s="488"/>
      <c r="E999" s="488"/>
      <c r="F999" s="488"/>
      <c r="G999" s="488"/>
      <c r="H999" s="488"/>
      <c r="I999" s="488"/>
      <c r="J999" s="488"/>
      <c r="K999" s="488"/>
      <c r="L999" s="488"/>
      <c r="M999" s="488"/>
      <c r="N999" s="488"/>
      <c r="O999" s="488"/>
      <c r="P999" s="488"/>
      <c r="Q999" s="488"/>
      <c r="R999" s="488"/>
      <c r="S999" s="488"/>
      <c r="T999" s="488"/>
      <c r="U999" s="488"/>
      <c r="V999" s="488"/>
      <c r="W999" s="488"/>
      <c r="X999" s="488"/>
      <c r="Y999" s="488"/>
      <c r="Z999" s="488"/>
      <c r="AA999" s="488"/>
      <c r="AB999" s="488"/>
      <c r="AC999" s="488"/>
      <c r="AD999" s="488"/>
      <c r="AE999" s="488"/>
      <c r="AF999" s="488"/>
      <c r="AG999" s="488"/>
      <c r="AH999" s="488"/>
      <c r="AI999" s="488"/>
      <c r="AJ999" s="488"/>
    </row>
    <row r="1000" spans="1:36" s="496" customFormat="1">
      <c r="A1000" s="488"/>
      <c r="C1000" s="488"/>
      <c r="D1000" s="488"/>
      <c r="E1000" s="488"/>
      <c r="F1000" s="488"/>
      <c r="G1000" s="488"/>
      <c r="H1000" s="488"/>
      <c r="I1000" s="488"/>
      <c r="J1000" s="488"/>
      <c r="K1000" s="488"/>
      <c r="L1000" s="488"/>
      <c r="M1000" s="488"/>
      <c r="N1000" s="488"/>
      <c r="O1000" s="488"/>
      <c r="P1000" s="488"/>
      <c r="Q1000" s="488"/>
      <c r="R1000" s="488"/>
      <c r="S1000" s="488"/>
      <c r="T1000" s="488"/>
      <c r="U1000" s="488"/>
      <c r="V1000" s="488"/>
      <c r="W1000" s="488"/>
      <c r="X1000" s="488"/>
      <c r="Y1000" s="488"/>
      <c r="Z1000" s="488"/>
      <c r="AA1000" s="488"/>
      <c r="AB1000" s="488"/>
      <c r="AC1000" s="488"/>
      <c r="AD1000" s="488"/>
      <c r="AE1000" s="488"/>
      <c r="AF1000" s="488"/>
      <c r="AG1000" s="488"/>
      <c r="AH1000" s="488"/>
      <c r="AI1000" s="488"/>
      <c r="AJ1000" s="488"/>
    </row>
    <row r="1001" spans="1:36" s="496" customFormat="1">
      <c r="A1001" s="488"/>
      <c r="C1001" s="488"/>
      <c r="D1001" s="488"/>
      <c r="E1001" s="488"/>
      <c r="F1001" s="488"/>
      <c r="G1001" s="488"/>
      <c r="H1001" s="488"/>
      <c r="I1001" s="488"/>
      <c r="J1001" s="488"/>
      <c r="K1001" s="488"/>
      <c r="L1001" s="488"/>
      <c r="M1001" s="488"/>
      <c r="N1001" s="488"/>
      <c r="O1001" s="488"/>
      <c r="P1001" s="488"/>
      <c r="Q1001" s="488"/>
      <c r="R1001" s="488"/>
      <c r="S1001" s="488"/>
      <c r="T1001" s="488"/>
      <c r="U1001" s="488"/>
      <c r="V1001" s="488"/>
      <c r="W1001" s="488"/>
      <c r="X1001" s="488"/>
      <c r="Y1001" s="488"/>
      <c r="Z1001" s="488"/>
      <c r="AA1001" s="488"/>
      <c r="AB1001" s="488"/>
      <c r="AC1001" s="488"/>
      <c r="AD1001" s="488"/>
      <c r="AE1001" s="488"/>
      <c r="AF1001" s="488"/>
      <c r="AG1001" s="488"/>
      <c r="AH1001" s="488"/>
      <c r="AI1001" s="488"/>
      <c r="AJ1001" s="488"/>
    </row>
    <row r="1002" spans="1:36" s="496" customFormat="1">
      <c r="A1002" s="488"/>
      <c r="C1002" s="488"/>
      <c r="D1002" s="488"/>
      <c r="E1002" s="488"/>
      <c r="F1002" s="488"/>
      <c r="G1002" s="488"/>
      <c r="H1002" s="488"/>
      <c r="I1002" s="488"/>
      <c r="J1002" s="488"/>
      <c r="K1002" s="488"/>
      <c r="L1002" s="488"/>
      <c r="M1002" s="488"/>
      <c r="N1002" s="488"/>
      <c r="O1002" s="488"/>
      <c r="P1002" s="488"/>
      <c r="Q1002" s="488"/>
      <c r="R1002" s="488"/>
      <c r="S1002" s="488"/>
      <c r="T1002" s="488"/>
      <c r="U1002" s="488"/>
      <c r="V1002" s="488"/>
      <c r="W1002" s="488"/>
      <c r="X1002" s="488"/>
      <c r="Y1002" s="488"/>
      <c r="Z1002" s="488"/>
      <c r="AA1002" s="488"/>
      <c r="AB1002" s="488"/>
      <c r="AC1002" s="488"/>
      <c r="AD1002" s="488"/>
      <c r="AE1002" s="488"/>
      <c r="AF1002" s="488"/>
      <c r="AG1002" s="488"/>
      <c r="AH1002" s="488"/>
      <c r="AI1002" s="488"/>
      <c r="AJ1002" s="488"/>
    </row>
    <row r="1003" spans="1:36" s="496" customFormat="1">
      <c r="A1003" s="488"/>
      <c r="C1003" s="488"/>
      <c r="D1003" s="488"/>
      <c r="E1003" s="488"/>
      <c r="F1003" s="488"/>
      <c r="G1003" s="488"/>
      <c r="H1003" s="488"/>
      <c r="I1003" s="488"/>
      <c r="J1003" s="488"/>
      <c r="K1003" s="488"/>
      <c r="L1003" s="488"/>
      <c r="M1003" s="488"/>
      <c r="N1003" s="488"/>
      <c r="O1003" s="488"/>
      <c r="P1003" s="488"/>
      <c r="Q1003" s="488"/>
      <c r="R1003" s="488"/>
      <c r="S1003" s="488"/>
      <c r="T1003" s="488"/>
      <c r="U1003" s="488"/>
      <c r="V1003" s="488"/>
      <c r="W1003" s="488"/>
      <c r="X1003" s="488"/>
      <c r="Y1003" s="488"/>
      <c r="Z1003" s="488"/>
      <c r="AA1003" s="488"/>
      <c r="AB1003" s="488"/>
      <c r="AC1003" s="488"/>
      <c r="AD1003" s="488"/>
      <c r="AE1003" s="488"/>
      <c r="AF1003" s="488"/>
      <c r="AG1003" s="488"/>
      <c r="AH1003" s="488"/>
      <c r="AI1003" s="488"/>
      <c r="AJ1003" s="488"/>
    </row>
    <row r="1004" spans="1:36" s="496" customFormat="1">
      <c r="A1004" s="488"/>
      <c r="C1004" s="488"/>
      <c r="D1004" s="488"/>
      <c r="E1004" s="488"/>
      <c r="F1004" s="488"/>
      <c r="G1004" s="488"/>
      <c r="H1004" s="488"/>
      <c r="I1004" s="488"/>
      <c r="J1004" s="488"/>
      <c r="K1004" s="488"/>
      <c r="L1004" s="488"/>
      <c r="M1004" s="488"/>
      <c r="N1004" s="488"/>
      <c r="O1004" s="488"/>
      <c r="P1004" s="488"/>
      <c r="Q1004" s="488"/>
      <c r="R1004" s="488"/>
      <c r="S1004" s="488"/>
      <c r="T1004" s="488"/>
      <c r="U1004" s="488"/>
      <c r="V1004" s="488"/>
      <c r="W1004" s="488"/>
      <c r="X1004" s="488"/>
      <c r="Y1004" s="488"/>
      <c r="Z1004" s="488"/>
      <c r="AA1004" s="488"/>
      <c r="AB1004" s="488"/>
      <c r="AC1004" s="488"/>
      <c r="AD1004" s="488"/>
      <c r="AE1004" s="488"/>
      <c r="AF1004" s="488"/>
      <c r="AG1004" s="488"/>
      <c r="AH1004" s="488"/>
      <c r="AI1004" s="488"/>
      <c r="AJ1004" s="488"/>
    </row>
    <row r="1005" spans="1:36" s="496" customFormat="1">
      <c r="A1005" s="488"/>
      <c r="C1005" s="488"/>
      <c r="D1005" s="488"/>
      <c r="E1005" s="488"/>
      <c r="F1005" s="488"/>
      <c r="G1005" s="488"/>
      <c r="H1005" s="488"/>
      <c r="I1005" s="488"/>
      <c r="J1005" s="488"/>
      <c r="K1005" s="488"/>
      <c r="L1005" s="488"/>
      <c r="M1005" s="488"/>
      <c r="N1005" s="488"/>
      <c r="O1005" s="488"/>
      <c r="P1005" s="488"/>
      <c r="Q1005" s="488"/>
      <c r="R1005" s="488"/>
      <c r="S1005" s="488"/>
      <c r="T1005" s="488"/>
      <c r="U1005" s="488"/>
      <c r="V1005" s="488"/>
      <c r="W1005" s="488"/>
      <c r="X1005" s="488"/>
      <c r="Y1005" s="488"/>
      <c r="Z1005" s="488"/>
      <c r="AA1005" s="488"/>
      <c r="AB1005" s="488"/>
      <c r="AC1005" s="488"/>
      <c r="AD1005" s="488"/>
      <c r="AE1005" s="488"/>
      <c r="AF1005" s="488"/>
      <c r="AG1005" s="488"/>
      <c r="AH1005" s="488"/>
      <c r="AI1005" s="488"/>
      <c r="AJ1005" s="488"/>
    </row>
    <row r="1006" spans="1:36" s="496" customFormat="1">
      <c r="A1006" s="488"/>
      <c r="C1006" s="488"/>
      <c r="D1006" s="488"/>
      <c r="E1006" s="488"/>
      <c r="F1006" s="488"/>
      <c r="G1006" s="488"/>
      <c r="H1006" s="488"/>
      <c r="I1006" s="488"/>
      <c r="J1006" s="488"/>
      <c r="K1006" s="488"/>
      <c r="L1006" s="488"/>
      <c r="M1006" s="488"/>
      <c r="N1006" s="488"/>
      <c r="O1006" s="488"/>
      <c r="P1006" s="488"/>
      <c r="Q1006" s="488"/>
      <c r="R1006" s="488"/>
      <c r="S1006" s="488"/>
      <c r="T1006" s="488"/>
      <c r="U1006" s="488"/>
      <c r="V1006" s="488"/>
      <c r="W1006" s="488"/>
      <c r="X1006" s="488"/>
      <c r="Y1006" s="488"/>
      <c r="Z1006" s="488"/>
      <c r="AA1006" s="488"/>
      <c r="AB1006" s="488"/>
      <c r="AC1006" s="488"/>
      <c r="AD1006" s="488"/>
      <c r="AE1006" s="488"/>
      <c r="AF1006" s="488"/>
      <c r="AG1006" s="488"/>
      <c r="AH1006" s="488"/>
      <c r="AI1006" s="488"/>
      <c r="AJ1006" s="488"/>
    </row>
    <row r="1007" spans="1:36" s="496" customFormat="1">
      <c r="A1007" s="488"/>
      <c r="C1007" s="488"/>
      <c r="D1007" s="488"/>
      <c r="E1007" s="488"/>
      <c r="F1007" s="488"/>
      <c r="G1007" s="488"/>
      <c r="H1007" s="488"/>
      <c r="I1007" s="488"/>
      <c r="J1007" s="488"/>
      <c r="K1007" s="488"/>
      <c r="L1007" s="488"/>
      <c r="M1007" s="488"/>
      <c r="N1007" s="488"/>
      <c r="O1007" s="488"/>
      <c r="P1007" s="488"/>
      <c r="Q1007" s="488"/>
      <c r="R1007" s="488"/>
      <c r="S1007" s="488"/>
      <c r="T1007" s="488"/>
      <c r="U1007" s="488"/>
      <c r="V1007" s="488"/>
      <c r="W1007" s="488"/>
      <c r="X1007" s="488"/>
      <c r="Y1007" s="488"/>
      <c r="Z1007" s="488"/>
      <c r="AA1007" s="488"/>
      <c r="AB1007" s="488"/>
      <c r="AC1007" s="488"/>
      <c r="AD1007" s="488"/>
      <c r="AE1007" s="488"/>
      <c r="AF1007" s="488"/>
      <c r="AG1007" s="488"/>
      <c r="AH1007" s="488"/>
      <c r="AI1007" s="488"/>
      <c r="AJ1007" s="488"/>
    </row>
    <row r="1008" spans="1:36" s="496" customFormat="1">
      <c r="A1008" s="488"/>
      <c r="C1008" s="488"/>
      <c r="D1008" s="488"/>
      <c r="E1008" s="488"/>
      <c r="F1008" s="488"/>
      <c r="G1008" s="488"/>
      <c r="H1008" s="488"/>
      <c r="I1008" s="488"/>
      <c r="J1008" s="488"/>
      <c r="K1008" s="488"/>
      <c r="L1008" s="488"/>
      <c r="M1008" s="488"/>
      <c r="N1008" s="488"/>
      <c r="O1008" s="488"/>
      <c r="P1008" s="488"/>
      <c r="Q1008" s="488"/>
      <c r="R1008" s="488"/>
      <c r="S1008" s="488"/>
      <c r="T1008" s="488"/>
      <c r="U1008" s="488"/>
      <c r="V1008" s="488"/>
      <c r="W1008" s="488"/>
      <c r="X1008" s="488"/>
      <c r="Y1008" s="488"/>
      <c r="Z1008" s="488"/>
      <c r="AA1008" s="488"/>
      <c r="AB1008" s="488"/>
      <c r="AC1008" s="488"/>
      <c r="AD1008" s="488"/>
      <c r="AE1008" s="488"/>
      <c r="AF1008" s="488"/>
      <c r="AG1008" s="488"/>
      <c r="AH1008" s="488"/>
      <c r="AI1008" s="488"/>
      <c r="AJ1008" s="488"/>
    </row>
    <row r="1009" spans="1:36" s="496" customFormat="1">
      <c r="A1009" s="488"/>
      <c r="C1009" s="488"/>
      <c r="D1009" s="488"/>
      <c r="E1009" s="488"/>
      <c r="F1009" s="488"/>
      <c r="G1009" s="488"/>
      <c r="H1009" s="488"/>
      <c r="I1009" s="488"/>
      <c r="J1009" s="488"/>
      <c r="K1009" s="488"/>
      <c r="L1009" s="488"/>
      <c r="M1009" s="488"/>
      <c r="N1009" s="488"/>
      <c r="O1009" s="488"/>
      <c r="P1009" s="488"/>
      <c r="Q1009" s="488"/>
      <c r="R1009" s="488"/>
      <c r="S1009" s="488"/>
      <c r="T1009" s="488"/>
      <c r="U1009" s="488"/>
      <c r="V1009" s="488"/>
      <c r="W1009" s="488"/>
      <c r="X1009" s="488"/>
      <c r="Y1009" s="488"/>
      <c r="Z1009" s="488"/>
      <c r="AA1009" s="488"/>
      <c r="AB1009" s="488"/>
      <c r="AC1009" s="488"/>
      <c r="AD1009" s="488"/>
      <c r="AE1009" s="488"/>
      <c r="AF1009" s="488"/>
      <c r="AG1009" s="488"/>
      <c r="AH1009" s="488"/>
      <c r="AI1009" s="488"/>
      <c r="AJ1009" s="488"/>
    </row>
    <row r="1010" spans="1:36" s="496" customFormat="1">
      <c r="A1010" s="488"/>
      <c r="C1010" s="488"/>
      <c r="D1010" s="488"/>
      <c r="E1010" s="488"/>
      <c r="F1010" s="488"/>
      <c r="G1010" s="488"/>
      <c r="H1010" s="488"/>
      <c r="I1010" s="488"/>
      <c r="J1010" s="488"/>
      <c r="K1010" s="488"/>
      <c r="L1010" s="488"/>
      <c r="M1010" s="488"/>
      <c r="N1010" s="488"/>
      <c r="O1010" s="488"/>
      <c r="P1010" s="488"/>
      <c r="Q1010" s="488"/>
      <c r="R1010" s="488"/>
      <c r="S1010" s="488"/>
      <c r="T1010" s="488"/>
      <c r="U1010" s="488"/>
      <c r="V1010" s="488"/>
      <c r="W1010" s="488"/>
      <c r="X1010" s="488"/>
      <c r="Y1010" s="488"/>
      <c r="Z1010" s="488"/>
      <c r="AA1010" s="488"/>
      <c r="AB1010" s="488"/>
      <c r="AC1010" s="488"/>
      <c r="AD1010" s="488"/>
      <c r="AE1010" s="488"/>
      <c r="AF1010" s="488"/>
      <c r="AG1010" s="488"/>
      <c r="AH1010" s="488"/>
      <c r="AI1010" s="488"/>
      <c r="AJ1010" s="488"/>
    </row>
    <row r="1011" spans="1:36" s="496" customFormat="1">
      <c r="A1011" s="488"/>
      <c r="C1011" s="488"/>
      <c r="D1011" s="488"/>
      <c r="E1011" s="488"/>
      <c r="F1011" s="488"/>
      <c r="G1011" s="488"/>
      <c r="H1011" s="488"/>
      <c r="I1011" s="488"/>
      <c r="J1011" s="488"/>
      <c r="K1011" s="488"/>
      <c r="L1011" s="488"/>
      <c r="M1011" s="488"/>
      <c r="N1011" s="488"/>
      <c r="O1011" s="488"/>
      <c r="P1011" s="488"/>
      <c r="Q1011" s="488"/>
      <c r="R1011" s="488"/>
      <c r="S1011" s="488"/>
      <c r="T1011" s="488"/>
      <c r="U1011" s="488"/>
      <c r="V1011" s="488"/>
      <c r="W1011" s="488"/>
      <c r="X1011" s="488"/>
      <c r="Y1011" s="488"/>
      <c r="Z1011" s="488"/>
      <c r="AA1011" s="488"/>
      <c r="AB1011" s="488"/>
      <c r="AC1011" s="488"/>
      <c r="AD1011" s="488"/>
      <c r="AE1011" s="488"/>
      <c r="AF1011" s="488"/>
      <c r="AG1011" s="488"/>
      <c r="AH1011" s="488"/>
      <c r="AI1011" s="488"/>
      <c r="AJ1011" s="488"/>
    </row>
    <row r="1012" spans="1:36" s="496" customFormat="1">
      <c r="A1012" s="488"/>
      <c r="C1012" s="488"/>
      <c r="D1012" s="488"/>
      <c r="E1012" s="488"/>
      <c r="F1012" s="488"/>
      <c r="G1012" s="488"/>
      <c r="H1012" s="488"/>
      <c r="I1012" s="488"/>
      <c r="J1012" s="488"/>
      <c r="K1012" s="488"/>
      <c r="L1012" s="488"/>
      <c r="M1012" s="488"/>
      <c r="N1012" s="488"/>
      <c r="O1012" s="488"/>
      <c r="P1012" s="488"/>
      <c r="Q1012" s="488"/>
      <c r="R1012" s="488"/>
      <c r="S1012" s="488"/>
      <c r="T1012" s="488"/>
      <c r="U1012" s="488"/>
      <c r="V1012" s="488"/>
      <c r="W1012" s="488"/>
      <c r="X1012" s="488"/>
      <c r="Y1012" s="488"/>
      <c r="Z1012" s="488"/>
      <c r="AA1012" s="488"/>
      <c r="AB1012" s="488"/>
      <c r="AC1012" s="488"/>
      <c r="AD1012" s="488"/>
      <c r="AE1012" s="488"/>
      <c r="AF1012" s="488"/>
      <c r="AG1012" s="488"/>
      <c r="AH1012" s="488"/>
      <c r="AI1012" s="488"/>
      <c r="AJ1012" s="488"/>
    </row>
    <row r="1013" spans="1:36" s="496" customFormat="1">
      <c r="A1013" s="488"/>
      <c r="C1013" s="488"/>
      <c r="D1013" s="488"/>
      <c r="E1013" s="488"/>
      <c r="F1013" s="488"/>
      <c r="G1013" s="488"/>
      <c r="H1013" s="488"/>
      <c r="I1013" s="488"/>
      <c r="J1013" s="488"/>
      <c r="K1013" s="488"/>
      <c r="L1013" s="488"/>
      <c r="M1013" s="488"/>
      <c r="N1013" s="488"/>
      <c r="O1013" s="488"/>
      <c r="P1013" s="488"/>
      <c r="Q1013" s="488"/>
      <c r="R1013" s="488"/>
      <c r="S1013" s="488"/>
      <c r="T1013" s="488"/>
      <c r="U1013" s="488"/>
      <c r="V1013" s="488"/>
      <c r="W1013" s="488"/>
      <c r="X1013" s="488"/>
      <c r="Y1013" s="488"/>
      <c r="Z1013" s="488"/>
      <c r="AA1013" s="488"/>
      <c r="AB1013" s="488"/>
      <c r="AC1013" s="488"/>
      <c r="AD1013" s="488"/>
      <c r="AE1013" s="488"/>
      <c r="AF1013" s="488"/>
      <c r="AG1013" s="488"/>
      <c r="AH1013" s="488"/>
      <c r="AI1013" s="488"/>
      <c r="AJ1013" s="488"/>
    </row>
    <row r="1014" spans="1:36" s="496" customFormat="1">
      <c r="A1014" s="488"/>
      <c r="C1014" s="488"/>
      <c r="D1014" s="488"/>
      <c r="E1014" s="488"/>
      <c r="F1014" s="488"/>
      <c r="G1014" s="488"/>
      <c r="H1014" s="488"/>
      <c r="I1014" s="488"/>
      <c r="J1014" s="488"/>
      <c r="K1014" s="488"/>
      <c r="L1014" s="488"/>
      <c r="M1014" s="488"/>
      <c r="N1014" s="488"/>
      <c r="O1014" s="488"/>
      <c r="P1014" s="488"/>
      <c r="Q1014" s="488"/>
      <c r="R1014" s="488"/>
      <c r="S1014" s="488"/>
      <c r="T1014" s="488"/>
      <c r="U1014" s="488"/>
      <c r="V1014" s="488"/>
      <c r="W1014" s="488"/>
      <c r="X1014" s="488"/>
      <c r="Y1014" s="488"/>
      <c r="Z1014" s="488"/>
      <c r="AA1014" s="488"/>
      <c r="AB1014" s="488"/>
      <c r="AC1014" s="488"/>
      <c r="AD1014" s="488"/>
      <c r="AE1014" s="488"/>
      <c r="AF1014" s="488"/>
      <c r="AG1014" s="488"/>
      <c r="AH1014" s="488"/>
      <c r="AI1014" s="488"/>
      <c r="AJ1014" s="488"/>
    </row>
    <row r="1015" spans="1:36" s="496" customFormat="1">
      <c r="A1015" s="488"/>
      <c r="C1015" s="488"/>
      <c r="D1015" s="488"/>
      <c r="E1015" s="488"/>
      <c r="F1015" s="488"/>
      <c r="G1015" s="488"/>
      <c r="H1015" s="488"/>
      <c r="I1015" s="488"/>
      <c r="J1015" s="488"/>
      <c r="K1015" s="488"/>
      <c r="L1015" s="488"/>
      <c r="M1015" s="488"/>
      <c r="N1015" s="488"/>
      <c r="O1015" s="488"/>
      <c r="P1015" s="488"/>
      <c r="Q1015" s="488"/>
      <c r="R1015" s="488"/>
      <c r="S1015" s="488"/>
      <c r="T1015" s="488"/>
      <c r="U1015" s="488"/>
      <c r="V1015" s="488"/>
      <c r="W1015" s="488"/>
      <c r="X1015" s="488"/>
      <c r="Y1015" s="488"/>
      <c r="Z1015" s="488"/>
      <c r="AA1015" s="488"/>
      <c r="AB1015" s="488"/>
      <c r="AC1015" s="488"/>
      <c r="AD1015" s="488"/>
      <c r="AE1015" s="488"/>
      <c r="AF1015" s="488"/>
      <c r="AG1015" s="488"/>
      <c r="AH1015" s="488"/>
      <c r="AI1015" s="488"/>
      <c r="AJ1015" s="488"/>
    </row>
    <row r="1016" spans="1:36" s="496" customFormat="1">
      <c r="A1016" s="488"/>
      <c r="C1016" s="488"/>
      <c r="D1016" s="488"/>
      <c r="E1016" s="488"/>
      <c r="F1016" s="488"/>
      <c r="G1016" s="488"/>
      <c r="H1016" s="488"/>
      <c r="I1016" s="488"/>
      <c r="J1016" s="488"/>
      <c r="K1016" s="488"/>
      <c r="L1016" s="488"/>
      <c r="M1016" s="488"/>
      <c r="N1016" s="488"/>
      <c r="O1016" s="488"/>
      <c r="P1016" s="488"/>
      <c r="Q1016" s="488"/>
      <c r="R1016" s="488"/>
      <c r="S1016" s="488"/>
      <c r="T1016" s="488"/>
      <c r="U1016" s="488"/>
      <c r="V1016" s="488"/>
      <c r="W1016" s="488"/>
      <c r="X1016" s="488"/>
      <c r="Y1016" s="488"/>
      <c r="Z1016" s="488"/>
      <c r="AA1016" s="488"/>
      <c r="AB1016" s="488"/>
      <c r="AC1016" s="488"/>
      <c r="AD1016" s="488"/>
      <c r="AE1016" s="488"/>
      <c r="AF1016" s="488"/>
      <c r="AG1016" s="488"/>
      <c r="AH1016" s="488"/>
      <c r="AI1016" s="488"/>
      <c r="AJ1016" s="488"/>
    </row>
    <row r="1017" spans="1:36" s="496" customFormat="1">
      <c r="A1017" s="488"/>
      <c r="C1017" s="488"/>
      <c r="D1017" s="488"/>
      <c r="E1017" s="488"/>
      <c r="F1017" s="488"/>
      <c r="G1017" s="488"/>
      <c r="H1017" s="488"/>
      <c r="I1017" s="488"/>
      <c r="J1017" s="488"/>
      <c r="K1017" s="488"/>
      <c r="L1017" s="488"/>
      <c r="M1017" s="488"/>
      <c r="N1017" s="488"/>
      <c r="O1017" s="488"/>
      <c r="P1017" s="488"/>
      <c r="Q1017" s="488"/>
      <c r="R1017" s="488"/>
      <c r="S1017" s="488"/>
      <c r="T1017" s="488"/>
      <c r="U1017" s="488"/>
      <c r="V1017" s="488"/>
      <c r="W1017" s="488"/>
      <c r="X1017" s="488"/>
      <c r="Y1017" s="488"/>
      <c r="Z1017" s="488"/>
      <c r="AA1017" s="488"/>
      <c r="AB1017" s="488"/>
      <c r="AC1017" s="488"/>
      <c r="AD1017" s="488"/>
      <c r="AE1017" s="488"/>
      <c r="AF1017" s="488"/>
      <c r="AG1017" s="488"/>
      <c r="AH1017" s="488"/>
      <c r="AI1017" s="488"/>
      <c r="AJ1017" s="488"/>
    </row>
    <row r="1018" spans="1:36" s="496" customFormat="1">
      <c r="A1018" s="488"/>
      <c r="C1018" s="488"/>
      <c r="D1018" s="488"/>
      <c r="E1018" s="488"/>
      <c r="F1018" s="488"/>
      <c r="G1018" s="488"/>
      <c r="H1018" s="488"/>
      <c r="I1018" s="488"/>
      <c r="J1018" s="488"/>
      <c r="K1018" s="488"/>
      <c r="L1018" s="488"/>
      <c r="M1018" s="488"/>
      <c r="N1018" s="488"/>
      <c r="O1018" s="488"/>
      <c r="P1018" s="488"/>
      <c r="Q1018" s="488"/>
      <c r="R1018" s="488"/>
      <c r="S1018" s="488"/>
      <c r="T1018" s="488"/>
      <c r="U1018" s="488"/>
      <c r="V1018" s="488"/>
      <c r="W1018" s="488"/>
      <c r="X1018" s="488"/>
      <c r="Y1018" s="488"/>
      <c r="Z1018" s="488"/>
      <c r="AA1018" s="488"/>
      <c r="AB1018" s="488"/>
      <c r="AC1018" s="488"/>
      <c r="AD1018" s="488"/>
      <c r="AE1018" s="488"/>
      <c r="AF1018" s="488"/>
      <c r="AG1018" s="488"/>
      <c r="AH1018" s="488"/>
      <c r="AI1018" s="488"/>
      <c r="AJ1018" s="488"/>
    </row>
    <row r="1019" spans="1:36" s="496" customFormat="1">
      <c r="A1019" s="488"/>
      <c r="C1019" s="488"/>
      <c r="D1019" s="488"/>
      <c r="E1019" s="488"/>
      <c r="F1019" s="488"/>
      <c r="G1019" s="488"/>
      <c r="H1019" s="488"/>
      <c r="I1019" s="488"/>
      <c r="J1019" s="488"/>
      <c r="K1019" s="488"/>
      <c r="L1019" s="488"/>
      <c r="M1019" s="488"/>
      <c r="N1019" s="488"/>
      <c r="O1019" s="488"/>
      <c r="P1019" s="488"/>
      <c r="Q1019" s="488"/>
      <c r="R1019" s="488"/>
      <c r="S1019" s="488"/>
      <c r="T1019" s="488"/>
      <c r="U1019" s="488"/>
      <c r="V1019" s="488"/>
      <c r="W1019" s="488"/>
      <c r="X1019" s="488"/>
      <c r="Y1019" s="488"/>
      <c r="Z1019" s="488"/>
      <c r="AA1019" s="488"/>
      <c r="AB1019" s="488"/>
      <c r="AC1019" s="488"/>
      <c r="AD1019" s="488"/>
      <c r="AE1019" s="488"/>
      <c r="AF1019" s="488"/>
      <c r="AG1019" s="488"/>
      <c r="AH1019" s="488"/>
      <c r="AI1019" s="488"/>
      <c r="AJ1019" s="488"/>
    </row>
    <row r="1020" spans="1:36" s="496" customFormat="1">
      <c r="A1020" s="488"/>
      <c r="C1020" s="488"/>
      <c r="D1020" s="488"/>
      <c r="E1020" s="488"/>
      <c r="F1020" s="488"/>
      <c r="G1020" s="488"/>
      <c r="H1020" s="488"/>
      <c r="I1020" s="488"/>
      <c r="J1020" s="488"/>
      <c r="K1020" s="488"/>
      <c r="L1020" s="488"/>
      <c r="M1020" s="488"/>
      <c r="N1020" s="488"/>
      <c r="O1020" s="488"/>
      <c r="P1020" s="488"/>
      <c r="Q1020" s="488"/>
      <c r="R1020" s="488"/>
      <c r="S1020" s="488"/>
      <c r="T1020" s="488"/>
      <c r="U1020" s="488"/>
      <c r="V1020" s="488"/>
      <c r="W1020" s="488"/>
      <c r="X1020" s="488"/>
      <c r="Y1020" s="488"/>
      <c r="Z1020" s="488"/>
      <c r="AA1020" s="488"/>
      <c r="AB1020" s="488"/>
      <c r="AC1020" s="488"/>
      <c r="AD1020" s="488"/>
      <c r="AE1020" s="488"/>
      <c r="AF1020" s="488"/>
      <c r="AG1020" s="488"/>
      <c r="AH1020" s="488"/>
      <c r="AI1020" s="488"/>
      <c r="AJ1020" s="488"/>
    </row>
    <row r="1021" spans="1:36" s="496" customFormat="1">
      <c r="A1021" s="488"/>
      <c r="C1021" s="488"/>
      <c r="D1021" s="488"/>
      <c r="E1021" s="488"/>
      <c r="F1021" s="488"/>
      <c r="G1021" s="488"/>
      <c r="H1021" s="488"/>
      <c r="I1021" s="488"/>
      <c r="J1021" s="488"/>
      <c r="K1021" s="488"/>
      <c r="L1021" s="488"/>
      <c r="M1021" s="488"/>
      <c r="N1021" s="488"/>
      <c r="O1021" s="488"/>
      <c r="P1021" s="488"/>
      <c r="Q1021" s="488"/>
      <c r="R1021" s="488"/>
      <c r="S1021" s="488"/>
      <c r="T1021" s="488"/>
      <c r="U1021" s="488"/>
      <c r="V1021" s="488"/>
      <c r="W1021" s="488"/>
      <c r="X1021" s="488"/>
      <c r="Y1021" s="488"/>
      <c r="Z1021" s="488"/>
      <c r="AA1021" s="488"/>
      <c r="AB1021" s="488"/>
      <c r="AC1021" s="488"/>
      <c r="AD1021" s="488"/>
      <c r="AE1021" s="488"/>
      <c r="AF1021" s="488"/>
      <c r="AG1021" s="488"/>
      <c r="AH1021" s="488"/>
      <c r="AI1021" s="488"/>
      <c r="AJ1021" s="488"/>
    </row>
    <row r="1022" spans="1:36" s="496" customFormat="1">
      <c r="A1022" s="488"/>
      <c r="C1022" s="488"/>
      <c r="D1022" s="488"/>
      <c r="E1022" s="488"/>
      <c r="F1022" s="488"/>
      <c r="G1022" s="488"/>
      <c r="H1022" s="488"/>
      <c r="I1022" s="488"/>
      <c r="J1022" s="488"/>
      <c r="K1022" s="488"/>
      <c r="L1022" s="488"/>
      <c r="M1022" s="488"/>
      <c r="N1022" s="488"/>
      <c r="O1022" s="488"/>
      <c r="P1022" s="488"/>
      <c r="Q1022" s="488"/>
      <c r="R1022" s="488"/>
      <c r="S1022" s="488"/>
      <c r="T1022" s="488"/>
      <c r="U1022" s="488"/>
      <c r="V1022" s="488"/>
      <c r="W1022" s="488"/>
      <c r="X1022" s="488"/>
      <c r="Y1022" s="488"/>
      <c r="Z1022" s="488"/>
      <c r="AA1022" s="488"/>
      <c r="AB1022" s="488"/>
      <c r="AC1022" s="488"/>
      <c r="AD1022" s="488"/>
      <c r="AE1022" s="488"/>
      <c r="AF1022" s="488"/>
      <c r="AG1022" s="488"/>
      <c r="AH1022" s="488"/>
      <c r="AI1022" s="488"/>
      <c r="AJ1022" s="488"/>
    </row>
    <row r="1023" spans="1:36" s="496" customFormat="1">
      <c r="A1023" s="488"/>
      <c r="C1023" s="488"/>
      <c r="D1023" s="488"/>
      <c r="E1023" s="488"/>
      <c r="F1023" s="488"/>
      <c r="G1023" s="488"/>
      <c r="H1023" s="488"/>
      <c r="I1023" s="488"/>
      <c r="J1023" s="488"/>
      <c r="K1023" s="488"/>
      <c r="L1023" s="488"/>
      <c r="M1023" s="488"/>
      <c r="N1023" s="488"/>
      <c r="O1023" s="488"/>
      <c r="P1023" s="488"/>
      <c r="Q1023" s="488"/>
      <c r="R1023" s="488"/>
      <c r="S1023" s="488"/>
      <c r="T1023" s="488"/>
      <c r="U1023" s="488"/>
      <c r="V1023" s="488"/>
      <c r="W1023" s="488"/>
      <c r="X1023" s="488"/>
      <c r="Y1023" s="488"/>
      <c r="Z1023" s="488"/>
      <c r="AA1023" s="488"/>
      <c r="AB1023" s="488"/>
      <c r="AC1023" s="488"/>
      <c r="AD1023" s="488"/>
      <c r="AE1023" s="488"/>
      <c r="AF1023" s="488"/>
      <c r="AG1023" s="488"/>
      <c r="AH1023" s="488"/>
      <c r="AI1023" s="488"/>
      <c r="AJ1023" s="488"/>
    </row>
    <row r="1024" spans="1:36" s="496" customFormat="1">
      <c r="A1024" s="488"/>
      <c r="C1024" s="488"/>
      <c r="D1024" s="488"/>
      <c r="E1024" s="488"/>
      <c r="F1024" s="488"/>
      <c r="G1024" s="488"/>
      <c r="H1024" s="488"/>
      <c r="I1024" s="488"/>
      <c r="J1024" s="488"/>
      <c r="K1024" s="488"/>
      <c r="L1024" s="488"/>
      <c r="M1024" s="488"/>
      <c r="N1024" s="488"/>
      <c r="O1024" s="488"/>
      <c r="P1024" s="488"/>
      <c r="Q1024" s="488"/>
      <c r="R1024" s="488"/>
      <c r="S1024" s="488"/>
      <c r="T1024" s="488"/>
      <c r="U1024" s="488"/>
      <c r="V1024" s="488"/>
      <c r="W1024" s="488"/>
      <c r="X1024" s="488"/>
      <c r="Y1024" s="488"/>
      <c r="Z1024" s="488"/>
      <c r="AA1024" s="488"/>
      <c r="AB1024" s="488"/>
      <c r="AC1024" s="488"/>
      <c r="AD1024" s="488"/>
      <c r="AE1024" s="488"/>
      <c r="AF1024" s="488"/>
      <c r="AG1024" s="488"/>
      <c r="AH1024" s="488"/>
      <c r="AI1024" s="488"/>
      <c r="AJ1024" s="488"/>
    </row>
    <row r="1025" spans="1:36" s="496" customFormat="1">
      <c r="A1025" s="488"/>
      <c r="C1025" s="488"/>
      <c r="D1025" s="488"/>
      <c r="E1025" s="488"/>
      <c r="F1025" s="488"/>
      <c r="G1025" s="488"/>
      <c r="H1025" s="488"/>
      <c r="I1025" s="488"/>
      <c r="J1025" s="488"/>
      <c r="K1025" s="488"/>
      <c r="L1025" s="488"/>
      <c r="M1025" s="488"/>
      <c r="N1025" s="488"/>
      <c r="O1025" s="488"/>
      <c r="P1025" s="488"/>
      <c r="Q1025" s="488"/>
      <c r="R1025" s="488"/>
      <c r="S1025" s="488"/>
      <c r="T1025" s="488"/>
      <c r="U1025" s="488"/>
      <c r="V1025" s="488"/>
      <c r="W1025" s="488"/>
      <c r="X1025" s="488"/>
      <c r="Y1025" s="488"/>
      <c r="Z1025" s="488"/>
      <c r="AA1025" s="488"/>
      <c r="AB1025" s="488"/>
      <c r="AC1025" s="488"/>
      <c r="AD1025" s="488"/>
      <c r="AE1025" s="488"/>
      <c r="AF1025" s="488"/>
      <c r="AG1025" s="488"/>
      <c r="AH1025" s="488"/>
      <c r="AI1025" s="488"/>
      <c r="AJ1025" s="488"/>
    </row>
    <row r="1026" spans="1:36" s="496" customFormat="1">
      <c r="A1026" s="488"/>
      <c r="C1026" s="488"/>
      <c r="D1026" s="488"/>
      <c r="E1026" s="488"/>
      <c r="F1026" s="488"/>
      <c r="G1026" s="488"/>
      <c r="H1026" s="488"/>
      <c r="I1026" s="488"/>
      <c r="J1026" s="488"/>
      <c r="K1026" s="488"/>
      <c r="L1026" s="488"/>
      <c r="M1026" s="488"/>
      <c r="N1026" s="488"/>
      <c r="O1026" s="488"/>
      <c r="P1026" s="488"/>
      <c r="Q1026" s="488"/>
      <c r="R1026" s="488"/>
      <c r="S1026" s="488"/>
      <c r="T1026" s="488"/>
      <c r="U1026" s="488"/>
      <c r="V1026" s="488"/>
      <c r="W1026" s="488"/>
      <c r="X1026" s="488"/>
      <c r="Y1026" s="488"/>
      <c r="Z1026" s="488"/>
      <c r="AA1026" s="488"/>
      <c r="AB1026" s="488"/>
      <c r="AC1026" s="488"/>
      <c r="AD1026" s="488"/>
      <c r="AE1026" s="488"/>
      <c r="AF1026" s="488"/>
      <c r="AG1026" s="488"/>
      <c r="AH1026" s="488"/>
      <c r="AI1026" s="488"/>
      <c r="AJ1026" s="488"/>
    </row>
    <row r="1027" spans="1:36" s="496" customFormat="1">
      <c r="A1027" s="488"/>
      <c r="C1027" s="488"/>
      <c r="D1027" s="488"/>
      <c r="E1027" s="488"/>
      <c r="F1027" s="488"/>
      <c r="G1027" s="488"/>
      <c r="H1027" s="488"/>
      <c r="I1027" s="488"/>
      <c r="J1027" s="488"/>
      <c r="K1027" s="488"/>
      <c r="L1027" s="488"/>
      <c r="M1027" s="488"/>
      <c r="N1027" s="488"/>
      <c r="O1027" s="488"/>
      <c r="P1027" s="488"/>
      <c r="Q1027" s="488"/>
      <c r="R1027" s="488"/>
      <c r="S1027" s="488"/>
      <c r="T1027" s="488"/>
      <c r="U1027" s="488"/>
      <c r="V1027" s="488"/>
      <c r="W1027" s="488"/>
      <c r="X1027" s="488"/>
      <c r="Y1027" s="488"/>
      <c r="Z1027" s="488"/>
      <c r="AA1027" s="488"/>
      <c r="AB1027" s="488"/>
      <c r="AC1027" s="488"/>
      <c r="AD1027" s="488"/>
      <c r="AE1027" s="488"/>
      <c r="AF1027" s="488"/>
      <c r="AG1027" s="488"/>
      <c r="AH1027" s="488"/>
      <c r="AI1027" s="488"/>
      <c r="AJ1027" s="488"/>
    </row>
    <row r="1028" spans="1:36" s="496" customFormat="1">
      <c r="A1028" s="488"/>
      <c r="C1028" s="488"/>
      <c r="D1028" s="488"/>
      <c r="E1028" s="488"/>
      <c r="F1028" s="488"/>
      <c r="G1028" s="488"/>
      <c r="H1028" s="488"/>
      <c r="I1028" s="488"/>
      <c r="J1028" s="488"/>
      <c r="K1028" s="488"/>
      <c r="L1028" s="488"/>
      <c r="M1028" s="488"/>
      <c r="N1028" s="488"/>
      <c r="O1028" s="488"/>
      <c r="P1028" s="488"/>
      <c r="Q1028" s="488"/>
      <c r="R1028" s="488"/>
      <c r="S1028" s="488"/>
      <c r="T1028" s="488"/>
      <c r="U1028" s="488"/>
      <c r="V1028" s="488"/>
      <c r="W1028" s="488"/>
      <c r="X1028" s="488"/>
      <c r="Y1028" s="488"/>
      <c r="Z1028" s="488"/>
      <c r="AA1028" s="488"/>
      <c r="AB1028" s="488"/>
      <c r="AC1028" s="488"/>
      <c r="AD1028" s="488"/>
      <c r="AE1028" s="488"/>
      <c r="AF1028" s="488"/>
      <c r="AG1028" s="488"/>
      <c r="AH1028" s="488"/>
      <c r="AI1028" s="488"/>
      <c r="AJ1028" s="488"/>
    </row>
    <row r="1029" spans="1:36" s="496" customFormat="1">
      <c r="A1029" s="488"/>
      <c r="C1029" s="488"/>
      <c r="D1029" s="488"/>
      <c r="E1029" s="488"/>
      <c r="F1029" s="488"/>
      <c r="G1029" s="488"/>
      <c r="H1029" s="488"/>
      <c r="I1029" s="488"/>
      <c r="J1029" s="488"/>
      <c r="K1029" s="488"/>
      <c r="L1029" s="488"/>
      <c r="M1029" s="488"/>
      <c r="N1029" s="488"/>
      <c r="O1029" s="488"/>
      <c r="P1029" s="488"/>
      <c r="Q1029" s="488"/>
      <c r="R1029" s="488"/>
      <c r="S1029" s="488"/>
      <c r="T1029" s="488"/>
      <c r="U1029" s="488"/>
      <c r="V1029" s="488"/>
      <c r="W1029" s="488"/>
      <c r="X1029" s="488"/>
      <c r="Y1029" s="488"/>
      <c r="Z1029" s="488"/>
      <c r="AA1029" s="488"/>
      <c r="AB1029" s="488"/>
      <c r="AC1029" s="488"/>
      <c r="AD1029" s="488"/>
      <c r="AE1029" s="488"/>
      <c r="AF1029" s="488"/>
      <c r="AG1029" s="488"/>
      <c r="AH1029" s="488"/>
      <c r="AI1029" s="488"/>
      <c r="AJ1029" s="488"/>
    </row>
    <row r="1030" spans="1:36" s="496" customFormat="1">
      <c r="A1030" s="488"/>
      <c r="C1030" s="488"/>
      <c r="D1030" s="488"/>
      <c r="E1030" s="488"/>
      <c r="F1030" s="488"/>
      <c r="G1030" s="488"/>
      <c r="H1030" s="488"/>
      <c r="I1030" s="488"/>
      <c r="J1030" s="488"/>
      <c r="K1030" s="488"/>
      <c r="L1030" s="488"/>
      <c r="M1030" s="488"/>
      <c r="N1030" s="488"/>
      <c r="O1030" s="488"/>
      <c r="P1030" s="488"/>
      <c r="Q1030" s="488"/>
      <c r="R1030" s="488"/>
      <c r="S1030" s="488"/>
      <c r="T1030" s="488"/>
      <c r="U1030" s="488"/>
      <c r="V1030" s="488"/>
      <c r="W1030" s="488"/>
      <c r="X1030" s="488"/>
      <c r="Y1030" s="488"/>
      <c r="Z1030" s="488"/>
      <c r="AA1030" s="488"/>
      <c r="AB1030" s="488"/>
      <c r="AC1030" s="488"/>
      <c r="AD1030" s="488"/>
      <c r="AE1030" s="488"/>
      <c r="AF1030" s="488"/>
      <c r="AG1030" s="488"/>
      <c r="AH1030" s="488"/>
      <c r="AI1030" s="488"/>
      <c r="AJ1030" s="488"/>
    </row>
    <row r="1031" spans="1:36" s="496" customFormat="1">
      <c r="A1031" s="488"/>
      <c r="C1031" s="488"/>
      <c r="D1031" s="488"/>
      <c r="E1031" s="488"/>
      <c r="F1031" s="488"/>
      <c r="G1031" s="488"/>
      <c r="H1031" s="488"/>
      <c r="I1031" s="488"/>
      <c r="J1031" s="488"/>
      <c r="K1031" s="488"/>
      <c r="L1031" s="488"/>
      <c r="M1031" s="488"/>
      <c r="N1031" s="488"/>
      <c r="O1031" s="488"/>
      <c r="P1031" s="488"/>
      <c r="Q1031" s="488"/>
      <c r="R1031" s="488"/>
      <c r="S1031" s="488"/>
      <c r="T1031" s="488"/>
      <c r="U1031" s="488"/>
      <c r="V1031" s="488"/>
      <c r="W1031" s="488"/>
      <c r="X1031" s="488"/>
      <c r="Y1031" s="488"/>
      <c r="Z1031" s="488"/>
      <c r="AA1031" s="488"/>
      <c r="AB1031" s="488"/>
      <c r="AC1031" s="488"/>
      <c r="AD1031" s="488"/>
      <c r="AE1031" s="488"/>
      <c r="AF1031" s="488"/>
      <c r="AG1031" s="488"/>
      <c r="AH1031" s="488"/>
      <c r="AI1031" s="488"/>
      <c r="AJ1031" s="488"/>
    </row>
    <row r="1032" spans="1:36" s="496" customFormat="1">
      <c r="A1032" s="488"/>
      <c r="C1032" s="488"/>
      <c r="D1032" s="488"/>
      <c r="E1032" s="488"/>
      <c r="F1032" s="488"/>
      <c r="G1032" s="488"/>
      <c r="H1032" s="488"/>
      <c r="I1032" s="488"/>
      <c r="J1032" s="488"/>
      <c r="K1032" s="488"/>
      <c r="L1032" s="488"/>
      <c r="M1032" s="488"/>
      <c r="N1032" s="488"/>
      <c r="O1032" s="488"/>
      <c r="P1032" s="488"/>
      <c r="Q1032" s="488"/>
      <c r="R1032" s="488"/>
      <c r="S1032" s="488"/>
      <c r="T1032" s="488"/>
      <c r="U1032" s="488"/>
      <c r="V1032" s="488"/>
      <c r="W1032" s="488"/>
      <c r="X1032" s="488"/>
      <c r="Y1032" s="488"/>
      <c r="Z1032" s="488"/>
      <c r="AA1032" s="488"/>
      <c r="AB1032" s="488"/>
      <c r="AC1032" s="488"/>
      <c r="AD1032" s="488"/>
      <c r="AE1032" s="488"/>
      <c r="AF1032" s="488"/>
      <c r="AG1032" s="488"/>
      <c r="AH1032" s="488"/>
      <c r="AI1032" s="488"/>
      <c r="AJ1032" s="488"/>
    </row>
    <row r="1033" spans="1:36" s="496" customFormat="1">
      <c r="A1033" s="488"/>
      <c r="C1033" s="488"/>
      <c r="D1033" s="488"/>
      <c r="E1033" s="488"/>
      <c r="F1033" s="488"/>
      <c r="G1033" s="488"/>
      <c r="H1033" s="488"/>
      <c r="I1033" s="488"/>
      <c r="J1033" s="488"/>
      <c r="K1033" s="488"/>
      <c r="L1033" s="488"/>
      <c r="M1033" s="488"/>
      <c r="N1033" s="488"/>
      <c r="O1033" s="488"/>
      <c r="P1033" s="488"/>
      <c r="Q1033" s="488"/>
      <c r="R1033" s="488"/>
      <c r="S1033" s="488"/>
      <c r="T1033" s="488"/>
      <c r="U1033" s="488"/>
      <c r="V1033" s="488"/>
      <c r="W1033" s="488"/>
      <c r="X1033" s="488"/>
      <c r="Y1033" s="488"/>
      <c r="Z1033" s="488"/>
      <c r="AA1033" s="488"/>
      <c r="AB1033" s="488"/>
      <c r="AC1033" s="488"/>
      <c r="AD1033" s="488"/>
      <c r="AE1033" s="488"/>
      <c r="AF1033" s="488"/>
      <c r="AG1033" s="488"/>
      <c r="AH1033" s="488"/>
      <c r="AI1033" s="488"/>
      <c r="AJ1033" s="488"/>
    </row>
    <row r="1034" spans="1:36" s="496" customFormat="1">
      <c r="A1034" s="488"/>
      <c r="C1034" s="488"/>
      <c r="D1034" s="488"/>
      <c r="E1034" s="488"/>
      <c r="F1034" s="488"/>
      <c r="G1034" s="488"/>
      <c r="H1034" s="488"/>
      <c r="I1034" s="488"/>
      <c r="J1034" s="488"/>
      <c r="K1034" s="488"/>
      <c r="L1034" s="488"/>
      <c r="M1034" s="488"/>
      <c r="N1034" s="488"/>
      <c r="O1034" s="488"/>
      <c r="P1034" s="488"/>
      <c r="Q1034" s="488"/>
      <c r="R1034" s="488"/>
      <c r="S1034" s="488"/>
      <c r="T1034" s="488"/>
      <c r="U1034" s="488"/>
      <c r="V1034" s="488"/>
      <c r="W1034" s="488"/>
      <c r="X1034" s="488"/>
      <c r="Y1034" s="488"/>
      <c r="Z1034" s="488"/>
      <c r="AA1034" s="488"/>
      <c r="AB1034" s="488"/>
      <c r="AC1034" s="488"/>
      <c r="AD1034" s="488"/>
      <c r="AE1034" s="488"/>
      <c r="AF1034" s="488"/>
      <c r="AG1034" s="488"/>
      <c r="AH1034" s="488"/>
      <c r="AI1034" s="488"/>
      <c r="AJ1034" s="488"/>
    </row>
    <row r="1035" spans="1:36" s="496" customFormat="1">
      <c r="A1035" s="488"/>
      <c r="C1035" s="488"/>
      <c r="D1035" s="488"/>
      <c r="E1035" s="488"/>
      <c r="F1035" s="488"/>
      <c r="G1035" s="488"/>
      <c r="H1035" s="488"/>
      <c r="I1035" s="488"/>
      <c r="J1035" s="488"/>
      <c r="K1035" s="488"/>
      <c r="L1035" s="488"/>
      <c r="M1035" s="488"/>
      <c r="N1035" s="488"/>
      <c r="O1035" s="488"/>
      <c r="P1035" s="488"/>
      <c r="Q1035" s="488"/>
      <c r="R1035" s="488"/>
      <c r="S1035" s="488"/>
      <c r="T1035" s="488"/>
      <c r="U1035" s="488"/>
      <c r="V1035" s="488"/>
      <c r="W1035" s="488"/>
      <c r="X1035" s="488"/>
      <c r="Y1035" s="488"/>
      <c r="Z1035" s="488"/>
      <c r="AA1035" s="488"/>
      <c r="AB1035" s="488"/>
      <c r="AC1035" s="488"/>
      <c r="AD1035" s="488"/>
      <c r="AE1035" s="488"/>
      <c r="AF1035" s="488"/>
      <c r="AG1035" s="488"/>
      <c r="AH1035" s="488"/>
      <c r="AI1035" s="488"/>
      <c r="AJ1035" s="488"/>
    </row>
    <row r="1036" spans="1:36" s="496" customFormat="1">
      <c r="A1036" s="488"/>
      <c r="C1036" s="488"/>
      <c r="D1036" s="488"/>
      <c r="E1036" s="488"/>
      <c r="F1036" s="488"/>
      <c r="G1036" s="488"/>
      <c r="H1036" s="488"/>
      <c r="I1036" s="488"/>
      <c r="J1036" s="488"/>
      <c r="K1036" s="488"/>
      <c r="L1036" s="488"/>
      <c r="M1036" s="488"/>
      <c r="N1036" s="488"/>
      <c r="O1036" s="488"/>
      <c r="P1036" s="488"/>
      <c r="Q1036" s="488"/>
      <c r="R1036" s="488"/>
      <c r="S1036" s="488"/>
      <c r="T1036" s="488"/>
      <c r="U1036" s="488"/>
      <c r="V1036" s="488"/>
      <c r="W1036" s="488"/>
      <c r="X1036" s="488"/>
      <c r="Y1036" s="488"/>
      <c r="Z1036" s="488"/>
      <c r="AA1036" s="488"/>
      <c r="AB1036" s="488"/>
      <c r="AC1036" s="488"/>
      <c r="AD1036" s="488"/>
      <c r="AE1036" s="488"/>
      <c r="AF1036" s="488"/>
      <c r="AG1036" s="488"/>
      <c r="AH1036" s="488"/>
      <c r="AI1036" s="488"/>
      <c r="AJ1036" s="488"/>
    </row>
    <row r="1037" spans="1:36" s="496" customFormat="1">
      <c r="A1037" s="488"/>
      <c r="C1037" s="488"/>
      <c r="D1037" s="488"/>
      <c r="E1037" s="488"/>
      <c r="F1037" s="488"/>
      <c r="G1037" s="488"/>
      <c r="H1037" s="488"/>
      <c r="I1037" s="488"/>
      <c r="J1037" s="488"/>
      <c r="K1037" s="488"/>
      <c r="L1037" s="488"/>
      <c r="M1037" s="488"/>
      <c r="N1037" s="488"/>
      <c r="O1037" s="488"/>
      <c r="P1037" s="488"/>
      <c r="Q1037" s="488"/>
      <c r="R1037" s="488"/>
      <c r="S1037" s="488"/>
      <c r="T1037" s="488"/>
      <c r="U1037" s="488"/>
      <c r="V1037" s="488"/>
      <c r="W1037" s="488"/>
      <c r="X1037" s="488"/>
      <c r="Y1037" s="488"/>
      <c r="Z1037" s="488"/>
      <c r="AA1037" s="488"/>
      <c r="AB1037" s="488"/>
      <c r="AC1037" s="488"/>
      <c r="AD1037" s="488"/>
      <c r="AE1037" s="488"/>
      <c r="AF1037" s="488"/>
      <c r="AG1037" s="488"/>
      <c r="AH1037" s="488"/>
      <c r="AI1037" s="488"/>
      <c r="AJ1037" s="488"/>
    </row>
    <row r="1038" spans="1:36" s="496" customFormat="1">
      <c r="A1038" s="488"/>
      <c r="C1038" s="488"/>
      <c r="D1038" s="488"/>
      <c r="E1038" s="488"/>
      <c r="F1038" s="488"/>
      <c r="G1038" s="488"/>
      <c r="H1038" s="488"/>
      <c r="I1038" s="488"/>
      <c r="J1038" s="488"/>
      <c r="K1038" s="488"/>
      <c r="L1038" s="488"/>
      <c r="M1038" s="488"/>
      <c r="N1038" s="488"/>
      <c r="O1038" s="488"/>
      <c r="P1038" s="488"/>
      <c r="Q1038" s="488"/>
      <c r="R1038" s="488"/>
      <c r="S1038" s="488"/>
      <c r="T1038" s="488"/>
      <c r="U1038" s="488"/>
      <c r="V1038" s="488"/>
      <c r="W1038" s="488"/>
      <c r="X1038" s="488"/>
      <c r="Y1038" s="488"/>
      <c r="Z1038" s="488"/>
      <c r="AA1038" s="488"/>
      <c r="AB1038" s="488"/>
      <c r="AC1038" s="488"/>
      <c r="AD1038" s="488"/>
      <c r="AE1038" s="488"/>
      <c r="AF1038" s="488"/>
      <c r="AG1038" s="488"/>
      <c r="AH1038" s="488"/>
      <c r="AI1038" s="488"/>
      <c r="AJ1038" s="488"/>
    </row>
    <row r="1039" spans="1:36" s="496" customFormat="1">
      <c r="A1039" s="488"/>
      <c r="C1039" s="488"/>
      <c r="D1039" s="488"/>
      <c r="E1039" s="488"/>
      <c r="F1039" s="488"/>
      <c r="G1039" s="488"/>
      <c r="H1039" s="488"/>
      <c r="I1039" s="488"/>
      <c r="J1039" s="488"/>
      <c r="K1039" s="488"/>
      <c r="L1039" s="488"/>
      <c r="M1039" s="488"/>
      <c r="N1039" s="488"/>
      <c r="O1039" s="488"/>
      <c r="P1039" s="488"/>
      <c r="Q1039" s="488"/>
      <c r="R1039" s="488"/>
      <c r="S1039" s="488"/>
      <c r="T1039" s="488"/>
      <c r="U1039" s="488"/>
      <c r="V1039" s="488"/>
      <c r="W1039" s="488"/>
      <c r="X1039" s="488"/>
      <c r="Y1039" s="488"/>
      <c r="Z1039" s="488"/>
      <c r="AA1039" s="488"/>
      <c r="AB1039" s="488"/>
      <c r="AC1039" s="488"/>
      <c r="AD1039" s="488"/>
      <c r="AE1039" s="488"/>
      <c r="AF1039" s="488"/>
      <c r="AG1039" s="488"/>
      <c r="AH1039" s="488"/>
      <c r="AI1039" s="488"/>
      <c r="AJ1039" s="488"/>
    </row>
    <row r="1040" spans="1:36" s="496" customFormat="1">
      <c r="A1040" s="488"/>
      <c r="C1040" s="488"/>
      <c r="D1040" s="488"/>
      <c r="E1040" s="488"/>
      <c r="F1040" s="488"/>
      <c r="G1040" s="488"/>
      <c r="H1040" s="488"/>
      <c r="I1040" s="488"/>
      <c r="J1040" s="488"/>
      <c r="K1040" s="488"/>
      <c r="L1040" s="488"/>
      <c r="M1040" s="488"/>
      <c r="N1040" s="488"/>
      <c r="O1040" s="488"/>
      <c r="P1040" s="488"/>
      <c r="Q1040" s="488"/>
      <c r="R1040" s="488"/>
      <c r="S1040" s="488"/>
      <c r="T1040" s="488"/>
      <c r="U1040" s="488"/>
      <c r="V1040" s="488"/>
      <c r="W1040" s="488"/>
      <c r="X1040" s="488"/>
      <c r="Y1040" s="488"/>
      <c r="Z1040" s="488"/>
      <c r="AA1040" s="488"/>
      <c r="AB1040" s="488"/>
      <c r="AC1040" s="488"/>
      <c r="AD1040" s="488"/>
      <c r="AE1040" s="488"/>
      <c r="AF1040" s="488"/>
      <c r="AG1040" s="488"/>
      <c r="AH1040" s="488"/>
      <c r="AI1040" s="488"/>
      <c r="AJ1040" s="488"/>
    </row>
    <row r="1041" spans="1:36" s="496" customFormat="1">
      <c r="A1041" s="488"/>
      <c r="C1041" s="488"/>
      <c r="D1041" s="488"/>
      <c r="E1041" s="488"/>
      <c r="F1041" s="488"/>
      <c r="G1041" s="488"/>
      <c r="H1041" s="488"/>
      <c r="I1041" s="488"/>
      <c r="J1041" s="488"/>
      <c r="K1041" s="488"/>
      <c r="L1041" s="488"/>
      <c r="M1041" s="488"/>
      <c r="N1041" s="488"/>
      <c r="O1041" s="488"/>
      <c r="P1041" s="488"/>
      <c r="Q1041" s="488"/>
      <c r="R1041" s="488"/>
      <c r="S1041" s="488"/>
      <c r="T1041" s="488"/>
      <c r="U1041" s="488"/>
      <c r="V1041" s="488"/>
      <c r="W1041" s="488"/>
      <c r="X1041" s="488"/>
      <c r="Y1041" s="488"/>
      <c r="Z1041" s="488"/>
      <c r="AA1041" s="488"/>
      <c r="AB1041" s="488"/>
      <c r="AC1041" s="488"/>
      <c r="AD1041" s="488"/>
      <c r="AE1041" s="488"/>
      <c r="AF1041" s="488"/>
      <c r="AG1041" s="488"/>
      <c r="AH1041" s="488"/>
      <c r="AI1041" s="488"/>
      <c r="AJ1041" s="488"/>
    </row>
    <row r="1042" spans="1:36" s="496" customFormat="1">
      <c r="A1042" s="488"/>
      <c r="C1042" s="488"/>
      <c r="D1042" s="488"/>
      <c r="E1042" s="488"/>
      <c r="F1042" s="488"/>
      <c r="G1042" s="488"/>
      <c r="H1042" s="488"/>
      <c r="I1042" s="488"/>
      <c r="J1042" s="488"/>
      <c r="K1042" s="488"/>
      <c r="L1042" s="488"/>
      <c r="M1042" s="488"/>
      <c r="N1042" s="488"/>
      <c r="O1042" s="488"/>
      <c r="P1042" s="488"/>
      <c r="Q1042" s="488"/>
      <c r="R1042" s="488"/>
      <c r="S1042" s="488"/>
      <c r="T1042" s="488"/>
      <c r="U1042" s="488"/>
      <c r="V1042" s="488"/>
      <c r="W1042" s="488"/>
      <c r="X1042" s="488"/>
      <c r="Y1042" s="488"/>
      <c r="Z1042" s="488"/>
      <c r="AA1042" s="488"/>
      <c r="AB1042" s="488"/>
      <c r="AC1042" s="488"/>
      <c r="AD1042" s="488"/>
      <c r="AE1042" s="488"/>
      <c r="AF1042" s="488"/>
      <c r="AG1042" s="488"/>
      <c r="AH1042" s="488"/>
      <c r="AI1042" s="488"/>
      <c r="AJ1042" s="488"/>
    </row>
    <row r="1043" spans="1:36" s="496" customFormat="1">
      <c r="A1043" s="488"/>
      <c r="C1043" s="488"/>
      <c r="D1043" s="488"/>
      <c r="E1043" s="488"/>
      <c r="F1043" s="488"/>
      <c r="G1043" s="488"/>
      <c r="H1043" s="488"/>
      <c r="I1043" s="488"/>
      <c r="J1043" s="488"/>
      <c r="K1043" s="488"/>
      <c r="L1043" s="488"/>
      <c r="M1043" s="488"/>
      <c r="N1043" s="488"/>
      <c r="O1043" s="488"/>
      <c r="P1043" s="488"/>
      <c r="Q1043" s="488"/>
      <c r="R1043" s="488"/>
      <c r="S1043" s="488"/>
      <c r="T1043" s="488"/>
      <c r="U1043" s="488"/>
      <c r="V1043" s="488"/>
      <c r="W1043" s="488"/>
      <c r="X1043" s="488"/>
      <c r="Y1043" s="488"/>
      <c r="Z1043" s="488"/>
      <c r="AA1043" s="488"/>
      <c r="AB1043" s="488"/>
      <c r="AC1043" s="488"/>
      <c r="AD1043" s="488"/>
      <c r="AE1043" s="488"/>
      <c r="AF1043" s="488"/>
      <c r="AG1043" s="488"/>
      <c r="AH1043" s="488"/>
      <c r="AI1043" s="488"/>
      <c r="AJ1043" s="488"/>
    </row>
    <row r="1044" spans="1:36" s="496" customFormat="1">
      <c r="A1044" s="488"/>
      <c r="C1044" s="488"/>
      <c r="D1044" s="488"/>
      <c r="E1044" s="488"/>
      <c r="F1044" s="488"/>
      <c r="G1044" s="488"/>
      <c r="H1044" s="488"/>
      <c r="I1044" s="488"/>
      <c r="J1044" s="488"/>
      <c r="K1044" s="488"/>
      <c r="L1044" s="488"/>
      <c r="M1044" s="488"/>
      <c r="N1044" s="488"/>
      <c r="O1044" s="488"/>
      <c r="P1044" s="488"/>
      <c r="Q1044" s="488"/>
      <c r="R1044" s="488"/>
      <c r="S1044" s="488"/>
      <c r="T1044" s="488"/>
      <c r="U1044" s="488"/>
      <c r="V1044" s="488"/>
      <c r="W1044" s="488"/>
      <c r="X1044" s="488"/>
      <c r="Y1044" s="488"/>
      <c r="Z1044" s="488"/>
      <c r="AA1044" s="488"/>
      <c r="AB1044" s="488"/>
      <c r="AC1044" s="488"/>
      <c r="AD1044" s="488"/>
      <c r="AE1044" s="488"/>
      <c r="AF1044" s="488"/>
      <c r="AG1044" s="488"/>
      <c r="AH1044" s="488"/>
      <c r="AI1044" s="488"/>
      <c r="AJ1044" s="488"/>
    </row>
    <row r="1045" spans="1:36" s="496" customFormat="1">
      <c r="A1045" s="488"/>
      <c r="C1045" s="488"/>
      <c r="D1045" s="488"/>
      <c r="E1045" s="488"/>
      <c r="F1045" s="488"/>
      <c r="G1045" s="488"/>
      <c r="H1045" s="488"/>
      <c r="I1045" s="488"/>
      <c r="J1045" s="488"/>
      <c r="K1045" s="488"/>
      <c r="L1045" s="488"/>
      <c r="M1045" s="488"/>
      <c r="N1045" s="488"/>
      <c r="O1045" s="488"/>
      <c r="P1045" s="488"/>
      <c r="Q1045" s="488"/>
      <c r="R1045" s="488"/>
      <c r="S1045" s="488"/>
      <c r="T1045" s="488"/>
      <c r="U1045" s="488"/>
      <c r="V1045" s="488"/>
      <c r="W1045" s="488"/>
      <c r="X1045" s="488"/>
      <c r="Y1045" s="488"/>
      <c r="Z1045" s="488"/>
      <c r="AA1045" s="488"/>
      <c r="AB1045" s="488"/>
      <c r="AC1045" s="488"/>
      <c r="AD1045" s="488"/>
      <c r="AE1045" s="488"/>
      <c r="AF1045" s="488"/>
      <c r="AG1045" s="488"/>
      <c r="AH1045" s="488"/>
      <c r="AI1045" s="488"/>
      <c r="AJ1045" s="488"/>
    </row>
    <row r="1046" spans="1:36" s="496" customFormat="1">
      <c r="A1046" s="488"/>
      <c r="C1046" s="488"/>
      <c r="D1046" s="488"/>
      <c r="E1046" s="488"/>
      <c r="F1046" s="488"/>
      <c r="G1046" s="488"/>
      <c r="H1046" s="488"/>
      <c r="I1046" s="488"/>
      <c r="J1046" s="488"/>
      <c r="K1046" s="488"/>
      <c r="L1046" s="488"/>
      <c r="M1046" s="488"/>
      <c r="N1046" s="488"/>
      <c r="O1046" s="488"/>
      <c r="P1046" s="488"/>
      <c r="Q1046" s="488"/>
      <c r="R1046" s="488"/>
      <c r="S1046" s="488"/>
      <c r="T1046" s="488"/>
      <c r="U1046" s="488"/>
      <c r="V1046" s="488"/>
      <c r="W1046" s="488"/>
      <c r="X1046" s="488"/>
      <c r="Y1046" s="488"/>
      <c r="Z1046" s="488"/>
      <c r="AA1046" s="488"/>
      <c r="AB1046" s="488"/>
      <c r="AC1046" s="488"/>
      <c r="AD1046" s="488"/>
      <c r="AE1046" s="488"/>
      <c r="AF1046" s="488"/>
      <c r="AG1046" s="488"/>
      <c r="AH1046" s="488"/>
      <c r="AI1046" s="488"/>
      <c r="AJ1046" s="488"/>
    </row>
    <row r="1047" spans="1:36" s="496" customFormat="1">
      <c r="A1047" s="488"/>
      <c r="C1047" s="488"/>
      <c r="D1047" s="488"/>
      <c r="E1047" s="488"/>
      <c r="F1047" s="488"/>
      <c r="G1047" s="488"/>
      <c r="H1047" s="488"/>
      <c r="I1047" s="488"/>
      <c r="J1047" s="488"/>
      <c r="K1047" s="488"/>
      <c r="L1047" s="488"/>
      <c r="M1047" s="488"/>
      <c r="N1047" s="488"/>
      <c r="O1047" s="488"/>
      <c r="P1047" s="488"/>
      <c r="Q1047" s="488"/>
      <c r="R1047" s="488"/>
      <c r="S1047" s="488"/>
      <c r="T1047" s="488"/>
      <c r="U1047" s="488"/>
      <c r="V1047" s="488"/>
      <c r="W1047" s="488"/>
      <c r="X1047" s="488"/>
      <c r="Y1047" s="488"/>
      <c r="Z1047" s="488"/>
      <c r="AA1047" s="488"/>
      <c r="AB1047" s="488"/>
      <c r="AC1047" s="488"/>
      <c r="AD1047" s="488"/>
      <c r="AE1047" s="488"/>
      <c r="AF1047" s="488"/>
      <c r="AG1047" s="488"/>
      <c r="AH1047" s="488"/>
      <c r="AI1047" s="488"/>
      <c r="AJ1047" s="488"/>
    </row>
    <row r="1048" spans="1:36" s="496" customFormat="1">
      <c r="A1048" s="488"/>
      <c r="C1048" s="488"/>
      <c r="D1048" s="488"/>
      <c r="E1048" s="488"/>
      <c r="F1048" s="488"/>
      <c r="G1048" s="488"/>
      <c r="H1048" s="488"/>
      <c r="I1048" s="488"/>
      <c r="J1048" s="488"/>
      <c r="K1048" s="488"/>
      <c r="L1048" s="488"/>
      <c r="M1048" s="488"/>
      <c r="N1048" s="488"/>
      <c r="O1048" s="488"/>
      <c r="P1048" s="488"/>
      <c r="Q1048" s="488"/>
      <c r="R1048" s="488"/>
      <c r="S1048" s="488"/>
      <c r="T1048" s="488"/>
      <c r="U1048" s="488"/>
      <c r="V1048" s="488"/>
      <c r="W1048" s="488"/>
      <c r="X1048" s="488"/>
      <c r="Y1048" s="488"/>
      <c r="Z1048" s="488"/>
      <c r="AA1048" s="488"/>
      <c r="AB1048" s="488"/>
      <c r="AC1048" s="488"/>
      <c r="AD1048" s="488"/>
      <c r="AE1048" s="488"/>
      <c r="AF1048" s="488"/>
      <c r="AG1048" s="488"/>
      <c r="AH1048" s="488"/>
      <c r="AI1048" s="488"/>
      <c r="AJ1048" s="488"/>
    </row>
    <row r="1049" spans="1:36" s="496" customFormat="1">
      <c r="A1049" s="488"/>
      <c r="C1049" s="488"/>
      <c r="D1049" s="488"/>
      <c r="E1049" s="488"/>
      <c r="F1049" s="488"/>
      <c r="G1049" s="488"/>
      <c r="H1049" s="488"/>
      <c r="I1049" s="488"/>
      <c r="J1049" s="488"/>
      <c r="K1049" s="488"/>
      <c r="L1049" s="488"/>
      <c r="M1049" s="488"/>
      <c r="N1049" s="488"/>
      <c r="O1049" s="488"/>
      <c r="P1049" s="488"/>
      <c r="Q1049" s="488"/>
      <c r="R1049" s="488"/>
      <c r="S1049" s="488"/>
      <c r="T1049" s="488"/>
      <c r="U1049" s="488"/>
      <c r="V1049" s="488"/>
      <c r="W1049" s="488"/>
      <c r="X1049" s="488"/>
      <c r="Y1049" s="488"/>
      <c r="Z1049" s="488"/>
      <c r="AA1049" s="488"/>
      <c r="AB1049" s="488"/>
      <c r="AC1049" s="488"/>
      <c r="AD1049" s="488"/>
      <c r="AE1049" s="488"/>
      <c r="AF1049" s="488"/>
      <c r="AG1049" s="488"/>
      <c r="AH1049" s="488"/>
      <c r="AI1049" s="488"/>
      <c r="AJ1049" s="488"/>
    </row>
    <row r="1050" spans="1:36" s="496" customFormat="1">
      <c r="A1050" s="488"/>
      <c r="C1050" s="488"/>
      <c r="D1050" s="488"/>
      <c r="E1050" s="488"/>
      <c r="F1050" s="488"/>
      <c r="G1050" s="488"/>
      <c r="H1050" s="488"/>
      <c r="I1050" s="488"/>
      <c r="J1050" s="488"/>
      <c r="K1050" s="488"/>
      <c r="L1050" s="488"/>
      <c r="M1050" s="488"/>
      <c r="N1050" s="488"/>
      <c r="O1050" s="488"/>
      <c r="P1050" s="488"/>
      <c r="Q1050" s="488"/>
      <c r="R1050" s="488"/>
      <c r="S1050" s="488"/>
      <c r="T1050" s="488"/>
      <c r="U1050" s="488"/>
      <c r="V1050" s="488"/>
      <c r="W1050" s="488"/>
      <c r="X1050" s="488"/>
      <c r="Y1050" s="488"/>
      <c r="Z1050" s="488"/>
      <c r="AA1050" s="488"/>
      <c r="AB1050" s="488"/>
      <c r="AC1050" s="488"/>
      <c r="AD1050" s="488"/>
      <c r="AE1050" s="488"/>
      <c r="AF1050" s="488"/>
      <c r="AG1050" s="488"/>
      <c r="AH1050" s="488"/>
      <c r="AI1050" s="488"/>
      <c r="AJ1050" s="488"/>
    </row>
    <row r="1051" spans="1:36" s="496" customFormat="1">
      <c r="A1051" s="488"/>
      <c r="C1051" s="488"/>
      <c r="D1051" s="488"/>
      <c r="E1051" s="488"/>
      <c r="F1051" s="488"/>
      <c r="G1051" s="488"/>
      <c r="H1051" s="488"/>
      <c r="I1051" s="488"/>
      <c r="J1051" s="488"/>
      <c r="K1051" s="488"/>
      <c r="L1051" s="488"/>
      <c r="M1051" s="488"/>
      <c r="N1051" s="488"/>
      <c r="O1051" s="488"/>
      <c r="P1051" s="488"/>
      <c r="Q1051" s="488"/>
      <c r="R1051" s="488"/>
      <c r="S1051" s="488"/>
      <c r="T1051" s="488"/>
      <c r="U1051" s="488"/>
      <c r="V1051" s="488"/>
      <c r="W1051" s="488"/>
      <c r="X1051" s="488"/>
      <c r="Y1051" s="488"/>
      <c r="Z1051" s="488"/>
      <c r="AA1051" s="488"/>
      <c r="AB1051" s="488"/>
      <c r="AC1051" s="488"/>
      <c r="AD1051" s="488"/>
      <c r="AE1051" s="488"/>
      <c r="AF1051" s="488"/>
      <c r="AG1051" s="488"/>
      <c r="AH1051" s="488"/>
      <c r="AI1051" s="488"/>
      <c r="AJ1051" s="488"/>
    </row>
    <row r="1052" spans="1:36" s="496" customFormat="1">
      <c r="A1052" s="488"/>
      <c r="C1052" s="488"/>
      <c r="D1052" s="488"/>
      <c r="E1052" s="488"/>
      <c r="F1052" s="488"/>
      <c r="G1052" s="488"/>
      <c r="H1052" s="488"/>
      <c r="I1052" s="488"/>
      <c r="J1052" s="488"/>
      <c r="K1052" s="488"/>
      <c r="L1052" s="488"/>
      <c r="M1052" s="488"/>
      <c r="N1052" s="488"/>
      <c r="O1052" s="488"/>
      <c r="P1052" s="488"/>
      <c r="Q1052" s="488"/>
      <c r="R1052" s="488"/>
      <c r="S1052" s="488"/>
      <c r="T1052" s="488"/>
      <c r="U1052" s="488"/>
      <c r="V1052" s="488"/>
      <c r="W1052" s="488"/>
      <c r="X1052" s="488"/>
      <c r="Y1052" s="488"/>
      <c r="Z1052" s="488"/>
      <c r="AA1052" s="488"/>
      <c r="AB1052" s="488"/>
      <c r="AC1052" s="488"/>
      <c r="AD1052" s="488"/>
      <c r="AE1052" s="488"/>
      <c r="AF1052" s="488"/>
      <c r="AG1052" s="488"/>
      <c r="AH1052" s="488"/>
      <c r="AI1052" s="488"/>
      <c r="AJ1052" s="488"/>
    </row>
    <row r="1053" spans="1:36" s="496" customFormat="1">
      <c r="A1053" s="488"/>
      <c r="C1053" s="488"/>
      <c r="D1053" s="488"/>
      <c r="E1053" s="488"/>
      <c r="F1053" s="488"/>
      <c r="G1053" s="488"/>
      <c r="H1053" s="488"/>
      <c r="I1053" s="488"/>
      <c r="J1053" s="488"/>
      <c r="K1053" s="488"/>
      <c r="L1053" s="488"/>
      <c r="M1053" s="488"/>
      <c r="N1053" s="488"/>
      <c r="O1053" s="488"/>
      <c r="P1053" s="488"/>
      <c r="Q1053" s="488"/>
      <c r="R1053" s="488"/>
      <c r="S1053" s="488"/>
      <c r="T1053" s="488"/>
      <c r="U1053" s="488"/>
      <c r="V1053" s="488"/>
      <c r="W1053" s="488"/>
      <c r="X1053" s="488"/>
      <c r="Y1053" s="488"/>
      <c r="Z1053" s="488"/>
      <c r="AA1053" s="488"/>
      <c r="AB1053" s="488"/>
      <c r="AC1053" s="488"/>
      <c r="AD1053" s="488"/>
      <c r="AE1053" s="488"/>
      <c r="AF1053" s="488"/>
      <c r="AG1053" s="488"/>
      <c r="AH1053" s="488"/>
      <c r="AI1053" s="488"/>
      <c r="AJ1053" s="488"/>
    </row>
    <row r="1054" spans="1:36" s="496" customFormat="1">
      <c r="A1054" s="488"/>
      <c r="C1054" s="488"/>
      <c r="D1054" s="488"/>
      <c r="E1054" s="488"/>
      <c r="F1054" s="488"/>
      <c r="G1054" s="488"/>
      <c r="H1054" s="488"/>
      <c r="I1054" s="488"/>
      <c r="J1054" s="488"/>
      <c r="K1054" s="488"/>
      <c r="L1054" s="488"/>
      <c r="M1054" s="488"/>
      <c r="N1054" s="488"/>
      <c r="O1054" s="488"/>
      <c r="P1054" s="488"/>
      <c r="Q1054" s="488"/>
      <c r="R1054" s="488"/>
      <c r="S1054" s="488"/>
      <c r="T1054" s="488"/>
      <c r="U1054" s="488"/>
      <c r="V1054" s="488"/>
      <c r="W1054" s="488"/>
      <c r="X1054" s="488"/>
      <c r="Y1054" s="488"/>
      <c r="Z1054" s="488"/>
      <c r="AA1054" s="488"/>
      <c r="AB1054" s="488"/>
      <c r="AC1054" s="488"/>
      <c r="AD1054" s="488"/>
      <c r="AE1054" s="488"/>
      <c r="AF1054" s="488"/>
      <c r="AG1054" s="488"/>
      <c r="AH1054" s="488"/>
      <c r="AI1054" s="488"/>
      <c r="AJ1054" s="488"/>
    </row>
    <row r="1055" spans="1:36" s="496" customFormat="1">
      <c r="A1055" s="488"/>
      <c r="C1055" s="488"/>
      <c r="D1055" s="488"/>
      <c r="E1055" s="488"/>
      <c r="F1055" s="488"/>
      <c r="G1055" s="488"/>
      <c r="H1055" s="488"/>
      <c r="I1055" s="488"/>
      <c r="J1055" s="488"/>
      <c r="K1055" s="488"/>
      <c r="L1055" s="488"/>
      <c r="M1055" s="488"/>
      <c r="N1055" s="488"/>
      <c r="O1055" s="488"/>
      <c r="P1055" s="488"/>
      <c r="Q1055" s="488"/>
      <c r="R1055" s="488"/>
      <c r="S1055" s="488"/>
      <c r="T1055" s="488"/>
      <c r="U1055" s="488"/>
      <c r="V1055" s="488"/>
      <c r="W1055" s="488"/>
      <c r="X1055" s="488"/>
      <c r="Y1055" s="488"/>
      <c r="Z1055" s="488"/>
      <c r="AA1055" s="488"/>
      <c r="AB1055" s="488"/>
      <c r="AC1055" s="488"/>
      <c r="AD1055" s="488"/>
      <c r="AE1055" s="488"/>
      <c r="AF1055" s="488"/>
      <c r="AG1055" s="488"/>
      <c r="AH1055" s="488"/>
      <c r="AI1055" s="488"/>
      <c r="AJ1055" s="488"/>
    </row>
    <row r="1056" spans="1:36" s="496" customFormat="1">
      <c r="A1056" s="488"/>
      <c r="C1056" s="488"/>
      <c r="D1056" s="488"/>
      <c r="E1056" s="488"/>
      <c r="F1056" s="488"/>
      <c r="G1056" s="488"/>
      <c r="H1056" s="488"/>
      <c r="I1056" s="488"/>
      <c r="J1056" s="488"/>
      <c r="K1056" s="488"/>
      <c r="L1056" s="488"/>
      <c r="M1056" s="488"/>
      <c r="N1056" s="488"/>
      <c r="O1056" s="488"/>
      <c r="P1056" s="488"/>
      <c r="Q1056" s="488"/>
      <c r="R1056" s="488"/>
      <c r="S1056" s="488"/>
      <c r="T1056" s="488"/>
      <c r="U1056" s="488"/>
      <c r="V1056" s="488"/>
      <c r="W1056" s="488"/>
      <c r="X1056" s="488"/>
      <c r="Y1056" s="488"/>
      <c r="Z1056" s="488"/>
      <c r="AA1056" s="488"/>
      <c r="AB1056" s="488"/>
      <c r="AC1056" s="488"/>
      <c r="AD1056" s="488"/>
      <c r="AE1056" s="488"/>
      <c r="AF1056" s="488"/>
      <c r="AG1056" s="488"/>
      <c r="AH1056" s="488"/>
      <c r="AI1056" s="488"/>
      <c r="AJ1056" s="488"/>
    </row>
    <row r="1057" spans="1:36" s="496" customFormat="1">
      <c r="A1057" s="488"/>
      <c r="C1057" s="488"/>
      <c r="D1057" s="488"/>
      <c r="E1057" s="488"/>
      <c r="F1057" s="488"/>
      <c r="G1057" s="488"/>
      <c r="H1057" s="488"/>
      <c r="I1057" s="488"/>
      <c r="J1057" s="488"/>
      <c r="K1057" s="488"/>
      <c r="L1057" s="488"/>
      <c r="M1057" s="488"/>
      <c r="N1057" s="488"/>
      <c r="O1057" s="488"/>
      <c r="P1057" s="488"/>
      <c r="Q1057" s="488"/>
      <c r="R1057" s="488"/>
      <c r="S1057" s="488"/>
      <c r="T1057" s="488"/>
      <c r="U1057" s="488"/>
      <c r="V1057" s="488"/>
      <c r="W1057" s="488"/>
      <c r="X1057" s="488"/>
      <c r="Y1057" s="488"/>
      <c r="Z1057" s="488"/>
      <c r="AA1057" s="488"/>
      <c r="AB1057" s="488"/>
      <c r="AC1057" s="488"/>
      <c r="AD1057" s="488"/>
      <c r="AE1057" s="488"/>
      <c r="AF1057" s="488"/>
      <c r="AG1057" s="488"/>
      <c r="AH1057" s="488"/>
      <c r="AI1057" s="488"/>
      <c r="AJ1057" s="488"/>
    </row>
    <row r="1058" spans="1:36" s="496" customFormat="1">
      <c r="A1058" s="488"/>
      <c r="C1058" s="488"/>
      <c r="D1058" s="488"/>
      <c r="E1058" s="488"/>
      <c r="F1058" s="488"/>
      <c r="G1058" s="488"/>
      <c r="H1058" s="488"/>
      <c r="I1058" s="488"/>
      <c r="J1058" s="488"/>
      <c r="K1058" s="488"/>
      <c r="L1058" s="488"/>
      <c r="M1058" s="488"/>
      <c r="N1058" s="488"/>
      <c r="O1058" s="488"/>
      <c r="P1058" s="488"/>
      <c r="Q1058" s="488"/>
      <c r="R1058" s="488"/>
      <c r="S1058" s="488"/>
      <c r="T1058" s="488"/>
      <c r="U1058" s="488"/>
      <c r="V1058" s="488"/>
      <c r="W1058" s="488"/>
      <c r="X1058" s="488"/>
      <c r="Y1058" s="488"/>
      <c r="Z1058" s="488"/>
      <c r="AA1058" s="488"/>
      <c r="AB1058" s="488"/>
      <c r="AC1058" s="488"/>
      <c r="AD1058" s="488"/>
      <c r="AE1058" s="488"/>
      <c r="AF1058" s="488"/>
      <c r="AG1058" s="488"/>
      <c r="AH1058" s="488"/>
      <c r="AI1058" s="488"/>
      <c r="AJ1058" s="488"/>
    </row>
    <row r="1059" spans="1:36" s="496" customFormat="1">
      <c r="A1059" s="488"/>
      <c r="C1059" s="488"/>
      <c r="D1059" s="488"/>
      <c r="E1059" s="488"/>
      <c r="F1059" s="488"/>
      <c r="G1059" s="488"/>
      <c r="H1059" s="488"/>
      <c r="I1059" s="488"/>
      <c r="J1059" s="488"/>
      <c r="K1059" s="488"/>
      <c r="L1059" s="488"/>
      <c r="M1059" s="488"/>
      <c r="N1059" s="488"/>
      <c r="O1059" s="488"/>
      <c r="P1059" s="488"/>
      <c r="Q1059" s="488"/>
      <c r="R1059" s="488"/>
      <c r="S1059" s="488"/>
      <c r="T1059" s="488"/>
      <c r="U1059" s="488"/>
      <c r="V1059" s="488"/>
      <c r="W1059" s="488"/>
      <c r="X1059" s="488"/>
      <c r="Y1059" s="488"/>
      <c r="Z1059" s="488"/>
      <c r="AA1059" s="488"/>
      <c r="AB1059" s="488"/>
      <c r="AC1059" s="488"/>
      <c r="AD1059" s="488"/>
      <c r="AE1059" s="488"/>
      <c r="AF1059" s="488"/>
      <c r="AG1059" s="488"/>
      <c r="AH1059" s="488"/>
      <c r="AI1059" s="488"/>
      <c r="AJ1059" s="488"/>
    </row>
    <row r="1060" spans="1:36" s="496" customFormat="1">
      <c r="A1060" s="488"/>
      <c r="C1060" s="488"/>
      <c r="D1060" s="488"/>
      <c r="E1060" s="488"/>
      <c r="F1060" s="488"/>
      <c r="G1060" s="488"/>
      <c r="H1060" s="488"/>
      <c r="I1060" s="488"/>
      <c r="J1060" s="488"/>
      <c r="K1060" s="488"/>
      <c r="L1060" s="488"/>
      <c r="M1060" s="488"/>
      <c r="N1060" s="488"/>
      <c r="O1060" s="488"/>
      <c r="P1060" s="488"/>
      <c r="Q1060" s="488"/>
      <c r="R1060" s="488"/>
      <c r="S1060" s="488"/>
      <c r="T1060" s="488"/>
      <c r="U1060" s="488"/>
      <c r="V1060" s="488"/>
      <c r="W1060" s="488"/>
      <c r="X1060" s="488"/>
      <c r="Y1060" s="488"/>
      <c r="Z1060" s="488"/>
      <c r="AA1060" s="488"/>
      <c r="AB1060" s="488"/>
      <c r="AC1060" s="488"/>
      <c r="AD1060" s="488"/>
      <c r="AE1060" s="488"/>
      <c r="AF1060" s="488"/>
      <c r="AG1060" s="488"/>
      <c r="AH1060" s="488"/>
      <c r="AI1060" s="488"/>
      <c r="AJ1060" s="488"/>
    </row>
    <row r="1061" spans="1:36" s="496" customFormat="1">
      <c r="A1061" s="488"/>
      <c r="C1061" s="488"/>
      <c r="D1061" s="488"/>
      <c r="E1061" s="488"/>
      <c r="F1061" s="488"/>
      <c r="G1061" s="488"/>
      <c r="H1061" s="488"/>
      <c r="I1061" s="488"/>
      <c r="J1061" s="488"/>
      <c r="K1061" s="488"/>
      <c r="L1061" s="488"/>
      <c r="M1061" s="488"/>
      <c r="N1061" s="488"/>
      <c r="O1061" s="488"/>
      <c r="P1061" s="488"/>
      <c r="Q1061" s="488"/>
      <c r="R1061" s="488"/>
      <c r="S1061" s="488"/>
      <c r="T1061" s="488"/>
      <c r="U1061" s="488"/>
      <c r="V1061" s="488"/>
      <c r="W1061" s="488"/>
      <c r="X1061" s="488"/>
      <c r="Y1061" s="488"/>
      <c r="Z1061" s="488"/>
      <c r="AA1061" s="488"/>
      <c r="AB1061" s="488"/>
      <c r="AC1061" s="488"/>
      <c r="AD1061" s="488"/>
      <c r="AE1061" s="488"/>
      <c r="AF1061" s="488"/>
      <c r="AG1061" s="488"/>
      <c r="AH1061" s="488"/>
      <c r="AI1061" s="488"/>
      <c r="AJ1061" s="488"/>
    </row>
    <row r="1062" spans="1:36" s="496" customFormat="1">
      <c r="A1062" s="488"/>
      <c r="C1062" s="488"/>
      <c r="D1062" s="488"/>
      <c r="E1062" s="488"/>
      <c r="F1062" s="488"/>
      <c r="G1062" s="488"/>
      <c r="H1062" s="488"/>
      <c r="I1062" s="488"/>
      <c r="J1062" s="488"/>
      <c r="K1062" s="488"/>
      <c r="L1062" s="488"/>
      <c r="M1062" s="488"/>
      <c r="N1062" s="488"/>
      <c r="O1062" s="488"/>
      <c r="P1062" s="488"/>
      <c r="Q1062" s="488"/>
      <c r="R1062" s="488"/>
      <c r="S1062" s="488"/>
      <c r="T1062" s="488"/>
      <c r="U1062" s="488"/>
      <c r="V1062" s="488"/>
      <c r="W1062" s="488"/>
      <c r="X1062" s="488"/>
      <c r="Y1062" s="488"/>
      <c r="Z1062" s="488"/>
      <c r="AA1062" s="488"/>
      <c r="AB1062" s="488"/>
      <c r="AC1062" s="488"/>
      <c r="AD1062" s="488"/>
      <c r="AE1062" s="488"/>
      <c r="AF1062" s="488"/>
      <c r="AG1062" s="488"/>
      <c r="AH1062" s="488"/>
      <c r="AI1062" s="488"/>
      <c r="AJ1062" s="488"/>
    </row>
    <row r="1063" spans="1:36" s="496" customFormat="1">
      <c r="A1063" s="488"/>
      <c r="C1063" s="488"/>
      <c r="D1063" s="488"/>
      <c r="E1063" s="488"/>
      <c r="F1063" s="488"/>
      <c r="G1063" s="488"/>
      <c r="H1063" s="488"/>
      <c r="I1063" s="488"/>
      <c r="J1063" s="488"/>
      <c r="K1063" s="488"/>
      <c r="L1063" s="488"/>
      <c r="M1063" s="488"/>
      <c r="N1063" s="488"/>
      <c r="O1063" s="488"/>
      <c r="P1063" s="488"/>
      <c r="Q1063" s="488"/>
      <c r="R1063" s="488"/>
      <c r="S1063" s="488"/>
      <c r="T1063" s="488"/>
      <c r="U1063" s="488"/>
      <c r="V1063" s="488"/>
      <c r="W1063" s="488"/>
      <c r="X1063" s="488"/>
      <c r="Y1063" s="488"/>
      <c r="Z1063" s="488"/>
      <c r="AA1063" s="488"/>
      <c r="AB1063" s="488"/>
      <c r="AC1063" s="488"/>
      <c r="AD1063" s="488"/>
      <c r="AE1063" s="488"/>
      <c r="AF1063" s="488"/>
      <c r="AG1063" s="488"/>
      <c r="AH1063" s="488"/>
      <c r="AI1063" s="488"/>
      <c r="AJ1063" s="488"/>
    </row>
    <row r="1064" spans="1:36" s="496" customFormat="1">
      <c r="A1064" s="488"/>
      <c r="C1064" s="488"/>
      <c r="D1064" s="488"/>
      <c r="E1064" s="488"/>
      <c r="F1064" s="488"/>
      <c r="G1064" s="488"/>
      <c r="H1064" s="488"/>
      <c r="I1064" s="488"/>
      <c r="J1064" s="488"/>
      <c r="K1064" s="488"/>
      <c r="L1064" s="488"/>
      <c r="M1064" s="488"/>
      <c r="N1064" s="488"/>
      <c r="O1064" s="488"/>
      <c r="P1064" s="488"/>
      <c r="Q1064" s="488"/>
      <c r="R1064" s="488"/>
      <c r="S1064" s="488"/>
      <c r="T1064" s="488"/>
      <c r="U1064" s="488"/>
      <c r="V1064" s="488"/>
      <c r="W1064" s="488"/>
      <c r="X1064" s="488"/>
      <c r="Y1064" s="488"/>
      <c r="Z1064" s="488"/>
      <c r="AA1064" s="488"/>
      <c r="AB1064" s="488"/>
      <c r="AC1064" s="488"/>
      <c r="AD1064" s="488"/>
      <c r="AE1064" s="488"/>
      <c r="AF1064" s="488"/>
      <c r="AG1064" s="488"/>
      <c r="AH1064" s="488"/>
      <c r="AI1064" s="488"/>
      <c r="AJ1064" s="488"/>
    </row>
    <row r="1065" spans="1:36" s="496" customFormat="1">
      <c r="A1065" s="488"/>
      <c r="C1065" s="488"/>
      <c r="D1065" s="488"/>
      <c r="E1065" s="488"/>
      <c r="F1065" s="488"/>
      <c r="G1065" s="488"/>
      <c r="H1065" s="488"/>
      <c r="I1065" s="488"/>
      <c r="J1065" s="488"/>
      <c r="K1065" s="488"/>
      <c r="L1065" s="488"/>
      <c r="M1065" s="488"/>
      <c r="N1065" s="488"/>
      <c r="O1065" s="488"/>
      <c r="P1065" s="488"/>
      <c r="Q1065" s="488"/>
      <c r="R1065" s="488"/>
      <c r="S1065" s="488"/>
      <c r="T1065" s="488"/>
      <c r="U1065" s="488"/>
      <c r="V1065" s="488"/>
      <c r="W1065" s="488"/>
      <c r="X1065" s="488"/>
      <c r="Y1065" s="488"/>
      <c r="Z1065" s="488"/>
      <c r="AA1065" s="488"/>
      <c r="AB1065" s="488"/>
      <c r="AC1065" s="488"/>
      <c r="AD1065" s="488"/>
      <c r="AE1065" s="488"/>
      <c r="AF1065" s="488"/>
      <c r="AG1065" s="488"/>
      <c r="AH1065" s="488"/>
      <c r="AI1065" s="488"/>
      <c r="AJ1065" s="488"/>
    </row>
    <row r="1066" spans="1:36" s="496" customFormat="1">
      <c r="A1066" s="488"/>
      <c r="C1066" s="488"/>
      <c r="D1066" s="488"/>
      <c r="E1066" s="488"/>
      <c r="F1066" s="488"/>
      <c r="G1066" s="488"/>
      <c r="H1066" s="488"/>
      <c r="I1066" s="488"/>
      <c r="J1066" s="488"/>
      <c r="K1066" s="488"/>
      <c r="L1066" s="488"/>
      <c r="M1066" s="488"/>
      <c r="N1066" s="488"/>
      <c r="O1066" s="488"/>
      <c r="P1066" s="488"/>
      <c r="Q1066" s="488"/>
      <c r="R1066" s="488"/>
      <c r="S1066" s="488"/>
      <c r="T1066" s="488"/>
      <c r="U1066" s="488"/>
      <c r="V1066" s="488"/>
      <c r="W1066" s="488"/>
      <c r="X1066" s="488"/>
      <c r="Y1066" s="488"/>
      <c r="Z1066" s="488"/>
      <c r="AA1066" s="488"/>
      <c r="AB1066" s="488"/>
      <c r="AC1066" s="488"/>
      <c r="AD1066" s="488"/>
      <c r="AE1066" s="488"/>
      <c r="AF1066" s="488"/>
      <c r="AG1066" s="488"/>
      <c r="AH1066" s="488"/>
      <c r="AI1066" s="488"/>
      <c r="AJ1066" s="488"/>
    </row>
    <row r="1067" spans="1:36" s="496" customFormat="1">
      <c r="A1067" s="488"/>
      <c r="C1067" s="488"/>
      <c r="D1067" s="488"/>
      <c r="E1067" s="488"/>
      <c r="F1067" s="488"/>
      <c r="G1067" s="488"/>
      <c r="H1067" s="488"/>
      <c r="I1067" s="488"/>
      <c r="J1067" s="488"/>
      <c r="K1067" s="488"/>
      <c r="L1067" s="488"/>
      <c r="M1067" s="488"/>
      <c r="N1067" s="488"/>
      <c r="O1067" s="488"/>
      <c r="P1067" s="488"/>
      <c r="Q1067" s="488"/>
      <c r="R1067" s="488"/>
      <c r="S1067" s="488"/>
      <c r="T1067" s="488"/>
      <c r="U1067" s="488"/>
      <c r="V1067" s="488"/>
      <c r="W1067" s="488"/>
      <c r="X1067" s="488"/>
      <c r="Y1067" s="488"/>
      <c r="Z1067" s="488"/>
      <c r="AA1067" s="488"/>
      <c r="AB1067" s="488"/>
      <c r="AC1067" s="488"/>
      <c r="AD1067" s="488"/>
      <c r="AE1067" s="488"/>
      <c r="AF1067" s="488"/>
      <c r="AG1067" s="488"/>
      <c r="AH1067" s="488"/>
      <c r="AI1067" s="488"/>
      <c r="AJ1067" s="488"/>
    </row>
    <row r="1068" spans="1:36" s="496" customFormat="1">
      <c r="A1068" s="488"/>
      <c r="C1068" s="488"/>
      <c r="D1068" s="488"/>
      <c r="E1068" s="488"/>
      <c r="F1068" s="488"/>
      <c r="G1068" s="488"/>
      <c r="H1068" s="488"/>
      <c r="I1068" s="488"/>
      <c r="J1068" s="488"/>
      <c r="K1068" s="488"/>
      <c r="L1068" s="488"/>
      <c r="M1068" s="488"/>
      <c r="N1068" s="488"/>
      <c r="O1068" s="488"/>
      <c r="P1068" s="488"/>
      <c r="Q1068" s="488"/>
      <c r="R1068" s="488"/>
      <c r="S1068" s="488"/>
      <c r="T1068" s="488"/>
      <c r="U1068" s="488"/>
      <c r="V1068" s="488"/>
      <c r="W1068" s="488"/>
      <c r="X1068" s="488"/>
      <c r="Y1068" s="488"/>
      <c r="Z1068" s="488"/>
      <c r="AA1068" s="488"/>
      <c r="AB1068" s="488"/>
      <c r="AC1068" s="488"/>
      <c r="AD1068" s="488"/>
      <c r="AE1068" s="488"/>
      <c r="AF1068" s="488"/>
      <c r="AG1068" s="488"/>
      <c r="AH1068" s="488"/>
      <c r="AI1068" s="488"/>
      <c r="AJ1068" s="488"/>
    </row>
    <row r="1069" spans="1:36" s="496" customFormat="1">
      <c r="A1069" s="488"/>
      <c r="C1069" s="488"/>
      <c r="D1069" s="488"/>
      <c r="E1069" s="488"/>
      <c r="F1069" s="488"/>
      <c r="G1069" s="488"/>
      <c r="H1069" s="488"/>
      <c r="I1069" s="488"/>
      <c r="J1069" s="488"/>
      <c r="K1069" s="488"/>
      <c r="L1069" s="488"/>
      <c r="M1069" s="488"/>
      <c r="N1069" s="488"/>
      <c r="O1069" s="488"/>
      <c r="P1069" s="488"/>
      <c r="Q1069" s="488"/>
      <c r="R1069" s="488"/>
      <c r="S1069" s="488"/>
      <c r="T1069" s="488"/>
      <c r="U1069" s="488"/>
      <c r="V1069" s="488"/>
      <c r="W1069" s="488"/>
      <c r="X1069" s="488"/>
      <c r="Y1069" s="488"/>
      <c r="Z1069" s="488"/>
      <c r="AA1069" s="488"/>
      <c r="AB1069" s="488"/>
      <c r="AC1069" s="488"/>
      <c r="AD1069" s="488"/>
      <c r="AE1069" s="488"/>
      <c r="AF1069" s="488"/>
      <c r="AG1069" s="488"/>
      <c r="AH1069" s="488"/>
      <c r="AI1069" s="488"/>
      <c r="AJ1069" s="488"/>
    </row>
    <row r="1070" spans="1:36" s="496" customFormat="1">
      <c r="A1070" s="488"/>
      <c r="C1070" s="488"/>
      <c r="D1070" s="488"/>
      <c r="E1070" s="488"/>
      <c r="F1070" s="488"/>
      <c r="G1070" s="488"/>
      <c r="H1070" s="488"/>
      <c r="I1070" s="488"/>
      <c r="J1070" s="488"/>
      <c r="K1070" s="488"/>
      <c r="L1070" s="488"/>
      <c r="M1070" s="488"/>
      <c r="N1070" s="488"/>
      <c r="O1070" s="488"/>
      <c r="P1070" s="488"/>
      <c r="Q1070" s="488"/>
      <c r="R1070" s="488"/>
      <c r="S1070" s="488"/>
      <c r="T1070" s="488"/>
      <c r="U1070" s="488"/>
      <c r="V1070" s="488"/>
      <c r="W1070" s="488"/>
      <c r="X1070" s="488"/>
      <c r="Y1070" s="488"/>
      <c r="Z1070" s="488"/>
      <c r="AA1070" s="488"/>
      <c r="AB1070" s="488"/>
      <c r="AC1070" s="488"/>
      <c r="AD1070" s="488"/>
      <c r="AE1070" s="488"/>
      <c r="AF1070" s="488"/>
      <c r="AG1070" s="488"/>
      <c r="AH1070" s="488"/>
      <c r="AI1070" s="488"/>
      <c r="AJ1070" s="488"/>
    </row>
    <row r="1071" spans="1:36" s="496" customFormat="1">
      <c r="A1071" s="488"/>
      <c r="C1071" s="488"/>
      <c r="D1071" s="488"/>
      <c r="E1071" s="488"/>
      <c r="F1071" s="488"/>
      <c r="G1071" s="488"/>
      <c r="H1071" s="488"/>
      <c r="I1071" s="488"/>
      <c r="J1071" s="488"/>
      <c r="K1071" s="488"/>
      <c r="L1071" s="488"/>
      <c r="M1071" s="488"/>
      <c r="N1071" s="488"/>
      <c r="O1071" s="488"/>
      <c r="P1071" s="488"/>
      <c r="Q1071" s="488"/>
      <c r="R1071" s="488"/>
      <c r="S1071" s="488"/>
      <c r="T1071" s="488"/>
      <c r="U1071" s="488"/>
      <c r="V1071" s="488"/>
      <c r="W1071" s="488"/>
      <c r="X1071" s="488"/>
      <c r="Y1071" s="488"/>
      <c r="Z1071" s="488"/>
      <c r="AA1071" s="488"/>
      <c r="AB1071" s="488"/>
      <c r="AC1071" s="488"/>
      <c r="AD1071" s="488"/>
      <c r="AE1071" s="488"/>
      <c r="AF1071" s="488"/>
      <c r="AG1071" s="488"/>
      <c r="AH1071" s="488"/>
      <c r="AI1071" s="488"/>
      <c r="AJ1071" s="488"/>
    </row>
    <row r="1072" spans="1:36" s="496" customFormat="1">
      <c r="A1072" s="488"/>
      <c r="C1072" s="488"/>
      <c r="D1072" s="488"/>
      <c r="E1072" s="488"/>
      <c r="F1072" s="488"/>
      <c r="G1072" s="488"/>
      <c r="H1072" s="488"/>
      <c r="I1072" s="488"/>
      <c r="J1072" s="488"/>
      <c r="K1072" s="488"/>
      <c r="L1072" s="488"/>
      <c r="M1072" s="488"/>
      <c r="N1072" s="488"/>
      <c r="O1072" s="488"/>
      <c r="P1072" s="488"/>
      <c r="Q1072" s="488"/>
      <c r="R1072" s="488"/>
      <c r="S1072" s="488"/>
      <c r="T1072" s="488"/>
      <c r="U1072" s="488"/>
      <c r="V1072" s="488"/>
      <c r="W1072" s="488"/>
      <c r="X1072" s="488"/>
      <c r="Y1072" s="488"/>
      <c r="Z1072" s="488"/>
      <c r="AA1072" s="488"/>
      <c r="AB1072" s="488"/>
      <c r="AC1072" s="488"/>
      <c r="AD1072" s="488"/>
      <c r="AE1072" s="488"/>
      <c r="AF1072" s="488"/>
      <c r="AG1072" s="488"/>
      <c r="AH1072" s="488"/>
      <c r="AI1072" s="488"/>
      <c r="AJ1072" s="488"/>
    </row>
    <row r="1073" spans="1:36" s="496" customFormat="1">
      <c r="A1073" s="488"/>
      <c r="C1073" s="488"/>
      <c r="D1073" s="488"/>
      <c r="E1073" s="488"/>
      <c r="F1073" s="488"/>
      <c r="G1073" s="488"/>
      <c r="H1073" s="488"/>
      <c r="I1073" s="488"/>
      <c r="J1073" s="488"/>
      <c r="K1073" s="488"/>
      <c r="L1073" s="488"/>
      <c r="M1073" s="488"/>
      <c r="N1073" s="488"/>
      <c r="O1073" s="488"/>
      <c r="P1073" s="488"/>
      <c r="Q1073" s="488"/>
      <c r="R1073" s="488"/>
      <c r="S1073" s="488"/>
      <c r="T1073" s="488"/>
      <c r="U1073" s="488"/>
      <c r="V1073" s="488"/>
      <c r="W1073" s="488"/>
      <c r="X1073" s="488"/>
      <c r="Y1073" s="488"/>
      <c r="Z1073" s="488"/>
      <c r="AA1073" s="488"/>
      <c r="AB1073" s="488"/>
      <c r="AC1073" s="488"/>
      <c r="AD1073" s="488"/>
      <c r="AE1073" s="488"/>
      <c r="AF1073" s="488"/>
      <c r="AG1073" s="488"/>
      <c r="AH1073" s="488"/>
      <c r="AI1073" s="488"/>
      <c r="AJ1073" s="488"/>
    </row>
    <row r="1074" spans="1:36" s="496" customFormat="1">
      <c r="A1074" s="488"/>
      <c r="C1074" s="488"/>
      <c r="D1074" s="488"/>
      <c r="E1074" s="488"/>
      <c r="F1074" s="488"/>
      <c r="G1074" s="488"/>
      <c r="H1074" s="488"/>
      <c r="I1074" s="488"/>
      <c r="J1074" s="488"/>
      <c r="K1074" s="488"/>
      <c r="L1074" s="488"/>
      <c r="M1074" s="488"/>
      <c r="N1074" s="488"/>
      <c r="O1074" s="488"/>
      <c r="P1074" s="488"/>
      <c r="Q1074" s="488"/>
      <c r="R1074" s="488"/>
      <c r="S1074" s="488"/>
      <c r="T1074" s="488"/>
      <c r="U1074" s="488"/>
      <c r="V1074" s="488"/>
      <c r="W1074" s="488"/>
      <c r="X1074" s="488"/>
      <c r="Y1074" s="488"/>
      <c r="Z1074" s="488"/>
      <c r="AA1074" s="488"/>
      <c r="AB1074" s="488"/>
      <c r="AC1074" s="488"/>
      <c r="AD1074" s="488"/>
      <c r="AE1074" s="488"/>
      <c r="AF1074" s="488"/>
      <c r="AG1074" s="488"/>
      <c r="AH1074" s="488"/>
      <c r="AI1074" s="488"/>
      <c r="AJ1074" s="488"/>
    </row>
    <row r="1075" spans="1:36" s="496" customFormat="1">
      <c r="A1075" s="488"/>
      <c r="C1075" s="488"/>
      <c r="D1075" s="488"/>
      <c r="E1075" s="488"/>
      <c r="F1075" s="488"/>
      <c r="G1075" s="488"/>
      <c r="H1075" s="488"/>
      <c r="I1075" s="488"/>
      <c r="J1075" s="488"/>
      <c r="K1075" s="488"/>
      <c r="L1075" s="488"/>
      <c r="M1075" s="488"/>
      <c r="N1075" s="488"/>
      <c r="O1075" s="488"/>
      <c r="P1075" s="488"/>
      <c r="Q1075" s="488"/>
      <c r="R1075" s="488"/>
      <c r="S1075" s="488"/>
      <c r="T1075" s="488"/>
      <c r="U1075" s="488"/>
      <c r="V1075" s="488"/>
      <c r="W1075" s="488"/>
      <c r="X1075" s="488"/>
      <c r="Y1075" s="488"/>
      <c r="Z1075" s="488"/>
      <c r="AA1075" s="488"/>
      <c r="AB1075" s="488"/>
      <c r="AC1075" s="488"/>
      <c r="AD1075" s="488"/>
      <c r="AE1075" s="488"/>
      <c r="AF1075" s="488"/>
      <c r="AG1075" s="488"/>
      <c r="AH1075" s="488"/>
      <c r="AI1075" s="488"/>
      <c r="AJ1075" s="488"/>
    </row>
    <row r="1076" spans="1:36" s="496" customFormat="1">
      <c r="A1076" s="488"/>
      <c r="C1076" s="488"/>
      <c r="D1076" s="488"/>
      <c r="E1076" s="488"/>
      <c r="F1076" s="488"/>
      <c r="G1076" s="488"/>
      <c r="H1076" s="488"/>
      <c r="I1076" s="488"/>
      <c r="J1076" s="488"/>
      <c r="K1076" s="488"/>
      <c r="L1076" s="488"/>
      <c r="M1076" s="488"/>
      <c r="N1076" s="488"/>
      <c r="O1076" s="488"/>
      <c r="P1076" s="488"/>
      <c r="Q1076" s="488"/>
      <c r="R1076" s="488"/>
      <c r="S1076" s="488"/>
      <c r="T1076" s="488"/>
      <c r="U1076" s="488"/>
      <c r="V1076" s="488"/>
      <c r="W1076" s="488"/>
      <c r="X1076" s="488"/>
      <c r="Y1076" s="488"/>
      <c r="Z1076" s="488"/>
      <c r="AA1076" s="488"/>
      <c r="AB1076" s="488"/>
      <c r="AC1076" s="488"/>
      <c r="AD1076" s="488"/>
      <c r="AE1076" s="488"/>
      <c r="AF1076" s="488"/>
      <c r="AG1076" s="488"/>
      <c r="AH1076" s="488"/>
      <c r="AI1076" s="488"/>
      <c r="AJ1076" s="488"/>
    </row>
    <row r="1077" spans="1:36" s="496" customFormat="1">
      <c r="A1077" s="488"/>
      <c r="C1077" s="488"/>
      <c r="D1077" s="488"/>
      <c r="E1077" s="488"/>
      <c r="F1077" s="488"/>
      <c r="G1077" s="488"/>
      <c r="H1077" s="488"/>
      <c r="I1077" s="488"/>
      <c r="J1077" s="488"/>
      <c r="K1077" s="488"/>
      <c r="L1077" s="488"/>
      <c r="M1077" s="488"/>
      <c r="N1077" s="488"/>
      <c r="O1077" s="488"/>
      <c r="P1077" s="488"/>
      <c r="Q1077" s="488"/>
      <c r="R1077" s="488"/>
      <c r="S1077" s="488"/>
      <c r="T1077" s="488"/>
      <c r="U1077" s="488"/>
      <c r="V1077" s="488"/>
      <c r="W1077" s="488"/>
      <c r="X1077" s="488"/>
      <c r="Y1077" s="488"/>
      <c r="Z1077" s="488"/>
      <c r="AA1077" s="488"/>
      <c r="AB1077" s="488"/>
      <c r="AC1077" s="488"/>
      <c r="AD1077" s="488"/>
      <c r="AE1077" s="488"/>
      <c r="AF1077" s="488"/>
      <c r="AG1077" s="488"/>
      <c r="AH1077" s="488"/>
      <c r="AI1077" s="488"/>
      <c r="AJ1077" s="488"/>
    </row>
    <row r="1078" spans="1:36" s="496" customFormat="1">
      <c r="A1078" s="488"/>
      <c r="C1078" s="488"/>
      <c r="D1078" s="488"/>
      <c r="E1078" s="488"/>
      <c r="F1078" s="488"/>
      <c r="G1078" s="488"/>
      <c r="H1078" s="488"/>
      <c r="I1078" s="488"/>
      <c r="J1078" s="488"/>
      <c r="K1078" s="488"/>
      <c r="L1078" s="488"/>
      <c r="M1078" s="488"/>
      <c r="N1078" s="488"/>
      <c r="O1078" s="488"/>
      <c r="P1078" s="488"/>
      <c r="Q1078" s="488"/>
      <c r="R1078" s="488"/>
      <c r="S1078" s="488"/>
      <c r="T1078" s="488"/>
      <c r="U1078" s="488"/>
      <c r="V1078" s="488"/>
      <c r="W1078" s="488"/>
      <c r="X1078" s="488"/>
      <c r="Y1078" s="488"/>
      <c r="Z1078" s="488"/>
      <c r="AA1078" s="488"/>
      <c r="AB1078" s="488"/>
      <c r="AC1078" s="488"/>
      <c r="AD1078" s="488"/>
      <c r="AE1078" s="488"/>
      <c r="AF1078" s="488"/>
      <c r="AG1078" s="488"/>
      <c r="AH1078" s="488"/>
      <c r="AI1078" s="488"/>
      <c r="AJ1078" s="488"/>
    </row>
    <row r="1079" spans="1:36" s="496" customFormat="1">
      <c r="A1079" s="488"/>
      <c r="C1079" s="488"/>
      <c r="D1079" s="488"/>
      <c r="E1079" s="488"/>
      <c r="F1079" s="488"/>
      <c r="G1079" s="488"/>
      <c r="H1079" s="488"/>
      <c r="I1079" s="488"/>
      <c r="J1079" s="488"/>
      <c r="K1079" s="488"/>
      <c r="L1079" s="488"/>
      <c r="M1079" s="488"/>
      <c r="N1079" s="488"/>
      <c r="O1079" s="488"/>
      <c r="P1079" s="488"/>
      <c r="Q1079" s="488"/>
      <c r="R1079" s="488"/>
      <c r="S1079" s="488"/>
      <c r="T1079" s="488"/>
      <c r="U1079" s="488"/>
      <c r="V1079" s="488"/>
      <c r="W1079" s="488"/>
      <c r="X1079" s="488"/>
      <c r="Y1079" s="488"/>
      <c r="Z1079" s="488"/>
      <c r="AA1079" s="488"/>
      <c r="AB1079" s="488"/>
      <c r="AC1079" s="488"/>
      <c r="AD1079" s="488"/>
      <c r="AE1079" s="488"/>
      <c r="AF1079" s="488"/>
      <c r="AG1079" s="488"/>
      <c r="AH1079" s="488"/>
      <c r="AI1079" s="488"/>
      <c r="AJ1079" s="488"/>
    </row>
    <row r="1080" spans="1:36" s="496" customFormat="1">
      <c r="A1080" s="488"/>
      <c r="C1080" s="488"/>
      <c r="D1080" s="488"/>
      <c r="E1080" s="488"/>
      <c r="F1080" s="488"/>
      <c r="G1080" s="488"/>
      <c r="H1080" s="488"/>
      <c r="I1080" s="488"/>
      <c r="J1080" s="488"/>
      <c r="K1080" s="488"/>
      <c r="L1080" s="488"/>
      <c r="M1080" s="488"/>
      <c r="N1080" s="488"/>
      <c r="O1080" s="488"/>
      <c r="P1080" s="488"/>
      <c r="Q1080" s="488"/>
      <c r="R1080" s="488"/>
      <c r="S1080" s="488"/>
      <c r="T1080" s="488"/>
      <c r="U1080" s="488"/>
      <c r="V1080" s="488"/>
      <c r="W1080" s="488"/>
      <c r="X1080" s="488"/>
      <c r="Y1080" s="488"/>
      <c r="Z1080" s="488"/>
      <c r="AA1080" s="488"/>
      <c r="AB1080" s="488"/>
      <c r="AC1080" s="488"/>
      <c r="AD1080" s="488"/>
      <c r="AE1080" s="488"/>
      <c r="AF1080" s="488"/>
      <c r="AG1080" s="488"/>
      <c r="AH1080" s="488"/>
      <c r="AI1080" s="488"/>
      <c r="AJ1080" s="488"/>
    </row>
    <row r="1081" spans="1:36" s="496" customFormat="1">
      <c r="A1081" s="488"/>
      <c r="C1081" s="488"/>
      <c r="D1081" s="488"/>
      <c r="E1081" s="488"/>
      <c r="F1081" s="488"/>
      <c r="G1081" s="488"/>
      <c r="H1081" s="488"/>
      <c r="I1081" s="488"/>
      <c r="J1081" s="488"/>
      <c r="K1081" s="488"/>
      <c r="L1081" s="488"/>
      <c r="M1081" s="488"/>
      <c r="N1081" s="488"/>
      <c r="O1081" s="488"/>
      <c r="P1081" s="488"/>
      <c r="Q1081" s="488"/>
      <c r="R1081" s="488"/>
      <c r="S1081" s="488"/>
      <c r="T1081" s="488"/>
      <c r="U1081" s="488"/>
      <c r="V1081" s="488"/>
      <c r="W1081" s="488"/>
      <c r="X1081" s="488"/>
      <c r="Y1081" s="488"/>
      <c r="Z1081" s="488"/>
      <c r="AA1081" s="488"/>
      <c r="AB1081" s="488"/>
      <c r="AC1081" s="488"/>
      <c r="AD1081" s="488"/>
      <c r="AE1081" s="488"/>
      <c r="AF1081" s="488"/>
      <c r="AG1081" s="488"/>
      <c r="AH1081" s="488"/>
      <c r="AI1081" s="488"/>
      <c r="AJ1081" s="488"/>
    </row>
    <row r="1082" spans="1:36" s="496" customFormat="1">
      <c r="A1082" s="488"/>
      <c r="C1082" s="488"/>
      <c r="D1082" s="488"/>
      <c r="E1082" s="488"/>
      <c r="F1082" s="488"/>
      <c r="G1082" s="488"/>
      <c r="H1082" s="488"/>
      <c r="I1082" s="488"/>
      <c r="J1082" s="488"/>
      <c r="K1082" s="488"/>
      <c r="L1082" s="488"/>
      <c r="M1082" s="488"/>
      <c r="N1082" s="488"/>
      <c r="O1082" s="488"/>
      <c r="P1082" s="488"/>
      <c r="Q1082" s="488"/>
      <c r="R1082" s="488"/>
      <c r="S1082" s="488"/>
      <c r="T1082" s="488"/>
      <c r="U1082" s="488"/>
      <c r="V1082" s="488"/>
      <c r="W1082" s="488"/>
      <c r="X1082" s="488"/>
      <c r="Y1082" s="488"/>
      <c r="Z1082" s="488"/>
      <c r="AA1082" s="488"/>
      <c r="AB1082" s="488"/>
      <c r="AC1082" s="488"/>
      <c r="AD1082" s="488"/>
      <c r="AE1082" s="488"/>
      <c r="AF1082" s="488"/>
      <c r="AG1082" s="488"/>
      <c r="AH1082" s="488"/>
      <c r="AI1082" s="488"/>
      <c r="AJ1082" s="488"/>
    </row>
    <row r="1083" spans="1:36" s="496" customFormat="1">
      <c r="A1083" s="488"/>
      <c r="C1083" s="488"/>
      <c r="D1083" s="488"/>
      <c r="E1083" s="488"/>
      <c r="F1083" s="488"/>
      <c r="G1083" s="488"/>
      <c r="H1083" s="488"/>
      <c r="I1083" s="488"/>
      <c r="J1083" s="488"/>
      <c r="K1083" s="488"/>
      <c r="L1083" s="488"/>
      <c r="M1083" s="488"/>
      <c r="N1083" s="488"/>
      <c r="O1083" s="488"/>
      <c r="P1083" s="488"/>
      <c r="Q1083" s="488"/>
      <c r="R1083" s="488"/>
      <c r="S1083" s="488"/>
      <c r="T1083" s="488"/>
      <c r="U1083" s="488"/>
      <c r="V1083" s="488"/>
      <c r="W1083" s="488"/>
      <c r="X1083" s="488"/>
      <c r="Y1083" s="488"/>
      <c r="Z1083" s="488"/>
      <c r="AA1083" s="488"/>
      <c r="AB1083" s="488"/>
      <c r="AC1083" s="488"/>
      <c r="AD1083" s="488"/>
      <c r="AE1083" s="488"/>
      <c r="AF1083" s="488"/>
      <c r="AG1083" s="488"/>
      <c r="AH1083" s="488"/>
      <c r="AI1083" s="488"/>
      <c r="AJ1083" s="488"/>
    </row>
    <row r="1084" spans="1:36" s="496" customFormat="1">
      <c r="A1084" s="488"/>
      <c r="C1084" s="488"/>
      <c r="D1084" s="488"/>
      <c r="E1084" s="488"/>
      <c r="F1084" s="488"/>
      <c r="G1084" s="488"/>
      <c r="H1084" s="488"/>
      <c r="I1084" s="488"/>
      <c r="J1084" s="488"/>
      <c r="K1084" s="488"/>
      <c r="L1084" s="488"/>
      <c r="M1084" s="488"/>
      <c r="N1084" s="488"/>
      <c r="O1084" s="488"/>
      <c r="P1084" s="488"/>
      <c r="Q1084" s="488"/>
      <c r="R1084" s="488"/>
      <c r="S1084" s="488"/>
      <c r="T1084" s="488"/>
      <c r="U1084" s="488"/>
      <c r="V1084" s="488"/>
      <c r="W1084" s="488"/>
      <c r="X1084" s="488"/>
      <c r="Y1084" s="488"/>
      <c r="Z1084" s="488"/>
      <c r="AA1084" s="488"/>
      <c r="AB1084" s="488"/>
      <c r="AC1084" s="488"/>
      <c r="AD1084" s="488"/>
      <c r="AE1084" s="488"/>
      <c r="AF1084" s="488"/>
      <c r="AG1084" s="488"/>
      <c r="AH1084" s="488"/>
      <c r="AI1084" s="488"/>
      <c r="AJ1084" s="488"/>
    </row>
    <row r="1085" spans="1:36" s="496" customFormat="1">
      <c r="A1085" s="488"/>
      <c r="C1085" s="488"/>
      <c r="D1085" s="488"/>
      <c r="E1085" s="488"/>
      <c r="F1085" s="488"/>
      <c r="G1085" s="488"/>
      <c r="H1085" s="488"/>
      <c r="I1085" s="488"/>
      <c r="J1085" s="488"/>
      <c r="K1085" s="488"/>
      <c r="L1085" s="488"/>
      <c r="M1085" s="488"/>
      <c r="N1085" s="488"/>
      <c r="O1085" s="488"/>
      <c r="P1085" s="488"/>
      <c r="Q1085" s="488"/>
      <c r="R1085" s="488"/>
      <c r="S1085" s="488"/>
      <c r="T1085" s="488"/>
      <c r="U1085" s="488"/>
      <c r="V1085" s="488"/>
      <c r="W1085" s="488"/>
      <c r="X1085" s="488"/>
      <c r="Y1085" s="488"/>
      <c r="Z1085" s="488"/>
      <c r="AA1085" s="488"/>
      <c r="AB1085" s="488"/>
      <c r="AC1085" s="488"/>
      <c r="AD1085" s="488"/>
      <c r="AE1085" s="488"/>
      <c r="AF1085" s="488"/>
      <c r="AG1085" s="488"/>
      <c r="AH1085" s="488"/>
      <c r="AI1085" s="488"/>
      <c r="AJ1085" s="488"/>
    </row>
    <row r="1086" spans="1:36" s="496" customFormat="1">
      <c r="A1086" s="488"/>
      <c r="C1086" s="488"/>
      <c r="D1086" s="488"/>
      <c r="E1086" s="488"/>
      <c r="F1086" s="488"/>
      <c r="G1086" s="488"/>
      <c r="H1086" s="488"/>
      <c r="I1086" s="488"/>
      <c r="J1086" s="488"/>
      <c r="K1086" s="488"/>
      <c r="L1086" s="488"/>
      <c r="M1086" s="488"/>
      <c r="N1086" s="488"/>
      <c r="O1086" s="488"/>
      <c r="P1086" s="488"/>
      <c r="Q1086" s="488"/>
      <c r="R1086" s="488"/>
      <c r="S1086" s="488"/>
      <c r="T1086" s="488"/>
      <c r="U1086" s="488"/>
      <c r="V1086" s="488"/>
      <c r="W1086" s="488"/>
      <c r="X1086" s="488"/>
      <c r="Y1086" s="488"/>
      <c r="Z1086" s="488"/>
      <c r="AA1086" s="488"/>
      <c r="AB1086" s="488"/>
      <c r="AC1086" s="488"/>
      <c r="AD1086" s="488"/>
      <c r="AE1086" s="488"/>
      <c r="AF1086" s="488"/>
      <c r="AG1086" s="488"/>
      <c r="AH1086" s="488"/>
      <c r="AI1086" s="488"/>
      <c r="AJ1086" s="488"/>
    </row>
    <row r="1087" spans="1:36" s="496" customFormat="1">
      <c r="A1087" s="488"/>
      <c r="C1087" s="488"/>
      <c r="D1087" s="488"/>
      <c r="E1087" s="488"/>
      <c r="F1087" s="488"/>
      <c r="G1087" s="488"/>
      <c r="H1087" s="488"/>
      <c r="I1087" s="488"/>
      <c r="J1087" s="488"/>
      <c r="K1087" s="488"/>
      <c r="L1087" s="488"/>
      <c r="M1087" s="488"/>
      <c r="N1087" s="488"/>
      <c r="O1087" s="488"/>
      <c r="P1087" s="488"/>
      <c r="Q1087" s="488"/>
      <c r="R1087" s="488"/>
      <c r="S1087" s="488"/>
      <c r="T1087" s="488"/>
      <c r="U1087" s="488"/>
      <c r="V1087" s="488"/>
      <c r="W1087" s="488"/>
      <c r="X1087" s="488"/>
      <c r="Y1087" s="488"/>
      <c r="Z1087" s="488"/>
      <c r="AA1087" s="488"/>
      <c r="AB1087" s="488"/>
      <c r="AC1087" s="488"/>
      <c r="AD1087" s="488"/>
      <c r="AE1087" s="488"/>
      <c r="AF1087" s="488"/>
      <c r="AG1087" s="488"/>
      <c r="AH1087" s="488"/>
      <c r="AI1087" s="488"/>
      <c r="AJ1087" s="488"/>
    </row>
    <row r="1088" spans="1:36" s="496" customFormat="1">
      <c r="A1088" s="488"/>
      <c r="C1088" s="488"/>
      <c r="D1088" s="488"/>
      <c r="E1088" s="488"/>
      <c r="F1088" s="488"/>
      <c r="G1088" s="488"/>
      <c r="H1088" s="488"/>
      <c r="I1088" s="488"/>
      <c r="J1088" s="488"/>
      <c r="K1088" s="488"/>
      <c r="L1088" s="488"/>
      <c r="M1088" s="488"/>
      <c r="N1088" s="488"/>
      <c r="O1088" s="488"/>
      <c r="P1088" s="488"/>
      <c r="Q1088" s="488"/>
      <c r="R1088" s="488"/>
      <c r="S1088" s="488"/>
      <c r="T1088" s="488"/>
      <c r="U1088" s="488"/>
      <c r="V1088" s="488"/>
      <c r="W1088" s="488"/>
      <c r="X1088" s="488"/>
      <c r="Y1088" s="488"/>
      <c r="Z1088" s="488"/>
      <c r="AA1088" s="488"/>
      <c r="AB1088" s="488"/>
      <c r="AC1088" s="488"/>
      <c r="AD1088" s="488"/>
      <c r="AE1088" s="488"/>
      <c r="AF1088" s="488"/>
      <c r="AG1088" s="488"/>
      <c r="AH1088" s="488"/>
      <c r="AI1088" s="488"/>
      <c r="AJ1088" s="488"/>
    </row>
    <row r="1089" spans="1:36" s="496" customFormat="1">
      <c r="A1089" s="488"/>
      <c r="C1089" s="488"/>
      <c r="D1089" s="488"/>
      <c r="E1089" s="488"/>
      <c r="F1089" s="488"/>
      <c r="G1089" s="488"/>
      <c r="H1089" s="488"/>
      <c r="I1089" s="488"/>
      <c r="J1089" s="488"/>
      <c r="K1089" s="488"/>
      <c r="L1089" s="488"/>
      <c r="M1089" s="488"/>
      <c r="N1089" s="488"/>
      <c r="O1089" s="488"/>
      <c r="P1089" s="488"/>
      <c r="Q1089" s="488"/>
      <c r="R1089" s="488"/>
      <c r="S1089" s="488"/>
      <c r="T1089" s="488"/>
      <c r="U1089" s="488"/>
      <c r="V1089" s="488"/>
      <c r="W1089" s="488"/>
      <c r="X1089" s="488"/>
      <c r="Y1089" s="488"/>
      <c r="Z1089" s="488"/>
      <c r="AA1089" s="488"/>
      <c r="AB1089" s="488"/>
      <c r="AC1089" s="488"/>
      <c r="AD1089" s="488"/>
      <c r="AE1089" s="488"/>
      <c r="AF1089" s="488"/>
      <c r="AG1089" s="488"/>
      <c r="AH1089" s="488"/>
      <c r="AI1089" s="488"/>
      <c r="AJ1089" s="488"/>
    </row>
    <row r="1090" spans="1:36" s="496" customFormat="1">
      <c r="A1090" s="488"/>
      <c r="C1090" s="488"/>
      <c r="D1090" s="488"/>
      <c r="E1090" s="488"/>
      <c r="F1090" s="488"/>
      <c r="G1090" s="488"/>
      <c r="H1090" s="488"/>
      <c r="I1090" s="488"/>
      <c r="J1090" s="488"/>
      <c r="K1090" s="488"/>
      <c r="L1090" s="488"/>
      <c r="M1090" s="488"/>
      <c r="N1090" s="488"/>
      <c r="O1090" s="488"/>
      <c r="P1090" s="488"/>
      <c r="Q1090" s="488"/>
      <c r="R1090" s="488"/>
      <c r="S1090" s="488"/>
      <c r="T1090" s="488"/>
      <c r="U1090" s="488"/>
      <c r="V1090" s="488"/>
      <c r="W1090" s="488"/>
      <c r="X1090" s="488"/>
      <c r="Y1090" s="488"/>
      <c r="Z1090" s="488"/>
      <c r="AA1090" s="488"/>
      <c r="AB1090" s="488"/>
      <c r="AC1090" s="488"/>
      <c r="AD1090" s="488"/>
      <c r="AE1090" s="488"/>
      <c r="AF1090" s="488"/>
      <c r="AG1090" s="488"/>
      <c r="AH1090" s="488"/>
      <c r="AI1090" s="488"/>
      <c r="AJ1090" s="488"/>
    </row>
    <row r="1091" spans="1:36" s="496" customFormat="1">
      <c r="A1091" s="488"/>
      <c r="C1091" s="488"/>
      <c r="D1091" s="488"/>
      <c r="E1091" s="488"/>
      <c r="F1091" s="488"/>
      <c r="G1091" s="488"/>
      <c r="H1091" s="488"/>
      <c r="I1091" s="488"/>
      <c r="J1091" s="488"/>
      <c r="K1091" s="488"/>
      <c r="L1091" s="488"/>
      <c r="M1091" s="488"/>
      <c r="N1091" s="488"/>
      <c r="O1091" s="488"/>
      <c r="P1091" s="488"/>
      <c r="Q1091" s="488"/>
      <c r="R1091" s="488"/>
      <c r="S1091" s="488"/>
      <c r="T1091" s="488"/>
      <c r="U1091" s="488"/>
      <c r="V1091" s="488"/>
      <c r="W1091" s="488"/>
      <c r="X1091" s="488"/>
      <c r="Y1091" s="488"/>
      <c r="Z1091" s="488"/>
      <c r="AA1091" s="488"/>
      <c r="AB1091" s="488"/>
      <c r="AC1091" s="488"/>
      <c r="AD1091" s="488"/>
      <c r="AE1091" s="488"/>
      <c r="AF1091" s="488"/>
      <c r="AG1091" s="488"/>
      <c r="AH1091" s="488"/>
      <c r="AI1091" s="488"/>
      <c r="AJ1091" s="488"/>
    </row>
    <row r="1092" spans="1:36" s="496" customFormat="1">
      <c r="A1092" s="488"/>
      <c r="C1092" s="488"/>
      <c r="D1092" s="488"/>
      <c r="E1092" s="488"/>
      <c r="F1092" s="488"/>
      <c r="G1092" s="488"/>
      <c r="H1092" s="488"/>
      <c r="I1092" s="488"/>
      <c r="J1092" s="488"/>
      <c r="K1092" s="488"/>
      <c r="L1092" s="488"/>
      <c r="M1092" s="488"/>
      <c r="N1092" s="488"/>
      <c r="O1092" s="488"/>
      <c r="P1092" s="488"/>
      <c r="Q1092" s="488"/>
      <c r="R1092" s="488"/>
      <c r="S1092" s="488"/>
      <c r="T1092" s="488"/>
      <c r="U1092" s="488"/>
      <c r="V1092" s="488"/>
      <c r="W1092" s="488"/>
      <c r="X1092" s="488"/>
      <c r="Y1092" s="488"/>
      <c r="Z1092" s="488"/>
      <c r="AA1092" s="488"/>
      <c r="AB1092" s="488"/>
      <c r="AC1092" s="488"/>
      <c r="AD1092" s="488"/>
      <c r="AE1092" s="488"/>
      <c r="AF1092" s="488"/>
      <c r="AG1092" s="488"/>
      <c r="AH1092" s="488"/>
      <c r="AI1092" s="488"/>
      <c r="AJ1092" s="488"/>
    </row>
    <row r="1093" spans="1:36" s="496" customFormat="1">
      <c r="A1093" s="488"/>
      <c r="C1093" s="488"/>
      <c r="D1093" s="488"/>
      <c r="E1093" s="488"/>
      <c r="F1093" s="488"/>
      <c r="G1093" s="488"/>
      <c r="H1093" s="488"/>
      <c r="I1093" s="488"/>
      <c r="J1093" s="488"/>
      <c r="K1093" s="488"/>
      <c r="L1093" s="488"/>
      <c r="M1093" s="488"/>
      <c r="N1093" s="488"/>
      <c r="O1093" s="488"/>
      <c r="P1093" s="488"/>
      <c r="Q1093" s="488"/>
      <c r="R1093" s="488"/>
      <c r="S1093" s="488"/>
      <c r="T1093" s="488"/>
      <c r="U1093" s="488"/>
      <c r="V1093" s="488"/>
      <c r="W1093" s="488"/>
      <c r="X1093" s="488"/>
      <c r="Y1093" s="488"/>
      <c r="Z1093" s="488"/>
      <c r="AA1093" s="488"/>
      <c r="AB1093" s="488"/>
      <c r="AC1093" s="488"/>
      <c r="AD1093" s="488"/>
      <c r="AE1093" s="488"/>
      <c r="AF1093" s="488"/>
      <c r="AG1093" s="488"/>
      <c r="AH1093" s="488"/>
      <c r="AI1093" s="488"/>
      <c r="AJ1093" s="488"/>
    </row>
    <row r="1094" spans="1:36" s="496" customFormat="1">
      <c r="A1094" s="488"/>
      <c r="C1094" s="488"/>
      <c r="D1094" s="488"/>
      <c r="E1094" s="488"/>
      <c r="F1094" s="488"/>
      <c r="G1094" s="488"/>
      <c r="H1094" s="488"/>
      <c r="I1094" s="488"/>
      <c r="J1094" s="488"/>
      <c r="K1094" s="488"/>
      <c r="L1094" s="488"/>
      <c r="M1094" s="488"/>
      <c r="N1094" s="488"/>
      <c r="O1094" s="488"/>
      <c r="P1094" s="488"/>
      <c r="Q1094" s="488"/>
      <c r="R1094" s="488"/>
      <c r="S1094" s="488"/>
      <c r="T1094" s="488"/>
      <c r="U1094" s="488"/>
      <c r="V1094" s="488"/>
      <c r="W1094" s="488"/>
      <c r="X1094" s="488"/>
      <c r="Y1094" s="488"/>
      <c r="Z1094" s="488"/>
      <c r="AA1094" s="488"/>
      <c r="AB1094" s="488"/>
      <c r="AC1094" s="488"/>
      <c r="AD1094" s="488"/>
      <c r="AE1094" s="488"/>
      <c r="AF1094" s="488"/>
      <c r="AG1094" s="488"/>
      <c r="AH1094" s="488"/>
      <c r="AI1094" s="488"/>
      <c r="AJ1094" s="488"/>
    </row>
    <row r="1095" spans="1:36" s="496" customFormat="1">
      <c r="A1095" s="488"/>
      <c r="C1095" s="488"/>
      <c r="D1095" s="488"/>
      <c r="E1095" s="488"/>
      <c r="F1095" s="488"/>
      <c r="G1095" s="488"/>
      <c r="H1095" s="488"/>
      <c r="I1095" s="488"/>
      <c r="J1095" s="488"/>
      <c r="K1095" s="488"/>
      <c r="L1095" s="488"/>
      <c r="M1095" s="488"/>
      <c r="N1095" s="488"/>
      <c r="O1095" s="488"/>
      <c r="P1095" s="488"/>
      <c r="Q1095" s="488"/>
      <c r="R1095" s="488"/>
      <c r="S1095" s="488"/>
      <c r="T1095" s="488"/>
      <c r="U1095" s="488"/>
      <c r="V1095" s="488"/>
      <c r="W1095" s="488"/>
      <c r="X1095" s="488"/>
      <c r="Y1095" s="488"/>
      <c r="Z1095" s="488"/>
      <c r="AA1095" s="488"/>
      <c r="AB1095" s="488"/>
      <c r="AC1095" s="488"/>
      <c r="AD1095" s="488"/>
      <c r="AE1095" s="488"/>
      <c r="AF1095" s="488"/>
      <c r="AG1095" s="488"/>
      <c r="AH1095" s="488"/>
      <c r="AI1095" s="488"/>
      <c r="AJ1095" s="488"/>
    </row>
    <row r="1096" spans="1:36" s="496" customFormat="1">
      <c r="A1096" s="488"/>
      <c r="C1096" s="488"/>
      <c r="D1096" s="488"/>
      <c r="E1096" s="488"/>
      <c r="F1096" s="488"/>
      <c r="G1096" s="488"/>
      <c r="H1096" s="488"/>
      <c r="I1096" s="488"/>
      <c r="J1096" s="488"/>
      <c r="K1096" s="488"/>
      <c r="L1096" s="488"/>
      <c r="M1096" s="488"/>
      <c r="N1096" s="488"/>
      <c r="O1096" s="488"/>
      <c r="P1096" s="488"/>
      <c r="Q1096" s="488"/>
      <c r="R1096" s="488"/>
      <c r="S1096" s="488"/>
      <c r="T1096" s="488"/>
      <c r="U1096" s="488"/>
      <c r="V1096" s="488"/>
      <c r="W1096" s="488"/>
      <c r="X1096" s="488"/>
      <c r="Y1096" s="488"/>
      <c r="Z1096" s="488"/>
      <c r="AA1096" s="488"/>
      <c r="AB1096" s="488"/>
      <c r="AC1096" s="488"/>
      <c r="AD1096" s="488"/>
      <c r="AE1096" s="488"/>
      <c r="AF1096" s="488"/>
      <c r="AG1096" s="488"/>
      <c r="AH1096" s="488"/>
      <c r="AI1096" s="488"/>
      <c r="AJ1096" s="488"/>
    </row>
    <row r="1097" spans="1:36" s="496" customFormat="1">
      <c r="A1097" s="488"/>
      <c r="C1097" s="488"/>
      <c r="D1097" s="488"/>
      <c r="E1097" s="488"/>
      <c r="F1097" s="488"/>
      <c r="G1097" s="488"/>
      <c r="H1097" s="488"/>
      <c r="I1097" s="488"/>
      <c r="J1097" s="488"/>
      <c r="K1097" s="488"/>
      <c r="L1097" s="488"/>
      <c r="M1097" s="488"/>
      <c r="N1097" s="488"/>
      <c r="O1097" s="488"/>
      <c r="P1097" s="488"/>
      <c r="Q1097" s="488"/>
      <c r="R1097" s="488"/>
      <c r="S1097" s="488"/>
      <c r="T1097" s="488"/>
      <c r="U1097" s="488"/>
      <c r="V1097" s="488"/>
      <c r="W1097" s="488"/>
      <c r="X1097" s="488"/>
      <c r="Y1097" s="488"/>
      <c r="Z1097" s="488"/>
      <c r="AA1097" s="488"/>
      <c r="AB1097" s="488"/>
      <c r="AC1097" s="488"/>
      <c r="AD1097" s="488"/>
      <c r="AE1097" s="488"/>
      <c r="AF1097" s="488"/>
      <c r="AG1097" s="488"/>
      <c r="AH1097" s="488"/>
      <c r="AI1097" s="488"/>
      <c r="AJ1097" s="488"/>
    </row>
    <row r="1098" spans="1:36" s="496" customFormat="1">
      <c r="A1098" s="488"/>
      <c r="C1098" s="488"/>
      <c r="D1098" s="488"/>
      <c r="E1098" s="488"/>
      <c r="F1098" s="488"/>
      <c r="G1098" s="488"/>
      <c r="H1098" s="488"/>
      <c r="I1098" s="488"/>
      <c r="J1098" s="488"/>
      <c r="K1098" s="488"/>
      <c r="L1098" s="488"/>
      <c r="M1098" s="488"/>
      <c r="N1098" s="488"/>
      <c r="O1098" s="488"/>
      <c r="P1098" s="488"/>
      <c r="Q1098" s="488"/>
      <c r="R1098" s="488"/>
      <c r="S1098" s="488"/>
      <c r="T1098" s="488"/>
      <c r="U1098" s="488"/>
      <c r="V1098" s="488"/>
      <c r="W1098" s="488"/>
      <c r="X1098" s="488"/>
      <c r="Y1098" s="488"/>
      <c r="Z1098" s="488"/>
      <c r="AA1098" s="488"/>
      <c r="AB1098" s="488"/>
      <c r="AC1098" s="488"/>
      <c r="AD1098" s="488"/>
      <c r="AE1098" s="488"/>
      <c r="AF1098" s="488"/>
      <c r="AG1098" s="488"/>
      <c r="AH1098" s="488"/>
      <c r="AI1098" s="488"/>
      <c r="AJ1098" s="488"/>
    </row>
    <row r="1099" spans="1:36" s="496" customFormat="1">
      <c r="A1099" s="488"/>
      <c r="C1099" s="488"/>
      <c r="D1099" s="488"/>
      <c r="E1099" s="488"/>
      <c r="F1099" s="488"/>
      <c r="G1099" s="488"/>
      <c r="H1099" s="488"/>
      <c r="I1099" s="488"/>
      <c r="J1099" s="488"/>
      <c r="K1099" s="488"/>
      <c r="L1099" s="488"/>
      <c r="M1099" s="488"/>
      <c r="N1099" s="488"/>
      <c r="O1099" s="488"/>
      <c r="P1099" s="488"/>
      <c r="Q1099" s="488"/>
      <c r="R1099" s="488"/>
      <c r="S1099" s="488"/>
      <c r="T1099" s="488"/>
      <c r="U1099" s="488"/>
      <c r="V1099" s="488"/>
      <c r="W1099" s="488"/>
      <c r="X1099" s="488"/>
      <c r="Y1099" s="488"/>
      <c r="Z1099" s="488"/>
      <c r="AA1099" s="488"/>
      <c r="AB1099" s="488"/>
      <c r="AC1099" s="488"/>
      <c r="AD1099" s="488"/>
      <c r="AE1099" s="488"/>
      <c r="AF1099" s="488"/>
      <c r="AG1099" s="488"/>
      <c r="AH1099" s="488"/>
      <c r="AI1099" s="488"/>
      <c r="AJ1099" s="488"/>
    </row>
    <row r="1100" spans="1:36" s="496" customFormat="1">
      <c r="A1100" s="488"/>
      <c r="C1100" s="488"/>
      <c r="D1100" s="488"/>
      <c r="E1100" s="488"/>
      <c r="F1100" s="488"/>
      <c r="G1100" s="488"/>
      <c r="H1100" s="488"/>
      <c r="I1100" s="488"/>
      <c r="J1100" s="488"/>
      <c r="K1100" s="488"/>
      <c r="L1100" s="488"/>
      <c r="M1100" s="488"/>
      <c r="N1100" s="488"/>
      <c r="O1100" s="488"/>
      <c r="P1100" s="488"/>
      <c r="Q1100" s="488"/>
      <c r="R1100" s="488"/>
      <c r="S1100" s="488"/>
      <c r="T1100" s="488"/>
      <c r="U1100" s="488"/>
      <c r="V1100" s="488"/>
      <c r="W1100" s="488"/>
      <c r="X1100" s="488"/>
      <c r="Y1100" s="488"/>
      <c r="Z1100" s="488"/>
      <c r="AA1100" s="488"/>
      <c r="AB1100" s="488"/>
      <c r="AC1100" s="488"/>
      <c r="AD1100" s="488"/>
      <c r="AE1100" s="488"/>
      <c r="AF1100" s="488"/>
      <c r="AG1100" s="488"/>
      <c r="AH1100" s="488"/>
      <c r="AI1100" s="488"/>
      <c r="AJ1100" s="488"/>
    </row>
    <row r="1101" spans="1:36" s="496" customFormat="1">
      <c r="A1101" s="488"/>
      <c r="C1101" s="488"/>
      <c r="D1101" s="488"/>
      <c r="E1101" s="488"/>
      <c r="F1101" s="488"/>
      <c r="G1101" s="488"/>
      <c r="H1101" s="488"/>
      <c r="I1101" s="488"/>
      <c r="J1101" s="488"/>
      <c r="K1101" s="488"/>
      <c r="L1101" s="488"/>
      <c r="M1101" s="488"/>
      <c r="N1101" s="488"/>
      <c r="O1101" s="488"/>
      <c r="P1101" s="488"/>
      <c r="Q1101" s="488"/>
      <c r="R1101" s="488"/>
      <c r="S1101" s="488"/>
      <c r="T1101" s="488"/>
      <c r="U1101" s="488"/>
      <c r="V1101" s="488"/>
      <c r="W1101" s="488"/>
      <c r="X1101" s="488"/>
      <c r="Y1101" s="488"/>
      <c r="Z1101" s="488"/>
      <c r="AA1101" s="488"/>
      <c r="AB1101" s="488"/>
      <c r="AC1101" s="488"/>
      <c r="AD1101" s="488"/>
      <c r="AE1101" s="488"/>
      <c r="AF1101" s="488"/>
      <c r="AG1101" s="488"/>
      <c r="AH1101" s="488"/>
      <c r="AI1101" s="488"/>
      <c r="AJ1101" s="488"/>
    </row>
    <row r="1102" spans="1:36" s="496" customFormat="1">
      <c r="A1102" s="488"/>
      <c r="C1102" s="488"/>
      <c r="D1102" s="488"/>
      <c r="E1102" s="488"/>
      <c r="F1102" s="488"/>
      <c r="G1102" s="488"/>
      <c r="H1102" s="488"/>
      <c r="I1102" s="488"/>
      <c r="J1102" s="488"/>
      <c r="K1102" s="488"/>
      <c r="L1102" s="488"/>
      <c r="M1102" s="488"/>
      <c r="N1102" s="488"/>
      <c r="O1102" s="488"/>
      <c r="P1102" s="488"/>
      <c r="Q1102" s="488"/>
      <c r="R1102" s="488"/>
      <c r="S1102" s="488"/>
      <c r="T1102" s="488"/>
      <c r="U1102" s="488"/>
      <c r="V1102" s="488"/>
      <c r="W1102" s="488"/>
      <c r="X1102" s="488"/>
      <c r="Y1102" s="488"/>
      <c r="Z1102" s="488"/>
      <c r="AA1102" s="488"/>
      <c r="AB1102" s="488"/>
      <c r="AC1102" s="488"/>
      <c r="AD1102" s="488"/>
      <c r="AE1102" s="488"/>
      <c r="AF1102" s="488"/>
      <c r="AG1102" s="488"/>
      <c r="AH1102" s="488"/>
      <c r="AI1102" s="488"/>
      <c r="AJ1102" s="488"/>
    </row>
    <row r="1103" spans="1:36" s="496" customFormat="1">
      <c r="A1103" s="488"/>
      <c r="C1103" s="488"/>
      <c r="D1103" s="488"/>
      <c r="E1103" s="488"/>
      <c r="F1103" s="488"/>
      <c r="G1103" s="488"/>
      <c r="H1103" s="488"/>
      <c r="I1103" s="488"/>
      <c r="J1103" s="488"/>
      <c r="K1103" s="488"/>
      <c r="L1103" s="488"/>
      <c r="M1103" s="488"/>
      <c r="N1103" s="488"/>
      <c r="O1103" s="488"/>
      <c r="P1103" s="488"/>
      <c r="Q1103" s="488"/>
      <c r="R1103" s="488"/>
      <c r="S1103" s="488"/>
      <c r="T1103" s="488"/>
      <c r="U1103" s="488"/>
      <c r="V1103" s="488"/>
      <c r="W1103" s="488"/>
      <c r="X1103" s="488"/>
      <c r="Y1103" s="488"/>
      <c r="Z1103" s="488"/>
      <c r="AA1103" s="488"/>
      <c r="AB1103" s="488"/>
      <c r="AC1103" s="488"/>
      <c r="AD1103" s="488"/>
      <c r="AE1103" s="488"/>
      <c r="AF1103" s="488"/>
      <c r="AG1103" s="488"/>
      <c r="AH1103" s="488"/>
      <c r="AI1103" s="488"/>
      <c r="AJ1103" s="488"/>
    </row>
    <row r="1104" spans="1:36" s="496" customFormat="1">
      <c r="A1104" s="488"/>
      <c r="C1104" s="488"/>
      <c r="D1104" s="488"/>
      <c r="E1104" s="488"/>
      <c r="F1104" s="488"/>
      <c r="G1104" s="488"/>
      <c r="H1104" s="488"/>
      <c r="I1104" s="488"/>
      <c r="J1104" s="488"/>
      <c r="K1104" s="488"/>
      <c r="L1104" s="488"/>
      <c r="M1104" s="488"/>
      <c r="N1104" s="488"/>
      <c r="O1104" s="488"/>
      <c r="P1104" s="488"/>
      <c r="Q1104" s="488"/>
      <c r="R1104" s="488"/>
      <c r="S1104" s="488"/>
      <c r="T1104" s="488"/>
      <c r="U1104" s="488"/>
      <c r="V1104" s="488"/>
      <c r="W1104" s="488"/>
      <c r="X1104" s="488"/>
      <c r="Y1104" s="488"/>
      <c r="Z1104" s="488"/>
      <c r="AA1104" s="488"/>
      <c r="AB1104" s="488"/>
      <c r="AC1104" s="488"/>
      <c r="AD1104" s="488"/>
      <c r="AE1104" s="488"/>
      <c r="AF1104" s="488"/>
      <c r="AG1104" s="488"/>
      <c r="AH1104" s="488"/>
      <c r="AI1104" s="488"/>
      <c r="AJ1104" s="488"/>
    </row>
    <row r="1105" spans="1:36" s="496" customFormat="1">
      <c r="A1105" s="488"/>
      <c r="C1105" s="488"/>
      <c r="D1105" s="488"/>
      <c r="E1105" s="488"/>
      <c r="F1105" s="488"/>
      <c r="G1105" s="488"/>
      <c r="H1105" s="488"/>
      <c r="I1105" s="488"/>
      <c r="J1105" s="488"/>
      <c r="K1105" s="488"/>
      <c r="L1105" s="488"/>
      <c r="M1105" s="488"/>
      <c r="N1105" s="488"/>
      <c r="O1105" s="488"/>
      <c r="P1105" s="488"/>
      <c r="Q1105" s="488"/>
      <c r="R1105" s="488"/>
      <c r="S1105" s="488"/>
      <c r="T1105" s="488"/>
      <c r="U1105" s="488"/>
      <c r="V1105" s="488"/>
      <c r="W1105" s="488"/>
      <c r="X1105" s="488"/>
      <c r="Y1105" s="488"/>
      <c r="Z1105" s="488"/>
      <c r="AA1105" s="488"/>
      <c r="AB1105" s="488"/>
      <c r="AC1105" s="488"/>
      <c r="AD1105" s="488"/>
      <c r="AE1105" s="488"/>
      <c r="AF1105" s="488"/>
      <c r="AG1105" s="488"/>
      <c r="AH1105" s="488"/>
      <c r="AI1105" s="488"/>
      <c r="AJ1105" s="488"/>
    </row>
    <row r="1106" spans="1:36" s="496" customFormat="1">
      <c r="A1106" s="488"/>
      <c r="C1106" s="488"/>
      <c r="D1106" s="488"/>
      <c r="E1106" s="488"/>
      <c r="F1106" s="488"/>
      <c r="G1106" s="488"/>
      <c r="H1106" s="488"/>
      <c r="I1106" s="488"/>
      <c r="J1106" s="488"/>
      <c r="K1106" s="488"/>
      <c r="L1106" s="488"/>
      <c r="M1106" s="488"/>
      <c r="N1106" s="488"/>
      <c r="O1106" s="488"/>
      <c r="P1106" s="488"/>
      <c r="Q1106" s="488"/>
      <c r="R1106" s="488"/>
      <c r="S1106" s="488"/>
      <c r="T1106" s="488"/>
      <c r="U1106" s="488"/>
      <c r="V1106" s="488"/>
      <c r="W1106" s="488"/>
      <c r="X1106" s="488"/>
      <c r="Y1106" s="488"/>
      <c r="Z1106" s="488"/>
      <c r="AA1106" s="488"/>
      <c r="AB1106" s="488"/>
      <c r="AC1106" s="488"/>
      <c r="AD1106" s="488"/>
      <c r="AE1106" s="488"/>
      <c r="AF1106" s="488"/>
      <c r="AG1106" s="488"/>
      <c r="AH1106" s="488"/>
      <c r="AI1106" s="488"/>
      <c r="AJ1106" s="488"/>
    </row>
    <row r="1107" spans="1:36" s="496" customFormat="1">
      <c r="A1107" s="488"/>
      <c r="C1107" s="488"/>
      <c r="D1107" s="488"/>
      <c r="E1107" s="488"/>
      <c r="F1107" s="488"/>
      <c r="G1107" s="488"/>
      <c r="H1107" s="488"/>
      <c r="I1107" s="488"/>
      <c r="J1107" s="488"/>
      <c r="K1107" s="488"/>
      <c r="L1107" s="488"/>
      <c r="M1107" s="488"/>
      <c r="N1107" s="488"/>
      <c r="O1107" s="488"/>
      <c r="P1107" s="488"/>
      <c r="Q1107" s="488"/>
      <c r="R1107" s="488"/>
      <c r="S1107" s="488"/>
      <c r="T1107" s="488"/>
      <c r="U1107" s="488"/>
      <c r="V1107" s="488"/>
      <c r="W1107" s="488"/>
      <c r="X1107" s="488"/>
      <c r="Y1107" s="488"/>
      <c r="Z1107" s="488"/>
      <c r="AA1107" s="488"/>
      <c r="AB1107" s="488"/>
      <c r="AC1107" s="488"/>
      <c r="AD1107" s="488"/>
      <c r="AE1107" s="488"/>
      <c r="AF1107" s="488"/>
      <c r="AG1107" s="488"/>
      <c r="AH1107" s="488"/>
      <c r="AI1107" s="488"/>
      <c r="AJ1107" s="488"/>
    </row>
    <row r="1108" spans="1:36" s="496" customFormat="1">
      <c r="A1108" s="488"/>
      <c r="C1108" s="488"/>
      <c r="D1108" s="488"/>
      <c r="E1108" s="488"/>
      <c r="F1108" s="488"/>
      <c r="G1108" s="488"/>
      <c r="H1108" s="488"/>
      <c r="I1108" s="488"/>
      <c r="J1108" s="488"/>
      <c r="K1108" s="488"/>
      <c r="L1108" s="488"/>
      <c r="M1108" s="488"/>
      <c r="N1108" s="488"/>
      <c r="O1108" s="488"/>
      <c r="P1108" s="488"/>
      <c r="Q1108" s="488"/>
      <c r="R1108" s="488"/>
      <c r="S1108" s="488"/>
      <c r="T1108" s="488"/>
      <c r="U1108" s="488"/>
      <c r="V1108" s="488"/>
      <c r="W1108" s="488"/>
      <c r="X1108" s="488"/>
      <c r="Y1108" s="488"/>
      <c r="Z1108" s="488"/>
      <c r="AA1108" s="488"/>
      <c r="AB1108" s="488"/>
      <c r="AC1108" s="488"/>
      <c r="AD1108" s="488"/>
      <c r="AE1108" s="488"/>
      <c r="AF1108" s="488"/>
      <c r="AG1108" s="488"/>
      <c r="AH1108" s="488"/>
      <c r="AI1108" s="488"/>
      <c r="AJ1108" s="488"/>
    </row>
    <row r="1109" spans="1:36" s="496" customFormat="1">
      <c r="A1109" s="488"/>
      <c r="C1109" s="488"/>
      <c r="D1109" s="488"/>
      <c r="E1109" s="488"/>
      <c r="F1109" s="488"/>
      <c r="G1109" s="488"/>
      <c r="H1109" s="488"/>
      <c r="I1109" s="488"/>
      <c r="J1109" s="488"/>
      <c r="K1109" s="488"/>
      <c r="L1109" s="488"/>
      <c r="M1109" s="488"/>
      <c r="N1109" s="488"/>
      <c r="O1109" s="488"/>
      <c r="P1109" s="488"/>
      <c r="Q1109" s="488"/>
      <c r="R1109" s="488"/>
      <c r="S1109" s="488"/>
      <c r="T1109" s="488"/>
      <c r="U1109" s="488"/>
      <c r="V1109" s="488"/>
      <c r="W1109" s="488"/>
      <c r="X1109" s="488"/>
      <c r="Y1109" s="488"/>
      <c r="Z1109" s="488"/>
      <c r="AA1109" s="488"/>
      <c r="AB1109" s="488"/>
      <c r="AC1109" s="488"/>
      <c r="AD1109" s="488"/>
      <c r="AE1109" s="488"/>
      <c r="AF1109" s="488"/>
      <c r="AG1109" s="488"/>
      <c r="AH1109" s="488"/>
      <c r="AI1109" s="488"/>
      <c r="AJ1109" s="488"/>
    </row>
    <row r="1110" spans="1:36" s="496" customFormat="1">
      <c r="A1110" s="488"/>
      <c r="C1110" s="488"/>
      <c r="D1110" s="488"/>
      <c r="E1110" s="488"/>
      <c r="F1110" s="488"/>
      <c r="G1110" s="488"/>
      <c r="H1110" s="488"/>
      <c r="I1110" s="488"/>
      <c r="J1110" s="488"/>
      <c r="K1110" s="488"/>
      <c r="L1110" s="488"/>
      <c r="M1110" s="488"/>
      <c r="N1110" s="488"/>
      <c r="O1110" s="488"/>
      <c r="P1110" s="488"/>
      <c r="Q1110" s="488"/>
      <c r="R1110" s="488"/>
      <c r="S1110" s="488"/>
      <c r="T1110" s="488"/>
      <c r="U1110" s="488"/>
      <c r="V1110" s="488"/>
      <c r="W1110" s="488"/>
      <c r="X1110" s="488"/>
      <c r="Y1110" s="488"/>
      <c r="Z1110" s="488"/>
      <c r="AA1110" s="488"/>
      <c r="AB1110" s="488"/>
      <c r="AC1110" s="488"/>
      <c r="AD1110" s="488"/>
      <c r="AE1110" s="488"/>
      <c r="AF1110" s="488"/>
      <c r="AG1110" s="488"/>
      <c r="AH1110" s="488"/>
      <c r="AI1110" s="488"/>
      <c r="AJ1110" s="488"/>
    </row>
    <row r="1111" spans="1:36" s="496" customFormat="1">
      <c r="A1111" s="488"/>
      <c r="C1111" s="488"/>
      <c r="D1111" s="488"/>
      <c r="E1111" s="488"/>
      <c r="F1111" s="488"/>
      <c r="G1111" s="488"/>
      <c r="H1111" s="488"/>
      <c r="I1111" s="488"/>
      <c r="J1111" s="488"/>
      <c r="K1111" s="488"/>
      <c r="L1111" s="488"/>
      <c r="M1111" s="488"/>
      <c r="N1111" s="488"/>
      <c r="O1111" s="488"/>
      <c r="P1111" s="488"/>
      <c r="Q1111" s="488"/>
      <c r="R1111" s="488"/>
      <c r="S1111" s="488"/>
      <c r="T1111" s="488"/>
      <c r="U1111" s="488"/>
      <c r="V1111" s="488"/>
      <c r="W1111" s="488"/>
      <c r="X1111" s="488"/>
      <c r="Y1111" s="488"/>
      <c r="Z1111" s="488"/>
      <c r="AA1111" s="488"/>
      <c r="AB1111" s="488"/>
      <c r="AC1111" s="488"/>
      <c r="AD1111" s="488"/>
      <c r="AE1111" s="488"/>
      <c r="AF1111" s="488"/>
      <c r="AG1111" s="488"/>
      <c r="AH1111" s="488"/>
      <c r="AI1111" s="488"/>
      <c r="AJ1111" s="488"/>
    </row>
    <row r="1112" spans="1:36" s="496" customFormat="1">
      <c r="A1112" s="488"/>
      <c r="C1112" s="488"/>
      <c r="D1112" s="488"/>
      <c r="E1112" s="488"/>
      <c r="F1112" s="488"/>
      <c r="G1112" s="488"/>
      <c r="H1112" s="488"/>
      <c r="I1112" s="488"/>
      <c r="J1112" s="488"/>
      <c r="K1112" s="488"/>
      <c r="L1112" s="488"/>
      <c r="M1112" s="488"/>
      <c r="N1112" s="488"/>
      <c r="O1112" s="488"/>
      <c r="P1112" s="488"/>
      <c r="Q1112" s="488"/>
      <c r="R1112" s="488"/>
      <c r="S1112" s="488"/>
      <c r="T1112" s="488"/>
      <c r="U1112" s="488"/>
      <c r="V1112" s="488"/>
      <c r="W1112" s="488"/>
      <c r="X1112" s="488"/>
      <c r="Y1112" s="488"/>
      <c r="Z1112" s="488"/>
      <c r="AA1112" s="488"/>
      <c r="AB1112" s="488"/>
      <c r="AC1112" s="488"/>
      <c r="AD1112" s="488"/>
      <c r="AE1112" s="488"/>
      <c r="AF1112" s="488"/>
      <c r="AG1112" s="488"/>
      <c r="AH1112" s="488"/>
      <c r="AI1112" s="488"/>
      <c r="AJ1112" s="488"/>
    </row>
    <row r="1113" spans="1:36" s="496" customFormat="1">
      <c r="A1113" s="488"/>
      <c r="C1113" s="488"/>
      <c r="D1113" s="488"/>
      <c r="E1113" s="488"/>
      <c r="F1113" s="488"/>
      <c r="G1113" s="488"/>
      <c r="H1113" s="488"/>
      <c r="I1113" s="488"/>
      <c r="J1113" s="488"/>
      <c r="K1113" s="488"/>
      <c r="L1113" s="488"/>
      <c r="M1113" s="488"/>
      <c r="N1113" s="488"/>
      <c r="O1113" s="488"/>
      <c r="P1113" s="488"/>
      <c r="Q1113" s="488"/>
      <c r="R1113" s="488"/>
      <c r="S1113" s="488"/>
      <c r="T1113" s="488"/>
      <c r="U1113" s="488"/>
      <c r="V1113" s="488"/>
      <c r="W1113" s="488"/>
      <c r="X1113" s="488"/>
      <c r="Y1113" s="488"/>
      <c r="Z1113" s="488"/>
      <c r="AA1113" s="488"/>
      <c r="AB1113" s="488"/>
      <c r="AC1113" s="488"/>
      <c r="AD1113" s="488"/>
      <c r="AE1113" s="488"/>
      <c r="AF1113" s="488"/>
      <c r="AG1113" s="488"/>
      <c r="AH1113" s="488"/>
      <c r="AI1113" s="488"/>
      <c r="AJ1113" s="488"/>
    </row>
    <row r="1114" spans="1:36" s="496" customFormat="1">
      <c r="A1114" s="488"/>
      <c r="C1114" s="488"/>
      <c r="D1114" s="488"/>
      <c r="E1114" s="488"/>
      <c r="F1114" s="488"/>
      <c r="G1114" s="488"/>
      <c r="H1114" s="488"/>
      <c r="I1114" s="488"/>
      <c r="J1114" s="488"/>
      <c r="K1114" s="488"/>
      <c r="L1114" s="488"/>
      <c r="M1114" s="488"/>
      <c r="N1114" s="488"/>
      <c r="O1114" s="488"/>
      <c r="P1114" s="488"/>
      <c r="Q1114" s="488"/>
      <c r="R1114" s="488"/>
      <c r="S1114" s="488"/>
      <c r="T1114" s="488"/>
      <c r="U1114" s="488"/>
      <c r="V1114" s="488"/>
      <c r="W1114" s="488"/>
      <c r="X1114" s="488"/>
      <c r="Y1114" s="488"/>
      <c r="Z1114" s="488"/>
      <c r="AA1114" s="488"/>
      <c r="AB1114" s="488"/>
      <c r="AC1114" s="488"/>
      <c r="AD1114" s="488"/>
      <c r="AE1114" s="488"/>
      <c r="AF1114" s="488"/>
      <c r="AG1114" s="488"/>
      <c r="AH1114" s="488"/>
      <c r="AI1114" s="488"/>
      <c r="AJ1114" s="488"/>
    </row>
    <row r="1115" spans="1:36" s="496" customFormat="1">
      <c r="A1115" s="488"/>
      <c r="C1115" s="488"/>
      <c r="D1115" s="488"/>
      <c r="E1115" s="488"/>
      <c r="F1115" s="488"/>
      <c r="G1115" s="488"/>
      <c r="H1115" s="488"/>
      <c r="I1115" s="488"/>
      <c r="J1115" s="488"/>
      <c r="K1115" s="488"/>
      <c r="L1115" s="488"/>
      <c r="M1115" s="488"/>
      <c r="N1115" s="488"/>
      <c r="O1115" s="488"/>
      <c r="P1115" s="488"/>
      <c r="Q1115" s="488"/>
      <c r="R1115" s="488"/>
      <c r="S1115" s="488"/>
      <c r="T1115" s="488"/>
      <c r="U1115" s="488"/>
      <c r="V1115" s="488"/>
      <c r="W1115" s="488"/>
      <c r="X1115" s="488"/>
      <c r="Y1115" s="488"/>
      <c r="Z1115" s="488"/>
      <c r="AA1115" s="488"/>
      <c r="AB1115" s="488"/>
      <c r="AC1115" s="488"/>
      <c r="AD1115" s="488"/>
      <c r="AE1115" s="488"/>
      <c r="AF1115" s="488"/>
      <c r="AG1115" s="488"/>
      <c r="AH1115" s="488"/>
      <c r="AI1115" s="488"/>
      <c r="AJ1115" s="488"/>
    </row>
    <row r="1116" spans="1:36" s="496" customFormat="1">
      <c r="A1116" s="488"/>
      <c r="C1116" s="488"/>
      <c r="D1116" s="488"/>
      <c r="E1116" s="488"/>
      <c r="F1116" s="488"/>
      <c r="G1116" s="488"/>
      <c r="H1116" s="488"/>
      <c r="I1116" s="488"/>
      <c r="J1116" s="488"/>
      <c r="K1116" s="488"/>
      <c r="L1116" s="488"/>
      <c r="M1116" s="488"/>
      <c r="N1116" s="488"/>
      <c r="O1116" s="488"/>
      <c r="P1116" s="488"/>
      <c r="Q1116" s="488"/>
      <c r="R1116" s="488"/>
      <c r="S1116" s="488"/>
      <c r="T1116" s="488"/>
      <c r="U1116" s="488"/>
      <c r="V1116" s="488"/>
      <c r="W1116" s="488"/>
      <c r="X1116" s="488"/>
      <c r="Y1116" s="488"/>
      <c r="Z1116" s="488"/>
      <c r="AA1116" s="488"/>
      <c r="AB1116" s="488"/>
      <c r="AC1116" s="488"/>
      <c r="AD1116" s="488"/>
      <c r="AE1116" s="488"/>
      <c r="AF1116" s="488"/>
      <c r="AG1116" s="488"/>
      <c r="AH1116" s="488"/>
      <c r="AI1116" s="488"/>
      <c r="AJ1116" s="488"/>
    </row>
    <row r="1117" spans="1:36" s="496" customFormat="1">
      <c r="A1117" s="488"/>
      <c r="C1117" s="488"/>
      <c r="D1117" s="488"/>
      <c r="E1117" s="488"/>
      <c r="F1117" s="488"/>
      <c r="G1117" s="488"/>
      <c r="H1117" s="488"/>
      <c r="I1117" s="488"/>
      <c r="J1117" s="488"/>
      <c r="K1117" s="488"/>
      <c r="L1117" s="488"/>
      <c r="M1117" s="488"/>
      <c r="N1117" s="488"/>
      <c r="O1117" s="488"/>
      <c r="P1117" s="488"/>
      <c r="Q1117" s="488"/>
      <c r="R1117" s="488"/>
      <c r="S1117" s="488"/>
      <c r="T1117" s="488"/>
      <c r="U1117" s="488"/>
      <c r="V1117" s="488"/>
      <c r="W1117" s="488"/>
      <c r="X1117" s="488"/>
      <c r="Y1117" s="488"/>
      <c r="Z1117" s="488"/>
      <c r="AA1117" s="488"/>
      <c r="AB1117" s="488"/>
      <c r="AC1117" s="488"/>
      <c r="AD1117" s="488"/>
      <c r="AE1117" s="488"/>
      <c r="AF1117" s="488"/>
      <c r="AG1117" s="488"/>
      <c r="AH1117" s="488"/>
      <c r="AI1117" s="488"/>
      <c r="AJ1117" s="488"/>
    </row>
    <row r="1118" spans="1:36" s="496" customFormat="1">
      <c r="A1118" s="488"/>
      <c r="C1118" s="488"/>
      <c r="D1118" s="488"/>
      <c r="E1118" s="488"/>
      <c r="F1118" s="488"/>
      <c r="G1118" s="488"/>
      <c r="H1118" s="488"/>
      <c r="I1118" s="488"/>
      <c r="J1118" s="488"/>
      <c r="K1118" s="488"/>
      <c r="L1118" s="488"/>
      <c r="M1118" s="488"/>
      <c r="N1118" s="488"/>
      <c r="O1118" s="488"/>
      <c r="P1118" s="488"/>
      <c r="Q1118" s="488"/>
      <c r="R1118" s="488"/>
      <c r="S1118" s="488"/>
      <c r="T1118" s="488"/>
      <c r="U1118" s="488"/>
      <c r="V1118" s="488"/>
      <c r="W1118" s="488"/>
      <c r="X1118" s="488"/>
      <c r="Y1118" s="488"/>
      <c r="Z1118" s="488"/>
      <c r="AA1118" s="488"/>
      <c r="AB1118" s="488"/>
      <c r="AC1118" s="488"/>
      <c r="AD1118" s="488"/>
      <c r="AE1118" s="488"/>
      <c r="AF1118" s="488"/>
      <c r="AG1118" s="488"/>
      <c r="AH1118" s="488"/>
      <c r="AI1118" s="488"/>
      <c r="AJ1118" s="488"/>
    </row>
    <row r="1119" spans="1:36" s="496" customFormat="1">
      <c r="A1119" s="488"/>
      <c r="C1119" s="488"/>
      <c r="D1119" s="488"/>
      <c r="E1119" s="488"/>
      <c r="F1119" s="488"/>
      <c r="G1119" s="488"/>
      <c r="H1119" s="488"/>
      <c r="I1119" s="488"/>
      <c r="J1119" s="488"/>
      <c r="K1119" s="488"/>
      <c r="L1119" s="488"/>
      <c r="M1119" s="488"/>
      <c r="N1119" s="488"/>
      <c r="O1119" s="488"/>
      <c r="P1119" s="488"/>
      <c r="Q1119" s="488"/>
      <c r="R1119" s="488"/>
      <c r="S1119" s="488"/>
      <c r="T1119" s="488"/>
      <c r="U1119" s="488"/>
      <c r="V1119" s="488"/>
      <c r="W1119" s="488"/>
      <c r="X1119" s="488"/>
      <c r="Y1119" s="488"/>
      <c r="Z1119" s="488"/>
      <c r="AA1119" s="488"/>
      <c r="AB1119" s="488"/>
      <c r="AC1119" s="488"/>
      <c r="AD1119" s="488"/>
      <c r="AE1119" s="488"/>
      <c r="AF1119" s="488"/>
      <c r="AG1119" s="488"/>
      <c r="AH1119" s="488"/>
      <c r="AI1119" s="488"/>
      <c r="AJ1119" s="488"/>
    </row>
    <row r="1120" spans="1:36" s="496" customFormat="1">
      <c r="A1120" s="488"/>
      <c r="C1120" s="488"/>
      <c r="D1120" s="488"/>
      <c r="E1120" s="488"/>
      <c r="F1120" s="488"/>
      <c r="G1120" s="488"/>
      <c r="H1120" s="488"/>
      <c r="I1120" s="488"/>
      <c r="J1120" s="488"/>
      <c r="K1120" s="488"/>
      <c r="L1120" s="488"/>
      <c r="M1120" s="488"/>
      <c r="N1120" s="488"/>
      <c r="O1120" s="488"/>
      <c r="P1120" s="488"/>
      <c r="Q1120" s="488"/>
      <c r="R1120" s="488"/>
      <c r="S1120" s="488"/>
      <c r="T1120" s="488"/>
      <c r="U1120" s="488"/>
      <c r="V1120" s="488"/>
      <c r="W1120" s="488"/>
      <c r="X1120" s="488"/>
      <c r="Y1120" s="488"/>
      <c r="Z1120" s="488"/>
      <c r="AA1120" s="488"/>
      <c r="AB1120" s="488"/>
      <c r="AC1120" s="488"/>
      <c r="AD1120" s="488"/>
      <c r="AE1120" s="488"/>
      <c r="AF1120" s="488"/>
      <c r="AG1120" s="488"/>
      <c r="AH1120" s="488"/>
      <c r="AI1120" s="488"/>
      <c r="AJ1120" s="488"/>
    </row>
    <row r="1121" spans="1:36" s="496" customFormat="1">
      <c r="A1121" s="488"/>
      <c r="C1121" s="488"/>
      <c r="D1121" s="488"/>
      <c r="E1121" s="488"/>
      <c r="F1121" s="488"/>
      <c r="G1121" s="488"/>
      <c r="H1121" s="488"/>
      <c r="I1121" s="488"/>
      <c r="J1121" s="488"/>
      <c r="K1121" s="488"/>
      <c r="L1121" s="488"/>
      <c r="M1121" s="488"/>
      <c r="N1121" s="488"/>
      <c r="O1121" s="488"/>
      <c r="P1121" s="488"/>
      <c r="Q1121" s="488"/>
      <c r="R1121" s="488"/>
      <c r="S1121" s="488"/>
      <c r="T1121" s="488"/>
      <c r="U1121" s="488"/>
      <c r="V1121" s="488"/>
      <c r="W1121" s="488"/>
      <c r="X1121" s="488"/>
      <c r="Y1121" s="488"/>
      <c r="Z1121" s="488"/>
      <c r="AA1121" s="488"/>
      <c r="AB1121" s="488"/>
      <c r="AC1121" s="488"/>
      <c r="AD1121" s="488"/>
      <c r="AE1121" s="488"/>
      <c r="AF1121" s="488"/>
      <c r="AG1121" s="488"/>
      <c r="AH1121" s="488"/>
      <c r="AI1121" s="488"/>
      <c r="AJ1121" s="488"/>
    </row>
    <row r="1122" spans="1:36" s="496" customFormat="1">
      <c r="A1122" s="488"/>
      <c r="C1122" s="488"/>
      <c r="D1122" s="488"/>
      <c r="E1122" s="488"/>
      <c r="F1122" s="488"/>
      <c r="G1122" s="488"/>
      <c r="H1122" s="488"/>
      <c r="I1122" s="488"/>
      <c r="J1122" s="488"/>
      <c r="K1122" s="488"/>
      <c r="L1122" s="488"/>
      <c r="M1122" s="488"/>
      <c r="N1122" s="488"/>
      <c r="O1122" s="488"/>
      <c r="P1122" s="488"/>
      <c r="Q1122" s="488"/>
      <c r="R1122" s="488"/>
      <c r="S1122" s="488"/>
      <c r="T1122" s="488"/>
      <c r="U1122" s="488"/>
      <c r="V1122" s="488"/>
      <c r="W1122" s="488"/>
      <c r="X1122" s="488"/>
      <c r="Y1122" s="488"/>
      <c r="Z1122" s="488"/>
      <c r="AA1122" s="488"/>
      <c r="AB1122" s="488"/>
      <c r="AC1122" s="488"/>
      <c r="AD1122" s="488"/>
      <c r="AE1122" s="488"/>
      <c r="AF1122" s="488"/>
      <c r="AG1122" s="488"/>
      <c r="AH1122" s="488"/>
      <c r="AI1122" s="488"/>
      <c r="AJ1122" s="488"/>
    </row>
    <row r="1123" spans="1:36" s="496" customFormat="1">
      <c r="A1123" s="488"/>
      <c r="C1123" s="488"/>
      <c r="D1123" s="488"/>
      <c r="E1123" s="488"/>
      <c r="F1123" s="488"/>
      <c r="G1123" s="488"/>
      <c r="H1123" s="488"/>
      <c r="I1123" s="488"/>
      <c r="J1123" s="488"/>
      <c r="K1123" s="488"/>
      <c r="L1123" s="488"/>
      <c r="M1123" s="488"/>
      <c r="N1123" s="488"/>
      <c r="O1123" s="488"/>
      <c r="P1123" s="488"/>
      <c r="Q1123" s="488"/>
      <c r="R1123" s="488"/>
      <c r="S1123" s="488"/>
      <c r="T1123" s="488"/>
      <c r="U1123" s="488"/>
      <c r="V1123" s="488"/>
      <c r="W1123" s="488"/>
      <c r="X1123" s="488"/>
      <c r="Y1123" s="488"/>
      <c r="Z1123" s="488"/>
      <c r="AA1123" s="488"/>
      <c r="AB1123" s="488"/>
      <c r="AC1123" s="488"/>
      <c r="AD1123" s="488"/>
      <c r="AE1123" s="488"/>
      <c r="AF1123" s="488"/>
      <c r="AG1123" s="488"/>
      <c r="AH1123" s="488"/>
      <c r="AI1123" s="488"/>
      <c r="AJ1123" s="488"/>
    </row>
    <row r="1124" spans="1:36" s="496" customFormat="1">
      <c r="A1124" s="488"/>
      <c r="C1124" s="488"/>
      <c r="D1124" s="488"/>
      <c r="E1124" s="488"/>
      <c r="F1124" s="488"/>
      <c r="G1124" s="488"/>
      <c r="H1124" s="488"/>
      <c r="I1124" s="488"/>
      <c r="J1124" s="488"/>
      <c r="K1124" s="488"/>
      <c r="L1124" s="488"/>
      <c r="M1124" s="488"/>
      <c r="N1124" s="488"/>
      <c r="O1124" s="488"/>
      <c r="P1124" s="488"/>
      <c r="Q1124" s="488"/>
      <c r="R1124" s="488"/>
      <c r="S1124" s="488"/>
      <c r="T1124" s="488"/>
      <c r="U1124" s="488"/>
      <c r="V1124" s="488"/>
      <c r="W1124" s="488"/>
      <c r="X1124" s="488"/>
      <c r="Y1124" s="488"/>
      <c r="Z1124" s="488"/>
      <c r="AA1124" s="488"/>
      <c r="AB1124" s="488"/>
      <c r="AC1124" s="488"/>
      <c r="AD1124" s="488"/>
      <c r="AE1124" s="488"/>
      <c r="AF1124" s="488"/>
      <c r="AG1124" s="488"/>
      <c r="AH1124" s="488"/>
      <c r="AI1124" s="488"/>
      <c r="AJ1124" s="488"/>
    </row>
    <row r="1125" spans="1:36" s="496" customFormat="1">
      <c r="A1125" s="488"/>
      <c r="C1125" s="488"/>
      <c r="D1125" s="488"/>
      <c r="E1125" s="488"/>
      <c r="F1125" s="488"/>
      <c r="G1125" s="488"/>
      <c r="H1125" s="488"/>
      <c r="I1125" s="488"/>
      <c r="J1125" s="488"/>
      <c r="K1125" s="488"/>
      <c r="L1125" s="488"/>
      <c r="M1125" s="488"/>
      <c r="N1125" s="488"/>
      <c r="O1125" s="488"/>
      <c r="P1125" s="488"/>
      <c r="Q1125" s="488"/>
      <c r="R1125" s="488"/>
      <c r="S1125" s="488"/>
      <c r="T1125" s="488"/>
      <c r="U1125" s="488"/>
      <c r="V1125" s="488"/>
      <c r="W1125" s="488"/>
      <c r="X1125" s="488"/>
      <c r="Y1125" s="488"/>
      <c r="Z1125" s="488"/>
      <c r="AA1125" s="488"/>
      <c r="AB1125" s="488"/>
      <c r="AC1125" s="488"/>
      <c r="AD1125" s="488"/>
      <c r="AE1125" s="488"/>
      <c r="AF1125" s="488"/>
      <c r="AG1125" s="488"/>
      <c r="AH1125" s="488"/>
      <c r="AI1125" s="488"/>
      <c r="AJ1125" s="488"/>
    </row>
    <row r="1126" spans="1:36" s="496" customFormat="1">
      <c r="A1126" s="488"/>
      <c r="C1126" s="488"/>
      <c r="D1126" s="488"/>
      <c r="E1126" s="488"/>
      <c r="F1126" s="488"/>
      <c r="G1126" s="488"/>
      <c r="H1126" s="488"/>
      <c r="I1126" s="488"/>
      <c r="J1126" s="488"/>
      <c r="K1126" s="488"/>
      <c r="L1126" s="488"/>
      <c r="M1126" s="488"/>
      <c r="N1126" s="488"/>
      <c r="O1126" s="488"/>
      <c r="P1126" s="488"/>
      <c r="Q1126" s="488"/>
      <c r="R1126" s="488"/>
      <c r="S1126" s="488"/>
      <c r="T1126" s="488"/>
      <c r="U1126" s="488"/>
      <c r="V1126" s="488"/>
      <c r="W1126" s="488"/>
      <c r="X1126" s="488"/>
      <c r="Y1126" s="488"/>
      <c r="Z1126" s="488"/>
      <c r="AA1126" s="488"/>
      <c r="AB1126" s="488"/>
      <c r="AC1126" s="488"/>
      <c r="AD1126" s="488"/>
      <c r="AE1126" s="488"/>
      <c r="AF1126" s="488"/>
      <c r="AG1126" s="488"/>
      <c r="AH1126" s="488"/>
      <c r="AI1126" s="488"/>
      <c r="AJ1126" s="488"/>
    </row>
    <row r="1127" spans="1:36" s="496" customFormat="1">
      <c r="A1127" s="488"/>
      <c r="C1127" s="488"/>
      <c r="D1127" s="488"/>
      <c r="E1127" s="488"/>
      <c r="F1127" s="488"/>
      <c r="G1127" s="488"/>
      <c r="H1127" s="488"/>
      <c r="I1127" s="488"/>
      <c r="J1127" s="488"/>
      <c r="K1127" s="488"/>
      <c r="L1127" s="488"/>
      <c r="M1127" s="488"/>
      <c r="N1127" s="488"/>
      <c r="O1127" s="488"/>
      <c r="P1127" s="488"/>
      <c r="Q1127" s="488"/>
      <c r="R1127" s="488"/>
      <c r="S1127" s="488"/>
      <c r="T1127" s="488"/>
      <c r="U1127" s="488"/>
      <c r="V1127" s="488"/>
      <c r="W1127" s="488"/>
      <c r="X1127" s="488"/>
      <c r="Y1127" s="488"/>
      <c r="Z1127" s="488"/>
      <c r="AA1127" s="488"/>
      <c r="AB1127" s="488"/>
      <c r="AC1127" s="488"/>
      <c r="AD1127" s="488"/>
      <c r="AE1127" s="488"/>
      <c r="AF1127" s="488"/>
      <c r="AG1127" s="488"/>
      <c r="AH1127" s="488"/>
      <c r="AI1127" s="488"/>
      <c r="AJ1127" s="488"/>
    </row>
    <row r="1128" spans="1:36" s="496" customFormat="1">
      <c r="A1128" s="488"/>
      <c r="C1128" s="488"/>
      <c r="D1128" s="488"/>
      <c r="E1128" s="488"/>
      <c r="F1128" s="488"/>
      <c r="G1128" s="488"/>
      <c r="H1128" s="488"/>
      <c r="I1128" s="488"/>
      <c r="J1128" s="488"/>
      <c r="K1128" s="488"/>
      <c r="L1128" s="488"/>
      <c r="M1128" s="488"/>
      <c r="N1128" s="488"/>
      <c r="O1128" s="488"/>
      <c r="P1128" s="488"/>
      <c r="Q1128" s="488"/>
      <c r="R1128" s="488"/>
      <c r="S1128" s="488"/>
      <c r="T1128" s="488"/>
      <c r="U1128" s="488"/>
      <c r="V1128" s="488"/>
      <c r="W1128" s="488"/>
      <c r="X1128" s="488"/>
      <c r="Y1128" s="488"/>
      <c r="Z1128" s="488"/>
      <c r="AA1128" s="488"/>
      <c r="AB1128" s="488"/>
      <c r="AC1128" s="488"/>
      <c r="AD1128" s="488"/>
      <c r="AE1128" s="488"/>
      <c r="AF1128" s="488"/>
      <c r="AG1128" s="488"/>
      <c r="AH1128" s="488"/>
      <c r="AI1128" s="488"/>
      <c r="AJ1128" s="488"/>
    </row>
    <row r="1129" spans="1:36" s="496" customFormat="1">
      <c r="A1129" s="488"/>
      <c r="C1129" s="488"/>
      <c r="D1129" s="488"/>
      <c r="E1129" s="488"/>
      <c r="F1129" s="488"/>
      <c r="G1129" s="488"/>
      <c r="H1129" s="488"/>
      <c r="I1129" s="488"/>
      <c r="J1129" s="488"/>
      <c r="K1129" s="488"/>
      <c r="L1129" s="488"/>
      <c r="M1129" s="488"/>
      <c r="N1129" s="488"/>
      <c r="O1129" s="488"/>
      <c r="P1129" s="488"/>
      <c r="Q1129" s="488"/>
      <c r="R1129" s="488"/>
      <c r="S1129" s="488"/>
      <c r="T1129" s="488"/>
      <c r="U1129" s="488"/>
      <c r="V1129" s="488"/>
      <c r="W1129" s="488"/>
      <c r="X1129" s="488"/>
      <c r="Y1129" s="488"/>
      <c r="Z1129" s="488"/>
      <c r="AA1129" s="488"/>
      <c r="AB1129" s="488"/>
      <c r="AC1129" s="488"/>
      <c r="AD1129" s="488"/>
      <c r="AE1129" s="488"/>
      <c r="AF1129" s="488"/>
      <c r="AG1129" s="488"/>
      <c r="AH1129" s="488"/>
      <c r="AI1129" s="488"/>
      <c r="AJ1129" s="488"/>
    </row>
    <row r="1130" spans="1:36" s="496" customFormat="1">
      <c r="A1130" s="488"/>
      <c r="C1130" s="488"/>
      <c r="D1130" s="488"/>
      <c r="E1130" s="488"/>
      <c r="F1130" s="488"/>
      <c r="G1130" s="488"/>
      <c r="H1130" s="488"/>
      <c r="I1130" s="488"/>
      <c r="J1130" s="488"/>
      <c r="K1130" s="488"/>
      <c r="L1130" s="488"/>
      <c r="M1130" s="488"/>
      <c r="N1130" s="488"/>
      <c r="O1130" s="488"/>
      <c r="P1130" s="488"/>
      <c r="Q1130" s="488"/>
      <c r="R1130" s="488"/>
      <c r="S1130" s="488"/>
      <c r="T1130" s="488"/>
      <c r="U1130" s="488"/>
      <c r="V1130" s="488"/>
      <c r="W1130" s="488"/>
      <c r="X1130" s="488"/>
      <c r="Y1130" s="488"/>
      <c r="Z1130" s="488"/>
      <c r="AA1130" s="488"/>
      <c r="AB1130" s="488"/>
      <c r="AC1130" s="488"/>
      <c r="AD1130" s="488"/>
      <c r="AE1130" s="488"/>
      <c r="AF1130" s="488"/>
      <c r="AG1130" s="488"/>
      <c r="AH1130" s="488"/>
      <c r="AI1130" s="488"/>
      <c r="AJ1130" s="488"/>
    </row>
    <row r="1131" spans="1:36" s="496" customFormat="1">
      <c r="A1131" s="488"/>
      <c r="C1131" s="488"/>
      <c r="D1131" s="488"/>
      <c r="E1131" s="488"/>
      <c r="F1131" s="488"/>
      <c r="G1131" s="488"/>
      <c r="H1131" s="488"/>
      <c r="I1131" s="488"/>
      <c r="J1131" s="488"/>
      <c r="K1131" s="488"/>
      <c r="L1131" s="488"/>
      <c r="M1131" s="488"/>
      <c r="N1131" s="488"/>
      <c r="O1131" s="488"/>
      <c r="P1131" s="488"/>
      <c r="Q1131" s="488"/>
      <c r="R1131" s="488"/>
      <c r="S1131" s="488"/>
      <c r="T1131" s="488"/>
      <c r="U1131" s="488"/>
      <c r="V1131" s="488"/>
      <c r="W1131" s="488"/>
      <c r="X1131" s="488"/>
      <c r="Y1131" s="488"/>
      <c r="Z1131" s="488"/>
      <c r="AA1131" s="488"/>
      <c r="AB1131" s="488"/>
      <c r="AC1131" s="488"/>
      <c r="AD1131" s="488"/>
      <c r="AE1131" s="488"/>
      <c r="AF1131" s="488"/>
      <c r="AG1131" s="488"/>
      <c r="AH1131" s="488"/>
      <c r="AI1131" s="488"/>
      <c r="AJ1131" s="488"/>
    </row>
    <row r="1132" spans="1:36" s="496" customFormat="1">
      <c r="A1132" s="488"/>
      <c r="C1132" s="488"/>
      <c r="D1132" s="488"/>
      <c r="E1132" s="488"/>
      <c r="F1132" s="488"/>
      <c r="G1132" s="488"/>
      <c r="H1132" s="488"/>
      <c r="I1132" s="488"/>
      <c r="J1132" s="488"/>
      <c r="K1132" s="488"/>
      <c r="L1132" s="488"/>
      <c r="M1132" s="488"/>
      <c r="N1132" s="488"/>
      <c r="O1132" s="488"/>
      <c r="P1132" s="488"/>
      <c r="Q1132" s="488"/>
      <c r="R1132" s="488"/>
      <c r="S1132" s="488"/>
      <c r="T1132" s="488"/>
      <c r="U1132" s="488"/>
      <c r="V1132" s="488"/>
      <c r="W1132" s="488"/>
      <c r="X1132" s="488"/>
      <c r="Y1132" s="488"/>
      <c r="Z1132" s="488"/>
      <c r="AA1132" s="488"/>
      <c r="AB1132" s="488"/>
      <c r="AC1132" s="488"/>
      <c r="AD1132" s="488"/>
      <c r="AE1132" s="488"/>
      <c r="AF1132" s="488"/>
      <c r="AG1132" s="488"/>
      <c r="AH1132" s="488"/>
      <c r="AI1132" s="488"/>
      <c r="AJ1132" s="488"/>
    </row>
    <row r="1133" spans="1:36" s="496" customFormat="1">
      <c r="A1133" s="488"/>
      <c r="C1133" s="488"/>
      <c r="D1133" s="488"/>
      <c r="E1133" s="488"/>
      <c r="F1133" s="488"/>
      <c r="G1133" s="488"/>
      <c r="H1133" s="488"/>
      <c r="I1133" s="488"/>
      <c r="J1133" s="488"/>
      <c r="K1133" s="488"/>
      <c r="L1133" s="488"/>
      <c r="M1133" s="488"/>
      <c r="N1133" s="488"/>
      <c r="O1133" s="488"/>
      <c r="P1133" s="488"/>
      <c r="Q1133" s="488"/>
      <c r="R1133" s="488"/>
      <c r="S1133" s="488"/>
      <c r="T1133" s="488"/>
      <c r="U1133" s="488"/>
      <c r="V1133" s="488"/>
      <c r="W1133" s="488"/>
      <c r="X1133" s="488"/>
      <c r="Y1133" s="488"/>
      <c r="Z1133" s="488"/>
      <c r="AA1133" s="488"/>
      <c r="AB1133" s="488"/>
      <c r="AC1133" s="488"/>
      <c r="AD1133" s="488"/>
      <c r="AE1133" s="488"/>
      <c r="AF1133" s="488"/>
      <c r="AG1133" s="488"/>
      <c r="AH1133" s="488"/>
      <c r="AI1133" s="488"/>
      <c r="AJ1133" s="488"/>
    </row>
    <row r="1134" spans="1:36" s="496" customFormat="1">
      <c r="A1134" s="488"/>
      <c r="C1134" s="488"/>
      <c r="D1134" s="488"/>
      <c r="E1134" s="488"/>
      <c r="F1134" s="488"/>
      <c r="G1134" s="488"/>
      <c r="H1134" s="488"/>
      <c r="I1134" s="488"/>
      <c r="J1134" s="488"/>
      <c r="K1134" s="488"/>
      <c r="L1134" s="488"/>
      <c r="M1134" s="488"/>
      <c r="N1134" s="488"/>
      <c r="O1134" s="488"/>
      <c r="P1134" s="488"/>
      <c r="Q1134" s="488"/>
      <c r="R1134" s="488"/>
      <c r="S1134" s="488"/>
      <c r="T1134" s="488"/>
      <c r="U1134" s="488"/>
      <c r="V1134" s="488"/>
      <c r="W1134" s="488"/>
      <c r="X1134" s="488"/>
      <c r="Y1134" s="488"/>
      <c r="Z1134" s="488"/>
      <c r="AA1134" s="488"/>
      <c r="AB1134" s="488"/>
      <c r="AC1134" s="488"/>
      <c r="AD1134" s="488"/>
      <c r="AE1134" s="488"/>
      <c r="AF1134" s="488"/>
      <c r="AG1134" s="488"/>
      <c r="AH1134" s="488"/>
      <c r="AI1134" s="488"/>
      <c r="AJ1134" s="488"/>
    </row>
    <row r="1135" spans="1:36" s="496" customFormat="1">
      <c r="A1135" s="488"/>
      <c r="C1135" s="488"/>
      <c r="D1135" s="488"/>
      <c r="E1135" s="488"/>
      <c r="F1135" s="488"/>
      <c r="G1135" s="488"/>
      <c r="H1135" s="488"/>
      <c r="I1135" s="488"/>
      <c r="J1135" s="488"/>
      <c r="K1135" s="488"/>
      <c r="L1135" s="488"/>
      <c r="M1135" s="488"/>
      <c r="N1135" s="488"/>
      <c r="O1135" s="488"/>
      <c r="P1135" s="488"/>
      <c r="Q1135" s="488"/>
      <c r="R1135" s="488"/>
      <c r="S1135" s="488"/>
      <c r="T1135" s="488"/>
      <c r="U1135" s="488"/>
      <c r="V1135" s="488"/>
      <c r="W1135" s="488"/>
      <c r="X1135" s="488"/>
      <c r="Y1135" s="488"/>
      <c r="Z1135" s="488"/>
      <c r="AA1135" s="488"/>
      <c r="AB1135" s="488"/>
      <c r="AC1135" s="488"/>
      <c r="AD1135" s="488"/>
      <c r="AE1135" s="488"/>
      <c r="AF1135" s="488"/>
      <c r="AG1135" s="488"/>
      <c r="AH1135" s="488"/>
      <c r="AI1135" s="488"/>
      <c r="AJ1135" s="488"/>
    </row>
    <row r="1136" spans="1:36" s="496" customFormat="1">
      <c r="A1136" s="488"/>
      <c r="C1136" s="488"/>
      <c r="D1136" s="488"/>
      <c r="E1136" s="488"/>
      <c r="F1136" s="488"/>
      <c r="G1136" s="488"/>
      <c r="H1136" s="488"/>
      <c r="I1136" s="488"/>
      <c r="J1136" s="488"/>
      <c r="K1136" s="488"/>
      <c r="L1136" s="488"/>
      <c r="M1136" s="488"/>
      <c r="N1136" s="488"/>
      <c r="O1136" s="488"/>
      <c r="P1136" s="488"/>
      <c r="Q1136" s="488"/>
      <c r="R1136" s="488"/>
      <c r="S1136" s="488"/>
      <c r="T1136" s="488"/>
      <c r="U1136" s="488"/>
      <c r="V1136" s="488"/>
      <c r="W1136" s="488"/>
      <c r="X1136" s="488"/>
      <c r="Y1136" s="488"/>
      <c r="Z1136" s="488"/>
      <c r="AA1136" s="488"/>
      <c r="AB1136" s="488"/>
      <c r="AC1136" s="488"/>
      <c r="AD1136" s="488"/>
      <c r="AE1136" s="488"/>
      <c r="AF1136" s="488"/>
      <c r="AG1136" s="488"/>
      <c r="AH1136" s="488"/>
      <c r="AI1136" s="488"/>
      <c r="AJ1136" s="488"/>
    </row>
    <row r="1137" spans="1:36" s="496" customFormat="1">
      <c r="A1137" s="488"/>
      <c r="C1137" s="488"/>
      <c r="D1137" s="488"/>
      <c r="E1137" s="488"/>
      <c r="F1137" s="488"/>
      <c r="G1137" s="488"/>
      <c r="H1137" s="488"/>
      <c r="I1137" s="488"/>
      <c r="J1137" s="488"/>
      <c r="K1137" s="488"/>
      <c r="L1137" s="488"/>
      <c r="M1137" s="488"/>
      <c r="N1137" s="488"/>
      <c r="O1137" s="488"/>
      <c r="P1137" s="488"/>
      <c r="Q1137" s="488"/>
      <c r="R1137" s="488"/>
      <c r="S1137" s="488"/>
      <c r="T1137" s="488"/>
      <c r="U1137" s="488"/>
      <c r="V1137" s="488"/>
      <c r="W1137" s="488"/>
      <c r="X1137" s="488"/>
      <c r="Y1137" s="488"/>
      <c r="Z1137" s="488"/>
      <c r="AA1137" s="488"/>
      <c r="AB1137" s="488"/>
      <c r="AC1137" s="488"/>
      <c r="AD1137" s="488"/>
      <c r="AE1137" s="488"/>
      <c r="AF1137" s="488"/>
      <c r="AG1137" s="488"/>
      <c r="AH1137" s="488"/>
      <c r="AI1137" s="488"/>
      <c r="AJ1137" s="488"/>
    </row>
    <row r="1138" spans="1:36" s="496" customFormat="1">
      <c r="A1138" s="488"/>
      <c r="C1138" s="488"/>
      <c r="D1138" s="488"/>
      <c r="E1138" s="488"/>
      <c r="F1138" s="488"/>
      <c r="G1138" s="488"/>
      <c r="H1138" s="488"/>
      <c r="I1138" s="488"/>
      <c r="J1138" s="488"/>
      <c r="K1138" s="488"/>
      <c r="L1138" s="488"/>
      <c r="M1138" s="488"/>
      <c r="N1138" s="488"/>
      <c r="O1138" s="488"/>
      <c r="P1138" s="488"/>
      <c r="Q1138" s="488"/>
      <c r="R1138" s="488"/>
      <c r="S1138" s="488"/>
      <c r="T1138" s="488"/>
      <c r="U1138" s="488"/>
      <c r="V1138" s="488"/>
      <c r="W1138" s="488"/>
      <c r="X1138" s="488"/>
      <c r="Y1138" s="488"/>
      <c r="Z1138" s="488"/>
      <c r="AA1138" s="488"/>
      <c r="AB1138" s="488"/>
      <c r="AC1138" s="488"/>
      <c r="AD1138" s="488"/>
      <c r="AE1138" s="488"/>
      <c r="AF1138" s="488"/>
      <c r="AG1138" s="488"/>
      <c r="AH1138" s="488"/>
      <c r="AI1138" s="488"/>
      <c r="AJ1138" s="488"/>
    </row>
    <row r="1139" spans="1:36" s="496" customFormat="1">
      <c r="A1139" s="488"/>
      <c r="C1139" s="488"/>
      <c r="D1139" s="488"/>
      <c r="E1139" s="488"/>
      <c r="F1139" s="488"/>
      <c r="G1139" s="488"/>
      <c r="H1139" s="488"/>
      <c r="I1139" s="488"/>
      <c r="J1139" s="488"/>
      <c r="K1139" s="488"/>
      <c r="L1139" s="488"/>
      <c r="M1139" s="488"/>
      <c r="N1139" s="488"/>
      <c r="O1139" s="488"/>
      <c r="P1139" s="488"/>
      <c r="Q1139" s="488"/>
      <c r="R1139" s="488"/>
      <c r="S1139" s="488"/>
      <c r="T1139" s="488"/>
      <c r="U1139" s="488"/>
      <c r="V1139" s="488"/>
      <c r="W1139" s="488"/>
      <c r="X1139" s="488"/>
      <c r="Y1139" s="488"/>
      <c r="Z1139" s="488"/>
      <c r="AA1139" s="488"/>
      <c r="AB1139" s="488"/>
      <c r="AC1139" s="488"/>
      <c r="AD1139" s="488"/>
      <c r="AE1139" s="488"/>
      <c r="AF1139" s="488"/>
      <c r="AG1139" s="488"/>
      <c r="AH1139" s="488"/>
      <c r="AI1139" s="488"/>
      <c r="AJ1139" s="488"/>
    </row>
    <row r="1140" spans="1:36" s="496" customFormat="1">
      <c r="A1140" s="488"/>
      <c r="C1140" s="488"/>
      <c r="D1140" s="488"/>
      <c r="E1140" s="488"/>
      <c r="F1140" s="488"/>
      <c r="G1140" s="488"/>
      <c r="H1140" s="488"/>
      <c r="I1140" s="488"/>
      <c r="J1140" s="488"/>
      <c r="K1140" s="488"/>
      <c r="L1140" s="488"/>
      <c r="M1140" s="488"/>
      <c r="N1140" s="488"/>
      <c r="O1140" s="488"/>
      <c r="P1140" s="488"/>
      <c r="Q1140" s="488"/>
      <c r="R1140" s="488"/>
      <c r="S1140" s="488"/>
      <c r="T1140" s="488"/>
      <c r="U1140" s="488"/>
      <c r="V1140" s="488"/>
      <c r="W1140" s="488"/>
      <c r="X1140" s="488"/>
      <c r="Y1140" s="488"/>
      <c r="Z1140" s="488"/>
      <c r="AA1140" s="488"/>
      <c r="AB1140" s="488"/>
      <c r="AC1140" s="488"/>
      <c r="AD1140" s="488"/>
      <c r="AE1140" s="488"/>
      <c r="AF1140" s="488"/>
      <c r="AG1140" s="488"/>
      <c r="AH1140" s="488"/>
      <c r="AI1140" s="488"/>
      <c r="AJ1140" s="488"/>
    </row>
    <row r="1141" spans="1:36" s="496" customFormat="1">
      <c r="A1141" s="488"/>
      <c r="C1141" s="488"/>
      <c r="D1141" s="488"/>
      <c r="E1141" s="488"/>
      <c r="F1141" s="488"/>
      <c r="G1141" s="488"/>
      <c r="H1141" s="488"/>
      <c r="I1141" s="488"/>
      <c r="J1141" s="488"/>
      <c r="K1141" s="488"/>
      <c r="L1141" s="488"/>
      <c r="M1141" s="488"/>
      <c r="N1141" s="488"/>
      <c r="O1141" s="488"/>
      <c r="P1141" s="488"/>
      <c r="Q1141" s="488"/>
      <c r="R1141" s="488"/>
      <c r="S1141" s="488"/>
      <c r="T1141" s="488"/>
      <c r="U1141" s="488"/>
      <c r="V1141" s="488"/>
      <c r="W1141" s="488"/>
      <c r="X1141" s="488"/>
      <c r="Y1141" s="488"/>
      <c r="Z1141" s="488"/>
      <c r="AA1141" s="488"/>
      <c r="AB1141" s="488"/>
      <c r="AC1141" s="488"/>
      <c r="AD1141" s="488"/>
      <c r="AE1141" s="488"/>
      <c r="AF1141" s="488"/>
      <c r="AG1141" s="488"/>
      <c r="AH1141" s="488"/>
      <c r="AI1141" s="488"/>
      <c r="AJ1141" s="488"/>
    </row>
    <row r="1142" spans="1:36" s="496" customFormat="1">
      <c r="A1142" s="488"/>
      <c r="C1142" s="488"/>
      <c r="D1142" s="488"/>
      <c r="E1142" s="488"/>
      <c r="F1142" s="488"/>
      <c r="G1142" s="488"/>
      <c r="H1142" s="488"/>
      <c r="I1142" s="488"/>
      <c r="J1142" s="488"/>
      <c r="K1142" s="488"/>
      <c r="L1142" s="488"/>
      <c r="M1142" s="488"/>
      <c r="N1142" s="488"/>
      <c r="O1142" s="488"/>
      <c r="P1142" s="488"/>
      <c r="Q1142" s="488"/>
      <c r="R1142" s="488"/>
      <c r="S1142" s="488"/>
      <c r="T1142" s="488"/>
      <c r="U1142" s="488"/>
      <c r="V1142" s="488"/>
      <c r="W1142" s="488"/>
      <c r="X1142" s="488"/>
      <c r="Y1142" s="488"/>
      <c r="Z1142" s="488"/>
      <c r="AA1142" s="488"/>
      <c r="AB1142" s="488"/>
      <c r="AC1142" s="488"/>
      <c r="AD1142" s="488"/>
      <c r="AE1142" s="488"/>
      <c r="AF1142" s="488"/>
      <c r="AG1142" s="488"/>
      <c r="AH1142" s="488"/>
      <c r="AI1142" s="488"/>
      <c r="AJ1142" s="488"/>
    </row>
    <row r="1143" spans="1:36" s="496" customFormat="1">
      <c r="A1143" s="488"/>
      <c r="C1143" s="488"/>
      <c r="D1143" s="488"/>
      <c r="E1143" s="488"/>
      <c r="F1143" s="488"/>
      <c r="G1143" s="488"/>
      <c r="H1143" s="488"/>
      <c r="I1143" s="488"/>
      <c r="J1143" s="488"/>
      <c r="K1143" s="488"/>
      <c r="L1143" s="488"/>
      <c r="M1143" s="488"/>
      <c r="N1143" s="488"/>
      <c r="O1143" s="488"/>
      <c r="P1143" s="488"/>
      <c r="Q1143" s="488"/>
      <c r="R1143" s="488"/>
      <c r="S1143" s="488"/>
      <c r="T1143" s="488"/>
      <c r="U1143" s="488"/>
      <c r="V1143" s="488"/>
      <c r="W1143" s="488"/>
      <c r="X1143" s="488"/>
      <c r="Y1143" s="488"/>
      <c r="Z1143" s="488"/>
      <c r="AA1143" s="488"/>
      <c r="AB1143" s="488"/>
      <c r="AC1143" s="488"/>
      <c r="AD1143" s="488"/>
      <c r="AE1143" s="488"/>
      <c r="AF1143" s="488"/>
      <c r="AG1143" s="488"/>
      <c r="AH1143" s="488"/>
      <c r="AI1143" s="488"/>
      <c r="AJ1143" s="488"/>
    </row>
    <row r="1144" spans="1:36" s="496" customFormat="1">
      <c r="A1144" s="488"/>
      <c r="C1144" s="488"/>
      <c r="D1144" s="488"/>
      <c r="E1144" s="488"/>
      <c r="F1144" s="488"/>
      <c r="G1144" s="488"/>
      <c r="H1144" s="488"/>
      <c r="I1144" s="488"/>
      <c r="J1144" s="488"/>
      <c r="K1144" s="488"/>
      <c r="L1144" s="488"/>
      <c r="M1144" s="488"/>
      <c r="N1144" s="488"/>
      <c r="O1144" s="488"/>
      <c r="P1144" s="488"/>
      <c r="Q1144" s="488"/>
      <c r="R1144" s="488"/>
      <c r="S1144" s="488"/>
      <c r="T1144" s="488"/>
      <c r="U1144" s="488"/>
      <c r="V1144" s="488"/>
      <c r="W1144" s="488"/>
      <c r="X1144" s="488"/>
      <c r="Y1144" s="488"/>
      <c r="Z1144" s="488"/>
      <c r="AA1144" s="488"/>
      <c r="AB1144" s="488"/>
      <c r="AC1144" s="488"/>
      <c r="AD1144" s="488"/>
      <c r="AE1144" s="488"/>
      <c r="AF1144" s="488"/>
      <c r="AG1144" s="488"/>
      <c r="AH1144" s="488"/>
      <c r="AI1144" s="488"/>
      <c r="AJ1144" s="488"/>
    </row>
    <row r="1145" spans="1:36" s="496" customFormat="1">
      <c r="A1145" s="488"/>
      <c r="C1145" s="488"/>
      <c r="D1145" s="488"/>
      <c r="E1145" s="488"/>
      <c r="F1145" s="488"/>
      <c r="G1145" s="488"/>
      <c r="H1145" s="488"/>
      <c r="I1145" s="488"/>
      <c r="J1145" s="488"/>
      <c r="K1145" s="488"/>
      <c r="L1145" s="488"/>
      <c r="M1145" s="488"/>
      <c r="N1145" s="488"/>
      <c r="O1145" s="488"/>
      <c r="P1145" s="488"/>
      <c r="Q1145" s="488"/>
      <c r="R1145" s="488"/>
      <c r="S1145" s="488"/>
      <c r="T1145" s="488"/>
      <c r="U1145" s="488"/>
      <c r="V1145" s="488"/>
      <c r="W1145" s="488"/>
      <c r="X1145" s="488"/>
      <c r="Y1145" s="488"/>
      <c r="Z1145" s="488"/>
      <c r="AA1145" s="488"/>
      <c r="AB1145" s="488"/>
      <c r="AC1145" s="488"/>
      <c r="AD1145" s="488"/>
      <c r="AE1145" s="488"/>
      <c r="AF1145" s="488"/>
      <c r="AG1145" s="488"/>
      <c r="AH1145" s="488"/>
      <c r="AI1145" s="488"/>
      <c r="AJ1145" s="488"/>
    </row>
    <row r="1146" spans="1:36" s="496" customFormat="1">
      <c r="A1146" s="488"/>
      <c r="C1146" s="488"/>
      <c r="D1146" s="488"/>
      <c r="E1146" s="488"/>
      <c r="F1146" s="488"/>
      <c r="G1146" s="488"/>
      <c r="H1146" s="488"/>
      <c r="I1146" s="488"/>
      <c r="J1146" s="488"/>
      <c r="K1146" s="488"/>
      <c r="L1146" s="488"/>
      <c r="M1146" s="488"/>
      <c r="N1146" s="488"/>
      <c r="O1146" s="488"/>
      <c r="P1146" s="488"/>
      <c r="Q1146" s="488"/>
      <c r="R1146" s="488"/>
      <c r="S1146" s="488"/>
      <c r="T1146" s="488"/>
      <c r="U1146" s="488"/>
      <c r="V1146" s="488"/>
      <c r="W1146" s="488"/>
      <c r="X1146" s="488"/>
      <c r="Y1146" s="488"/>
      <c r="Z1146" s="488"/>
      <c r="AA1146" s="488"/>
      <c r="AB1146" s="488"/>
      <c r="AC1146" s="488"/>
      <c r="AD1146" s="488"/>
      <c r="AE1146" s="488"/>
      <c r="AF1146" s="488"/>
      <c r="AG1146" s="488"/>
      <c r="AH1146" s="488"/>
      <c r="AI1146" s="488"/>
      <c r="AJ1146" s="488"/>
    </row>
    <row r="1147" spans="1:36" s="496" customFormat="1">
      <c r="A1147" s="488"/>
      <c r="C1147" s="488"/>
      <c r="D1147" s="488"/>
      <c r="E1147" s="488"/>
      <c r="F1147" s="488"/>
      <c r="G1147" s="488"/>
      <c r="H1147" s="488"/>
      <c r="I1147" s="488"/>
      <c r="J1147" s="488"/>
      <c r="K1147" s="488"/>
      <c r="L1147" s="488"/>
      <c r="M1147" s="488"/>
      <c r="N1147" s="488"/>
      <c r="O1147" s="488"/>
      <c r="P1147" s="488"/>
      <c r="Q1147" s="488"/>
      <c r="R1147" s="488"/>
      <c r="S1147" s="488"/>
      <c r="T1147" s="488"/>
      <c r="U1147" s="488"/>
      <c r="V1147" s="488"/>
      <c r="W1147" s="488"/>
      <c r="X1147" s="488"/>
      <c r="Y1147" s="488"/>
      <c r="Z1147" s="488"/>
      <c r="AA1147" s="488"/>
      <c r="AB1147" s="488"/>
      <c r="AC1147" s="488"/>
      <c r="AD1147" s="488"/>
      <c r="AE1147" s="488"/>
      <c r="AF1147" s="488"/>
      <c r="AG1147" s="488"/>
      <c r="AH1147" s="488"/>
      <c r="AI1147" s="488"/>
      <c r="AJ1147" s="488"/>
    </row>
    <row r="1148" spans="1:36" s="496" customFormat="1">
      <c r="A1148" s="488"/>
      <c r="C1148" s="488"/>
      <c r="D1148" s="488"/>
      <c r="E1148" s="488"/>
      <c r="F1148" s="488"/>
      <c r="G1148" s="488"/>
      <c r="H1148" s="488"/>
      <c r="I1148" s="488"/>
      <c r="J1148" s="488"/>
      <c r="K1148" s="488"/>
      <c r="L1148" s="488"/>
      <c r="M1148" s="488"/>
      <c r="N1148" s="488"/>
      <c r="O1148" s="488"/>
      <c r="P1148" s="488"/>
      <c r="Q1148" s="488"/>
      <c r="R1148" s="488"/>
      <c r="S1148" s="488"/>
      <c r="T1148" s="488"/>
      <c r="U1148" s="488"/>
      <c r="V1148" s="488"/>
      <c r="W1148" s="488"/>
      <c r="X1148" s="488"/>
      <c r="Y1148" s="488"/>
      <c r="Z1148" s="488"/>
      <c r="AA1148" s="488"/>
      <c r="AB1148" s="488"/>
      <c r="AC1148" s="488"/>
      <c r="AD1148" s="488"/>
      <c r="AE1148" s="488"/>
      <c r="AF1148" s="488"/>
      <c r="AG1148" s="488"/>
      <c r="AH1148" s="488"/>
      <c r="AI1148" s="488"/>
      <c r="AJ1148" s="488"/>
    </row>
    <row r="1149" spans="1:36" s="496" customFormat="1">
      <c r="A1149" s="488"/>
      <c r="C1149" s="488"/>
      <c r="D1149" s="488"/>
      <c r="E1149" s="488"/>
      <c r="F1149" s="488"/>
      <c r="G1149" s="488"/>
      <c r="H1149" s="488"/>
      <c r="I1149" s="488"/>
      <c r="J1149" s="488"/>
      <c r="K1149" s="488"/>
      <c r="L1149" s="488"/>
      <c r="M1149" s="488"/>
      <c r="N1149" s="488"/>
      <c r="O1149" s="488"/>
      <c r="P1149" s="488"/>
      <c r="Q1149" s="488"/>
      <c r="R1149" s="488"/>
      <c r="S1149" s="488"/>
      <c r="T1149" s="488"/>
      <c r="U1149" s="488"/>
      <c r="V1149" s="488"/>
      <c r="W1149" s="488"/>
      <c r="X1149" s="488"/>
      <c r="Y1149" s="488"/>
      <c r="Z1149" s="488"/>
      <c r="AA1149" s="488"/>
      <c r="AB1149" s="488"/>
      <c r="AC1149" s="488"/>
      <c r="AD1149" s="488"/>
      <c r="AE1149" s="488"/>
      <c r="AF1149" s="488"/>
      <c r="AG1149" s="488"/>
      <c r="AH1149" s="488"/>
      <c r="AI1149" s="488"/>
      <c r="AJ1149" s="488"/>
    </row>
    <row r="1150" spans="1:36" s="496" customFormat="1">
      <c r="A1150" s="488"/>
      <c r="C1150" s="488"/>
      <c r="D1150" s="488"/>
      <c r="E1150" s="488"/>
      <c r="F1150" s="488"/>
      <c r="G1150" s="488"/>
      <c r="H1150" s="488"/>
      <c r="I1150" s="488"/>
      <c r="J1150" s="488"/>
      <c r="K1150" s="488"/>
      <c r="L1150" s="488"/>
      <c r="M1150" s="488"/>
      <c r="N1150" s="488"/>
      <c r="O1150" s="488"/>
      <c r="P1150" s="488"/>
      <c r="Q1150" s="488"/>
      <c r="R1150" s="488"/>
      <c r="S1150" s="488"/>
      <c r="T1150" s="488"/>
      <c r="U1150" s="488"/>
      <c r="V1150" s="488"/>
      <c r="W1150" s="488"/>
      <c r="X1150" s="488"/>
      <c r="Y1150" s="488"/>
      <c r="Z1150" s="488"/>
      <c r="AA1150" s="488"/>
      <c r="AB1150" s="488"/>
      <c r="AC1150" s="488"/>
      <c r="AD1150" s="488"/>
      <c r="AE1150" s="488"/>
      <c r="AF1150" s="488"/>
      <c r="AG1150" s="488"/>
      <c r="AH1150" s="488"/>
      <c r="AI1150" s="488"/>
      <c r="AJ1150" s="488"/>
    </row>
    <row r="1151" spans="1:36" s="496" customFormat="1">
      <c r="A1151" s="488"/>
      <c r="C1151" s="488"/>
      <c r="D1151" s="488"/>
      <c r="E1151" s="488"/>
      <c r="F1151" s="488"/>
      <c r="G1151" s="488"/>
      <c r="H1151" s="488"/>
      <c r="I1151" s="488"/>
      <c r="J1151" s="488"/>
      <c r="K1151" s="488"/>
      <c r="L1151" s="488"/>
      <c r="M1151" s="488"/>
      <c r="N1151" s="488"/>
      <c r="O1151" s="488"/>
      <c r="P1151" s="488"/>
      <c r="Q1151" s="488"/>
      <c r="R1151" s="488"/>
      <c r="S1151" s="488"/>
      <c r="T1151" s="488"/>
      <c r="U1151" s="488"/>
      <c r="V1151" s="488"/>
      <c r="W1151" s="488"/>
      <c r="X1151" s="488"/>
      <c r="Y1151" s="488"/>
      <c r="Z1151" s="488"/>
      <c r="AA1151" s="488"/>
      <c r="AB1151" s="488"/>
      <c r="AC1151" s="488"/>
      <c r="AD1151" s="488"/>
      <c r="AE1151" s="488"/>
      <c r="AF1151" s="488"/>
      <c r="AG1151" s="488"/>
      <c r="AH1151" s="488"/>
      <c r="AI1151" s="488"/>
      <c r="AJ1151" s="488"/>
    </row>
    <row r="1152" spans="1:36" s="496" customFormat="1">
      <c r="A1152" s="488"/>
      <c r="C1152" s="488"/>
      <c r="D1152" s="488"/>
      <c r="E1152" s="488"/>
      <c r="F1152" s="488"/>
      <c r="G1152" s="488"/>
      <c r="H1152" s="488"/>
      <c r="I1152" s="488"/>
      <c r="J1152" s="488"/>
      <c r="K1152" s="488"/>
      <c r="L1152" s="488"/>
      <c r="M1152" s="488"/>
      <c r="N1152" s="488"/>
      <c r="O1152" s="488"/>
      <c r="P1152" s="488"/>
      <c r="Q1152" s="488"/>
      <c r="R1152" s="488"/>
      <c r="S1152" s="488"/>
      <c r="T1152" s="488"/>
      <c r="U1152" s="488"/>
      <c r="V1152" s="488"/>
      <c r="W1152" s="488"/>
      <c r="X1152" s="488"/>
      <c r="Y1152" s="488"/>
      <c r="Z1152" s="488"/>
      <c r="AA1152" s="488"/>
      <c r="AB1152" s="488"/>
      <c r="AC1152" s="488"/>
      <c r="AD1152" s="488"/>
      <c r="AE1152" s="488"/>
      <c r="AF1152" s="488"/>
      <c r="AG1152" s="488"/>
      <c r="AH1152" s="488"/>
      <c r="AI1152" s="488"/>
      <c r="AJ1152" s="488"/>
    </row>
    <row r="1153" spans="1:36" s="496" customFormat="1">
      <c r="A1153" s="488"/>
      <c r="C1153" s="488"/>
      <c r="D1153" s="488"/>
      <c r="E1153" s="488"/>
      <c r="F1153" s="488"/>
      <c r="G1153" s="488"/>
      <c r="H1153" s="488"/>
      <c r="I1153" s="488"/>
      <c r="J1153" s="488"/>
      <c r="K1153" s="488"/>
      <c r="L1153" s="488"/>
      <c r="M1153" s="488"/>
      <c r="N1153" s="488"/>
      <c r="O1153" s="488"/>
      <c r="P1153" s="488"/>
      <c r="Q1153" s="488"/>
      <c r="R1153" s="488"/>
      <c r="S1153" s="488"/>
      <c r="T1153" s="488"/>
      <c r="U1153" s="488"/>
      <c r="V1153" s="488"/>
      <c r="W1153" s="488"/>
      <c r="X1153" s="488"/>
      <c r="Y1153" s="488"/>
      <c r="Z1153" s="488"/>
      <c r="AA1153" s="488"/>
      <c r="AB1153" s="488"/>
      <c r="AC1153" s="488"/>
      <c r="AD1153" s="488"/>
      <c r="AE1153" s="488"/>
      <c r="AF1153" s="488"/>
      <c r="AG1153" s="488"/>
      <c r="AH1153" s="488"/>
      <c r="AI1153" s="488"/>
      <c r="AJ1153" s="488"/>
    </row>
    <row r="1154" spans="1:36" s="496" customFormat="1">
      <c r="A1154" s="488"/>
      <c r="C1154" s="488"/>
      <c r="D1154" s="488"/>
      <c r="E1154" s="488"/>
      <c r="F1154" s="488"/>
      <c r="G1154" s="488"/>
      <c r="H1154" s="488"/>
      <c r="I1154" s="488"/>
      <c r="J1154" s="488"/>
      <c r="K1154" s="488"/>
      <c r="L1154" s="488"/>
      <c r="M1154" s="488"/>
      <c r="N1154" s="488"/>
      <c r="O1154" s="488"/>
      <c r="P1154" s="488"/>
      <c r="Q1154" s="488"/>
      <c r="R1154" s="488"/>
      <c r="S1154" s="488"/>
      <c r="T1154" s="488"/>
      <c r="U1154" s="488"/>
      <c r="V1154" s="488"/>
      <c r="W1154" s="488"/>
      <c r="X1154" s="488"/>
      <c r="Y1154" s="488"/>
      <c r="Z1154" s="488"/>
      <c r="AA1154" s="488"/>
      <c r="AB1154" s="488"/>
      <c r="AC1154" s="488"/>
      <c r="AD1154" s="488"/>
      <c r="AE1154" s="488"/>
      <c r="AF1154" s="488"/>
      <c r="AG1154" s="488"/>
      <c r="AH1154" s="488"/>
      <c r="AI1154" s="488"/>
      <c r="AJ1154" s="488"/>
    </row>
    <row r="1155" spans="1:36" s="496" customFormat="1">
      <c r="A1155" s="488"/>
      <c r="C1155" s="488"/>
      <c r="D1155" s="488"/>
      <c r="E1155" s="488"/>
      <c r="F1155" s="488"/>
      <c r="G1155" s="488"/>
      <c r="H1155" s="488"/>
      <c r="I1155" s="488"/>
      <c r="J1155" s="488"/>
      <c r="K1155" s="488"/>
      <c r="L1155" s="488"/>
      <c r="M1155" s="488"/>
      <c r="N1155" s="488"/>
      <c r="O1155" s="488"/>
      <c r="P1155" s="488"/>
      <c r="Q1155" s="488"/>
      <c r="R1155" s="488"/>
      <c r="S1155" s="488"/>
      <c r="T1155" s="488"/>
      <c r="U1155" s="488"/>
      <c r="V1155" s="488"/>
      <c r="W1155" s="488"/>
      <c r="X1155" s="488"/>
      <c r="Y1155" s="488"/>
      <c r="Z1155" s="488"/>
      <c r="AA1155" s="488"/>
      <c r="AB1155" s="488"/>
      <c r="AC1155" s="488"/>
      <c r="AD1155" s="488"/>
      <c r="AE1155" s="488"/>
      <c r="AF1155" s="488"/>
      <c r="AG1155" s="488"/>
      <c r="AH1155" s="488"/>
      <c r="AI1155" s="488"/>
      <c r="AJ1155" s="488"/>
    </row>
    <row r="1156" spans="1:36" s="496" customFormat="1">
      <c r="A1156" s="488"/>
      <c r="C1156" s="488"/>
      <c r="D1156" s="488"/>
      <c r="E1156" s="488"/>
      <c r="F1156" s="488"/>
      <c r="G1156" s="488"/>
      <c r="H1156" s="488"/>
      <c r="I1156" s="488"/>
      <c r="J1156" s="488"/>
      <c r="K1156" s="488"/>
      <c r="L1156" s="488"/>
      <c r="M1156" s="488"/>
      <c r="N1156" s="488"/>
      <c r="O1156" s="488"/>
      <c r="P1156" s="488"/>
      <c r="Q1156" s="488"/>
      <c r="R1156" s="488"/>
      <c r="S1156" s="488"/>
      <c r="T1156" s="488"/>
      <c r="U1156" s="488"/>
      <c r="V1156" s="488"/>
      <c r="W1156" s="488"/>
      <c r="X1156" s="488"/>
      <c r="Y1156" s="488"/>
      <c r="Z1156" s="488"/>
      <c r="AA1156" s="488"/>
      <c r="AB1156" s="488"/>
      <c r="AC1156" s="488"/>
      <c r="AD1156" s="488"/>
      <c r="AE1156" s="488"/>
      <c r="AF1156" s="488"/>
      <c r="AG1156" s="488"/>
      <c r="AH1156" s="488"/>
      <c r="AI1156" s="488"/>
      <c r="AJ1156" s="488"/>
    </row>
    <row r="1157" spans="1:36" s="496" customFormat="1">
      <c r="A1157" s="488"/>
      <c r="C1157" s="488"/>
      <c r="D1157" s="488"/>
      <c r="E1157" s="488"/>
      <c r="F1157" s="488"/>
      <c r="G1157" s="488"/>
      <c r="H1157" s="488"/>
      <c r="I1157" s="488"/>
      <c r="J1157" s="488"/>
      <c r="K1157" s="488"/>
      <c r="L1157" s="488"/>
      <c r="M1157" s="488"/>
      <c r="N1157" s="488"/>
      <c r="O1157" s="488"/>
      <c r="P1157" s="488"/>
      <c r="Q1157" s="488"/>
      <c r="R1157" s="488"/>
      <c r="S1157" s="488"/>
      <c r="T1157" s="488"/>
      <c r="U1157" s="488"/>
      <c r="V1157" s="488"/>
      <c r="W1157" s="488"/>
      <c r="X1157" s="488"/>
      <c r="Y1157" s="488"/>
      <c r="Z1157" s="488"/>
      <c r="AA1157" s="488"/>
      <c r="AB1157" s="488"/>
      <c r="AC1157" s="488"/>
      <c r="AD1157" s="488"/>
      <c r="AE1157" s="488"/>
      <c r="AF1157" s="488"/>
      <c r="AG1157" s="488"/>
      <c r="AH1157" s="488"/>
      <c r="AI1157" s="488"/>
      <c r="AJ1157" s="488"/>
    </row>
    <row r="1158" spans="1:36" s="496" customFormat="1">
      <c r="A1158" s="488"/>
      <c r="C1158" s="488"/>
      <c r="D1158" s="488"/>
      <c r="E1158" s="488"/>
      <c r="F1158" s="488"/>
      <c r="G1158" s="488"/>
      <c r="H1158" s="488"/>
      <c r="I1158" s="488"/>
      <c r="J1158" s="488"/>
      <c r="K1158" s="488"/>
      <c r="L1158" s="488"/>
      <c r="M1158" s="488"/>
      <c r="N1158" s="488"/>
      <c r="O1158" s="488"/>
      <c r="P1158" s="488"/>
      <c r="Q1158" s="488"/>
      <c r="R1158" s="488"/>
      <c r="S1158" s="488"/>
      <c r="T1158" s="488"/>
      <c r="U1158" s="488"/>
      <c r="V1158" s="488"/>
      <c r="W1158" s="488"/>
      <c r="X1158" s="488"/>
      <c r="Y1158" s="488"/>
      <c r="Z1158" s="488"/>
      <c r="AA1158" s="488"/>
      <c r="AB1158" s="488"/>
      <c r="AC1158" s="488"/>
      <c r="AD1158" s="488"/>
      <c r="AE1158" s="488"/>
      <c r="AF1158" s="488"/>
      <c r="AG1158" s="488"/>
      <c r="AH1158" s="488"/>
      <c r="AI1158" s="488"/>
      <c r="AJ1158" s="488"/>
    </row>
    <row r="1159" spans="1:36" s="496" customFormat="1">
      <c r="A1159" s="488"/>
      <c r="C1159" s="488"/>
      <c r="D1159" s="488"/>
      <c r="E1159" s="488"/>
      <c r="F1159" s="488"/>
      <c r="G1159" s="488"/>
      <c r="H1159" s="488"/>
      <c r="I1159" s="488"/>
      <c r="J1159" s="488"/>
      <c r="K1159" s="488"/>
      <c r="L1159" s="488"/>
      <c r="M1159" s="488"/>
      <c r="N1159" s="488"/>
      <c r="O1159" s="488"/>
      <c r="P1159" s="488"/>
      <c r="Q1159" s="488"/>
      <c r="R1159" s="488"/>
      <c r="S1159" s="488"/>
      <c r="T1159" s="488"/>
      <c r="U1159" s="488"/>
      <c r="V1159" s="488"/>
      <c r="W1159" s="488"/>
      <c r="X1159" s="488"/>
      <c r="Y1159" s="488"/>
      <c r="Z1159" s="488"/>
      <c r="AA1159" s="488"/>
      <c r="AB1159" s="488"/>
      <c r="AC1159" s="488"/>
      <c r="AD1159" s="488"/>
      <c r="AE1159" s="488"/>
      <c r="AF1159" s="488"/>
      <c r="AG1159" s="488"/>
      <c r="AH1159" s="488"/>
      <c r="AI1159" s="488"/>
      <c r="AJ1159" s="488"/>
    </row>
    <row r="1160" spans="1:36" s="496" customFormat="1">
      <c r="A1160" s="488"/>
      <c r="C1160" s="488"/>
      <c r="D1160" s="488"/>
      <c r="E1160" s="488"/>
      <c r="F1160" s="488"/>
      <c r="G1160" s="488"/>
      <c r="H1160" s="488"/>
      <c r="I1160" s="488"/>
      <c r="J1160" s="488"/>
      <c r="K1160" s="488"/>
      <c r="L1160" s="488"/>
      <c r="M1160" s="488"/>
      <c r="N1160" s="488"/>
      <c r="O1160" s="488"/>
      <c r="P1160" s="488"/>
      <c r="Q1160" s="488"/>
      <c r="R1160" s="488"/>
      <c r="S1160" s="488"/>
      <c r="T1160" s="488"/>
      <c r="U1160" s="488"/>
      <c r="V1160" s="488"/>
      <c r="W1160" s="488"/>
      <c r="X1160" s="488"/>
      <c r="Y1160" s="488"/>
      <c r="Z1160" s="488"/>
      <c r="AA1160" s="488"/>
      <c r="AB1160" s="488"/>
      <c r="AC1160" s="488"/>
      <c r="AD1160" s="488"/>
      <c r="AE1160" s="488"/>
      <c r="AF1160" s="488"/>
      <c r="AG1160" s="488"/>
      <c r="AH1160" s="488"/>
      <c r="AI1160" s="488"/>
      <c r="AJ1160" s="488"/>
    </row>
    <row r="1161" spans="1:36" s="496" customFormat="1">
      <c r="A1161" s="488"/>
      <c r="C1161" s="488"/>
      <c r="D1161" s="488"/>
      <c r="E1161" s="488"/>
      <c r="F1161" s="488"/>
      <c r="G1161" s="488"/>
      <c r="H1161" s="488"/>
      <c r="I1161" s="488"/>
      <c r="J1161" s="488"/>
      <c r="K1161" s="488"/>
      <c r="L1161" s="488"/>
      <c r="M1161" s="488"/>
      <c r="N1161" s="488"/>
      <c r="O1161" s="488"/>
      <c r="P1161" s="488"/>
      <c r="Q1161" s="488"/>
      <c r="R1161" s="488"/>
      <c r="S1161" s="488"/>
      <c r="T1161" s="488"/>
      <c r="U1161" s="488"/>
      <c r="V1161" s="488"/>
      <c r="W1161" s="488"/>
      <c r="X1161" s="488"/>
      <c r="Y1161" s="488"/>
      <c r="Z1161" s="488"/>
      <c r="AA1161" s="488"/>
      <c r="AB1161" s="488"/>
      <c r="AC1161" s="488"/>
      <c r="AD1161" s="488"/>
      <c r="AE1161" s="488"/>
      <c r="AF1161" s="488"/>
      <c r="AG1161" s="488"/>
      <c r="AH1161" s="488"/>
      <c r="AI1161" s="488"/>
      <c r="AJ1161" s="488"/>
    </row>
    <row r="1162" spans="1:36" s="496" customFormat="1">
      <c r="A1162" s="488"/>
      <c r="C1162" s="488"/>
      <c r="D1162" s="488"/>
      <c r="E1162" s="488"/>
      <c r="F1162" s="488"/>
      <c r="G1162" s="488"/>
      <c r="H1162" s="488"/>
      <c r="I1162" s="488"/>
      <c r="J1162" s="488"/>
      <c r="K1162" s="488"/>
      <c r="L1162" s="488"/>
      <c r="M1162" s="488"/>
      <c r="N1162" s="488"/>
      <c r="O1162" s="488"/>
      <c r="P1162" s="488"/>
      <c r="Q1162" s="488"/>
      <c r="R1162" s="488"/>
      <c r="S1162" s="488"/>
      <c r="T1162" s="488"/>
      <c r="U1162" s="488"/>
      <c r="V1162" s="488"/>
      <c r="W1162" s="488"/>
      <c r="X1162" s="488"/>
      <c r="Y1162" s="488"/>
      <c r="Z1162" s="488"/>
      <c r="AA1162" s="488"/>
      <c r="AB1162" s="488"/>
      <c r="AC1162" s="488"/>
      <c r="AD1162" s="488"/>
      <c r="AE1162" s="488"/>
      <c r="AF1162" s="488"/>
      <c r="AG1162" s="488"/>
      <c r="AH1162" s="488"/>
      <c r="AI1162" s="488"/>
      <c r="AJ1162" s="488"/>
    </row>
    <row r="1163" spans="1:36" s="496" customFormat="1">
      <c r="A1163" s="488"/>
      <c r="C1163" s="488"/>
      <c r="D1163" s="488"/>
      <c r="E1163" s="488"/>
      <c r="F1163" s="488"/>
      <c r="G1163" s="488"/>
      <c r="H1163" s="488"/>
      <c r="I1163" s="488"/>
      <c r="J1163" s="488"/>
      <c r="K1163" s="488"/>
      <c r="L1163" s="488"/>
      <c r="M1163" s="488"/>
      <c r="N1163" s="488"/>
      <c r="O1163" s="488"/>
      <c r="P1163" s="488"/>
      <c r="Q1163" s="488"/>
      <c r="R1163" s="488"/>
      <c r="S1163" s="488"/>
      <c r="T1163" s="488"/>
      <c r="U1163" s="488"/>
      <c r="V1163" s="488"/>
      <c r="W1163" s="488"/>
      <c r="X1163" s="488"/>
      <c r="Y1163" s="488"/>
      <c r="Z1163" s="488"/>
      <c r="AA1163" s="488"/>
      <c r="AB1163" s="488"/>
      <c r="AC1163" s="488"/>
      <c r="AD1163" s="488"/>
      <c r="AE1163" s="488"/>
      <c r="AF1163" s="488"/>
      <c r="AG1163" s="488"/>
      <c r="AH1163" s="488"/>
      <c r="AI1163" s="488"/>
      <c r="AJ1163" s="488"/>
    </row>
    <row r="1164" spans="1:36" s="496" customFormat="1">
      <c r="A1164" s="488"/>
      <c r="C1164" s="488"/>
      <c r="D1164" s="488"/>
      <c r="E1164" s="488"/>
      <c r="F1164" s="488"/>
      <c r="G1164" s="488"/>
      <c r="H1164" s="488"/>
      <c r="I1164" s="488"/>
      <c r="J1164" s="488"/>
      <c r="K1164" s="488"/>
      <c r="L1164" s="488"/>
      <c r="M1164" s="488"/>
      <c r="N1164" s="488"/>
      <c r="O1164" s="488"/>
      <c r="P1164" s="488"/>
      <c r="Q1164" s="488"/>
      <c r="R1164" s="488"/>
      <c r="S1164" s="488"/>
      <c r="T1164" s="488"/>
      <c r="U1164" s="488"/>
      <c r="V1164" s="488"/>
      <c r="W1164" s="488"/>
      <c r="X1164" s="488"/>
      <c r="Y1164" s="488"/>
      <c r="Z1164" s="488"/>
      <c r="AA1164" s="488"/>
      <c r="AB1164" s="488"/>
      <c r="AC1164" s="488"/>
      <c r="AD1164" s="488"/>
      <c r="AE1164" s="488"/>
      <c r="AF1164" s="488"/>
      <c r="AG1164" s="488"/>
      <c r="AH1164" s="488"/>
      <c r="AI1164" s="488"/>
      <c r="AJ1164" s="488"/>
    </row>
    <row r="1165" spans="1:36" s="496" customFormat="1">
      <c r="A1165" s="488"/>
      <c r="C1165" s="488"/>
      <c r="D1165" s="488"/>
      <c r="E1165" s="488"/>
      <c r="F1165" s="488"/>
      <c r="G1165" s="488"/>
      <c r="H1165" s="488"/>
      <c r="I1165" s="488"/>
      <c r="J1165" s="488"/>
      <c r="K1165" s="488"/>
      <c r="L1165" s="488"/>
      <c r="M1165" s="488"/>
      <c r="N1165" s="488"/>
      <c r="O1165" s="488"/>
      <c r="P1165" s="488"/>
      <c r="Q1165" s="488"/>
      <c r="R1165" s="488"/>
      <c r="S1165" s="488"/>
      <c r="T1165" s="488"/>
      <c r="U1165" s="488"/>
      <c r="V1165" s="488"/>
      <c r="W1165" s="488"/>
      <c r="X1165" s="488"/>
      <c r="Y1165" s="488"/>
      <c r="Z1165" s="488"/>
      <c r="AA1165" s="488"/>
      <c r="AB1165" s="488"/>
      <c r="AC1165" s="488"/>
      <c r="AD1165" s="488"/>
      <c r="AE1165" s="488"/>
      <c r="AF1165" s="488"/>
      <c r="AG1165" s="488"/>
      <c r="AH1165" s="488"/>
      <c r="AI1165" s="488"/>
      <c r="AJ1165" s="488"/>
    </row>
    <row r="1166" spans="1:36" s="496" customFormat="1">
      <c r="A1166" s="488"/>
      <c r="C1166" s="488"/>
      <c r="D1166" s="488"/>
      <c r="E1166" s="488"/>
      <c r="F1166" s="488"/>
      <c r="G1166" s="488"/>
      <c r="H1166" s="488"/>
      <c r="I1166" s="488"/>
      <c r="J1166" s="488"/>
      <c r="K1166" s="488"/>
      <c r="L1166" s="488"/>
      <c r="M1166" s="488"/>
      <c r="N1166" s="488"/>
      <c r="O1166" s="488"/>
      <c r="P1166" s="488"/>
      <c r="Q1166" s="488"/>
      <c r="R1166" s="488"/>
      <c r="S1166" s="488"/>
      <c r="T1166" s="488"/>
      <c r="U1166" s="488"/>
      <c r="V1166" s="488"/>
      <c r="W1166" s="488"/>
      <c r="X1166" s="488"/>
      <c r="Y1166" s="488"/>
      <c r="Z1166" s="488"/>
      <c r="AA1166" s="488"/>
      <c r="AB1166" s="488"/>
      <c r="AC1166" s="488"/>
      <c r="AD1166" s="488"/>
      <c r="AE1166" s="488"/>
      <c r="AF1166" s="488"/>
      <c r="AG1166" s="488"/>
      <c r="AH1166" s="488"/>
      <c r="AI1166" s="488"/>
      <c r="AJ1166" s="488"/>
    </row>
    <row r="1167" spans="1:36" s="496" customFormat="1">
      <c r="A1167" s="488"/>
      <c r="C1167" s="488"/>
      <c r="D1167" s="488"/>
      <c r="E1167" s="488"/>
      <c r="F1167" s="488"/>
      <c r="G1167" s="488"/>
      <c r="H1167" s="488"/>
      <c r="I1167" s="488"/>
      <c r="J1167" s="488"/>
      <c r="K1167" s="488"/>
      <c r="L1167" s="488"/>
      <c r="M1167" s="488"/>
      <c r="N1167" s="488"/>
      <c r="O1167" s="488"/>
      <c r="P1167" s="488"/>
      <c r="Q1167" s="488"/>
      <c r="R1167" s="488"/>
      <c r="S1167" s="488"/>
      <c r="T1167" s="488"/>
      <c r="U1167" s="488"/>
      <c r="V1167" s="488"/>
      <c r="W1167" s="488"/>
      <c r="X1167" s="488"/>
      <c r="Y1167" s="488"/>
      <c r="Z1167" s="488"/>
      <c r="AA1167" s="488"/>
      <c r="AB1167" s="488"/>
      <c r="AC1167" s="488"/>
      <c r="AD1167" s="488"/>
      <c r="AE1167" s="488"/>
      <c r="AF1167" s="488"/>
      <c r="AG1167" s="488"/>
      <c r="AH1167" s="488"/>
      <c r="AI1167" s="488"/>
      <c r="AJ1167" s="488"/>
    </row>
    <row r="1168" spans="1:36" s="496" customFormat="1">
      <c r="A1168" s="488"/>
      <c r="C1168" s="488"/>
      <c r="D1168" s="488"/>
      <c r="E1168" s="488"/>
      <c r="F1168" s="488"/>
      <c r="G1168" s="488"/>
      <c r="H1168" s="488"/>
      <c r="I1168" s="488"/>
      <c r="J1168" s="488"/>
      <c r="K1168" s="488"/>
      <c r="L1168" s="488"/>
      <c r="M1168" s="488"/>
      <c r="N1168" s="488"/>
      <c r="O1168" s="488"/>
      <c r="P1168" s="488"/>
      <c r="Q1168" s="488"/>
      <c r="R1168" s="488"/>
      <c r="S1168" s="488"/>
      <c r="T1168" s="488"/>
      <c r="U1168" s="488"/>
      <c r="V1168" s="488"/>
      <c r="W1168" s="488"/>
      <c r="X1168" s="488"/>
      <c r="Y1168" s="488"/>
      <c r="Z1168" s="488"/>
      <c r="AA1168" s="488"/>
      <c r="AB1168" s="488"/>
      <c r="AC1168" s="488"/>
      <c r="AD1168" s="488"/>
      <c r="AE1168" s="488"/>
      <c r="AF1168" s="488"/>
      <c r="AG1168" s="488"/>
      <c r="AH1168" s="488"/>
      <c r="AI1168" s="488"/>
      <c r="AJ1168" s="488"/>
    </row>
    <row r="1169" spans="1:36" s="496" customFormat="1">
      <c r="A1169" s="488"/>
      <c r="C1169" s="488"/>
      <c r="D1169" s="488"/>
      <c r="E1169" s="488"/>
      <c r="F1169" s="488"/>
      <c r="G1169" s="488"/>
      <c r="H1169" s="488"/>
      <c r="I1169" s="488"/>
      <c r="J1169" s="488"/>
      <c r="K1169" s="488"/>
      <c r="L1169" s="488"/>
      <c r="M1169" s="488"/>
      <c r="N1169" s="488"/>
      <c r="O1169" s="488"/>
      <c r="P1169" s="488"/>
      <c r="Q1169" s="488"/>
      <c r="R1169" s="488"/>
      <c r="S1169" s="488"/>
      <c r="T1169" s="488"/>
      <c r="U1169" s="488"/>
      <c r="V1169" s="488"/>
      <c r="W1169" s="488"/>
      <c r="X1169" s="488"/>
      <c r="Y1169" s="488"/>
      <c r="Z1169" s="488"/>
      <c r="AA1169" s="488"/>
      <c r="AB1169" s="488"/>
      <c r="AC1169" s="488"/>
      <c r="AD1169" s="488"/>
      <c r="AE1169" s="488"/>
      <c r="AF1169" s="488"/>
      <c r="AG1169" s="488"/>
      <c r="AH1169" s="488"/>
      <c r="AI1169" s="488"/>
      <c r="AJ1169" s="488"/>
    </row>
    <row r="1170" spans="1:36" s="496" customFormat="1">
      <c r="A1170" s="488"/>
      <c r="C1170" s="488"/>
      <c r="D1170" s="488"/>
      <c r="E1170" s="488"/>
      <c r="F1170" s="488"/>
      <c r="G1170" s="488"/>
      <c r="H1170" s="488"/>
      <c r="I1170" s="488"/>
      <c r="J1170" s="488"/>
      <c r="K1170" s="488"/>
      <c r="L1170" s="488"/>
      <c r="M1170" s="488"/>
      <c r="N1170" s="488"/>
      <c r="O1170" s="488"/>
      <c r="P1170" s="488"/>
      <c r="Q1170" s="488"/>
      <c r="R1170" s="488"/>
      <c r="S1170" s="488"/>
      <c r="T1170" s="488"/>
      <c r="U1170" s="488"/>
      <c r="V1170" s="488"/>
      <c r="W1170" s="488"/>
      <c r="X1170" s="488"/>
      <c r="Y1170" s="488"/>
      <c r="Z1170" s="488"/>
      <c r="AA1170" s="488"/>
      <c r="AB1170" s="488"/>
      <c r="AC1170" s="488"/>
      <c r="AD1170" s="488"/>
      <c r="AE1170" s="488"/>
      <c r="AF1170" s="488"/>
      <c r="AG1170" s="488"/>
      <c r="AH1170" s="488"/>
      <c r="AI1170" s="488"/>
      <c r="AJ1170" s="488"/>
    </row>
    <row r="1171" spans="1:36" s="496" customFormat="1">
      <c r="A1171" s="488"/>
      <c r="C1171" s="488"/>
      <c r="D1171" s="488"/>
      <c r="E1171" s="488"/>
      <c r="F1171" s="488"/>
      <c r="G1171" s="488"/>
      <c r="H1171" s="488"/>
      <c r="I1171" s="488"/>
      <c r="J1171" s="488"/>
      <c r="K1171" s="488"/>
      <c r="L1171" s="488"/>
      <c r="M1171" s="488"/>
      <c r="N1171" s="488"/>
      <c r="O1171" s="488"/>
      <c r="P1171" s="488"/>
      <c r="Q1171" s="488"/>
      <c r="R1171" s="488"/>
      <c r="S1171" s="488"/>
      <c r="T1171" s="488"/>
      <c r="U1171" s="488"/>
      <c r="V1171" s="488"/>
      <c r="W1171" s="488"/>
      <c r="X1171" s="488"/>
      <c r="Y1171" s="488"/>
      <c r="Z1171" s="488"/>
      <c r="AA1171" s="488"/>
      <c r="AB1171" s="488"/>
      <c r="AC1171" s="488"/>
      <c r="AD1171" s="488"/>
      <c r="AE1171" s="488"/>
      <c r="AF1171" s="488"/>
      <c r="AG1171" s="488"/>
      <c r="AH1171" s="488"/>
      <c r="AI1171" s="488"/>
      <c r="AJ1171" s="488"/>
    </row>
    <row r="1172" spans="1:36" s="496" customFormat="1">
      <c r="A1172" s="488"/>
      <c r="C1172" s="488"/>
      <c r="D1172" s="488"/>
      <c r="E1172" s="488"/>
      <c r="F1172" s="488"/>
      <c r="G1172" s="488"/>
      <c r="H1172" s="488"/>
      <c r="I1172" s="488"/>
      <c r="J1172" s="488"/>
      <c r="K1172" s="488"/>
      <c r="L1172" s="488"/>
      <c r="M1172" s="488"/>
      <c r="N1172" s="488"/>
      <c r="O1172" s="488"/>
      <c r="P1172" s="488"/>
      <c r="Q1172" s="488"/>
      <c r="R1172" s="488"/>
      <c r="S1172" s="488"/>
      <c r="T1172" s="488"/>
      <c r="U1172" s="488"/>
      <c r="V1172" s="488"/>
      <c r="W1172" s="488"/>
      <c r="X1172" s="488"/>
      <c r="Y1172" s="488"/>
      <c r="Z1172" s="488"/>
      <c r="AA1172" s="488"/>
      <c r="AB1172" s="488"/>
      <c r="AC1172" s="488"/>
      <c r="AD1172" s="488"/>
      <c r="AE1172" s="488"/>
      <c r="AF1172" s="488"/>
      <c r="AG1172" s="488"/>
      <c r="AH1172" s="488"/>
      <c r="AI1172" s="488"/>
      <c r="AJ1172" s="488"/>
    </row>
    <row r="1173" spans="1:36" s="496" customFormat="1">
      <c r="A1173" s="488"/>
      <c r="C1173" s="488"/>
      <c r="D1173" s="488"/>
      <c r="E1173" s="488"/>
      <c r="F1173" s="488"/>
      <c r="G1173" s="488"/>
      <c r="H1173" s="488"/>
      <c r="I1173" s="488"/>
      <c r="J1173" s="488"/>
      <c r="K1173" s="488"/>
      <c r="L1173" s="488"/>
      <c r="M1173" s="488"/>
      <c r="N1173" s="488"/>
      <c r="O1173" s="488"/>
      <c r="P1173" s="488"/>
      <c r="Q1173" s="488"/>
      <c r="R1173" s="488"/>
      <c r="S1173" s="488"/>
      <c r="T1173" s="488"/>
      <c r="U1173" s="488"/>
      <c r="V1173" s="488"/>
      <c r="W1173" s="488"/>
      <c r="X1173" s="488"/>
      <c r="Y1173" s="488"/>
      <c r="Z1173" s="488"/>
      <c r="AA1173" s="488"/>
      <c r="AB1173" s="488"/>
      <c r="AC1173" s="488"/>
      <c r="AD1173" s="488"/>
      <c r="AE1173" s="488"/>
      <c r="AF1173" s="488"/>
      <c r="AG1173" s="488"/>
      <c r="AH1173" s="488"/>
      <c r="AI1173" s="488"/>
      <c r="AJ1173" s="488"/>
    </row>
    <row r="1174" spans="1:36" s="496" customFormat="1">
      <c r="A1174" s="488"/>
      <c r="C1174" s="488"/>
      <c r="D1174" s="488"/>
      <c r="E1174" s="488"/>
      <c r="F1174" s="488"/>
      <c r="G1174" s="488"/>
      <c r="H1174" s="488"/>
      <c r="I1174" s="488"/>
      <c r="J1174" s="488"/>
      <c r="K1174" s="488"/>
      <c r="L1174" s="488"/>
      <c r="M1174" s="488"/>
      <c r="N1174" s="488"/>
      <c r="O1174" s="488"/>
      <c r="P1174" s="488"/>
      <c r="Q1174" s="488"/>
      <c r="R1174" s="488"/>
      <c r="S1174" s="488"/>
      <c r="T1174" s="488"/>
      <c r="U1174" s="488"/>
      <c r="V1174" s="488"/>
      <c r="W1174" s="488"/>
      <c r="X1174" s="488"/>
      <c r="Y1174" s="488"/>
      <c r="Z1174" s="488"/>
      <c r="AA1174" s="488"/>
      <c r="AB1174" s="488"/>
      <c r="AC1174" s="488"/>
      <c r="AD1174" s="488"/>
      <c r="AE1174" s="488"/>
      <c r="AF1174" s="488"/>
      <c r="AG1174" s="488"/>
      <c r="AH1174" s="488"/>
      <c r="AI1174" s="488"/>
      <c r="AJ1174" s="488"/>
    </row>
    <row r="1175" spans="1:36" s="496" customFormat="1">
      <c r="A1175" s="488"/>
      <c r="C1175" s="488"/>
      <c r="D1175" s="488"/>
      <c r="E1175" s="488"/>
      <c r="F1175" s="488"/>
      <c r="G1175" s="488"/>
      <c r="H1175" s="488"/>
      <c r="I1175" s="488"/>
      <c r="J1175" s="488"/>
      <c r="K1175" s="488"/>
      <c r="L1175" s="488"/>
      <c r="M1175" s="488"/>
      <c r="N1175" s="488"/>
      <c r="O1175" s="488"/>
      <c r="P1175" s="488"/>
      <c r="Q1175" s="488"/>
      <c r="R1175" s="488"/>
      <c r="S1175" s="488"/>
      <c r="T1175" s="488"/>
      <c r="U1175" s="488"/>
      <c r="V1175" s="488"/>
      <c r="W1175" s="488"/>
      <c r="X1175" s="488"/>
      <c r="Y1175" s="488"/>
      <c r="Z1175" s="488"/>
      <c r="AA1175" s="488"/>
      <c r="AB1175" s="488"/>
      <c r="AC1175" s="488"/>
      <c r="AD1175" s="488"/>
      <c r="AE1175" s="488"/>
      <c r="AF1175" s="488"/>
      <c r="AG1175" s="488"/>
      <c r="AH1175" s="488"/>
      <c r="AI1175" s="488"/>
      <c r="AJ1175" s="488"/>
    </row>
    <row r="1176" spans="1:36" s="496" customFormat="1">
      <c r="A1176" s="488"/>
      <c r="C1176" s="488"/>
      <c r="D1176" s="488"/>
      <c r="E1176" s="488"/>
      <c r="F1176" s="488"/>
      <c r="G1176" s="488"/>
      <c r="H1176" s="488"/>
      <c r="I1176" s="488"/>
      <c r="J1176" s="488"/>
      <c r="K1176" s="488"/>
      <c r="L1176" s="488"/>
      <c r="M1176" s="488"/>
      <c r="N1176" s="488"/>
      <c r="O1176" s="488"/>
      <c r="P1176" s="488"/>
      <c r="Q1176" s="488"/>
      <c r="R1176" s="488"/>
      <c r="S1176" s="488"/>
      <c r="T1176" s="488"/>
      <c r="U1176" s="488"/>
      <c r="V1176" s="488"/>
      <c r="W1176" s="488"/>
      <c r="X1176" s="488"/>
      <c r="Y1176" s="488"/>
      <c r="Z1176" s="488"/>
      <c r="AA1176" s="488"/>
      <c r="AB1176" s="488"/>
      <c r="AC1176" s="488"/>
      <c r="AD1176" s="488"/>
      <c r="AE1176" s="488"/>
      <c r="AF1176" s="488"/>
      <c r="AG1176" s="488"/>
      <c r="AH1176" s="488"/>
      <c r="AI1176" s="488"/>
      <c r="AJ1176" s="488"/>
    </row>
    <row r="1177" spans="1:36" s="496" customFormat="1">
      <c r="A1177" s="488"/>
      <c r="C1177" s="488"/>
      <c r="D1177" s="488"/>
      <c r="E1177" s="488"/>
      <c r="F1177" s="488"/>
      <c r="G1177" s="488"/>
      <c r="H1177" s="488"/>
      <c r="I1177" s="488"/>
      <c r="J1177" s="488"/>
      <c r="K1177" s="488"/>
      <c r="L1177" s="488"/>
      <c r="M1177" s="488"/>
      <c r="N1177" s="488"/>
      <c r="O1177" s="488"/>
      <c r="P1177" s="488"/>
      <c r="Q1177" s="488"/>
      <c r="R1177" s="488"/>
      <c r="S1177" s="488"/>
      <c r="T1177" s="488"/>
      <c r="U1177" s="488"/>
      <c r="V1177" s="488"/>
      <c r="W1177" s="488"/>
      <c r="X1177" s="488"/>
      <c r="Y1177" s="488"/>
      <c r="Z1177" s="488"/>
      <c r="AA1177" s="488"/>
      <c r="AB1177" s="488"/>
      <c r="AC1177" s="488"/>
      <c r="AD1177" s="488"/>
      <c r="AE1177" s="488"/>
      <c r="AF1177" s="488"/>
      <c r="AG1177" s="488"/>
      <c r="AH1177" s="488"/>
      <c r="AI1177" s="488"/>
      <c r="AJ1177" s="488"/>
    </row>
    <row r="1178" spans="1:36" s="496" customFormat="1">
      <c r="A1178" s="488"/>
      <c r="C1178" s="488"/>
      <c r="D1178" s="488"/>
      <c r="E1178" s="488"/>
      <c r="F1178" s="488"/>
      <c r="G1178" s="488"/>
      <c r="H1178" s="488"/>
      <c r="I1178" s="488"/>
      <c r="J1178" s="488"/>
      <c r="K1178" s="488"/>
      <c r="L1178" s="488"/>
      <c r="M1178" s="488"/>
      <c r="N1178" s="488"/>
      <c r="O1178" s="488"/>
      <c r="P1178" s="488"/>
      <c r="Q1178" s="488"/>
      <c r="R1178" s="488"/>
      <c r="S1178" s="488"/>
      <c r="T1178" s="488"/>
      <c r="U1178" s="488"/>
      <c r="V1178" s="488"/>
      <c r="W1178" s="488"/>
      <c r="X1178" s="488"/>
      <c r="Y1178" s="488"/>
      <c r="Z1178" s="488"/>
      <c r="AA1178" s="488"/>
      <c r="AB1178" s="488"/>
      <c r="AC1178" s="488"/>
      <c r="AD1178" s="488"/>
      <c r="AE1178" s="488"/>
      <c r="AF1178" s="488"/>
      <c r="AG1178" s="488"/>
      <c r="AH1178" s="488"/>
      <c r="AI1178" s="488"/>
      <c r="AJ1178" s="488"/>
    </row>
    <row r="1179" spans="1:36" s="496" customFormat="1">
      <c r="A1179" s="488"/>
      <c r="C1179" s="488"/>
      <c r="D1179" s="488"/>
      <c r="E1179" s="488"/>
      <c r="F1179" s="488"/>
      <c r="G1179" s="488"/>
      <c r="H1179" s="488"/>
      <c r="I1179" s="488"/>
      <c r="J1179" s="488"/>
      <c r="K1179" s="488"/>
      <c r="L1179" s="488"/>
      <c r="M1179" s="488"/>
      <c r="N1179" s="488"/>
      <c r="O1179" s="488"/>
      <c r="P1179" s="488"/>
      <c r="Q1179" s="488"/>
      <c r="R1179" s="488"/>
      <c r="S1179" s="488"/>
      <c r="T1179" s="488"/>
      <c r="U1179" s="488"/>
      <c r="V1179" s="488"/>
      <c r="W1179" s="488"/>
      <c r="X1179" s="488"/>
      <c r="Y1179" s="488"/>
      <c r="Z1179" s="488"/>
      <c r="AA1179" s="488"/>
      <c r="AB1179" s="488"/>
      <c r="AC1179" s="488"/>
      <c r="AD1179" s="488"/>
      <c r="AE1179" s="488"/>
      <c r="AF1179" s="488"/>
      <c r="AG1179" s="488"/>
      <c r="AH1179" s="488"/>
      <c r="AI1179" s="488"/>
      <c r="AJ1179" s="488"/>
    </row>
    <row r="1180" spans="1:36" s="496" customFormat="1">
      <c r="A1180" s="488"/>
      <c r="C1180" s="488"/>
      <c r="D1180" s="488"/>
      <c r="E1180" s="488"/>
      <c r="F1180" s="488"/>
      <c r="G1180" s="488"/>
      <c r="H1180" s="488"/>
      <c r="I1180" s="488"/>
      <c r="J1180" s="488"/>
      <c r="K1180" s="488"/>
      <c r="L1180" s="488"/>
      <c r="M1180" s="488"/>
      <c r="N1180" s="488"/>
      <c r="O1180" s="488"/>
      <c r="P1180" s="488"/>
      <c r="Q1180" s="488"/>
      <c r="R1180" s="488"/>
      <c r="S1180" s="488"/>
      <c r="T1180" s="488"/>
      <c r="U1180" s="488"/>
      <c r="V1180" s="488"/>
      <c r="W1180" s="488"/>
      <c r="X1180" s="488"/>
      <c r="Y1180" s="488"/>
      <c r="Z1180" s="488"/>
      <c r="AA1180" s="488"/>
      <c r="AB1180" s="488"/>
      <c r="AC1180" s="488"/>
      <c r="AD1180" s="488"/>
      <c r="AE1180" s="488"/>
      <c r="AF1180" s="488"/>
      <c r="AG1180" s="488"/>
      <c r="AH1180" s="488"/>
      <c r="AI1180" s="488"/>
      <c r="AJ1180" s="488"/>
    </row>
    <row r="1181" spans="1:36" s="496" customFormat="1">
      <c r="A1181" s="488"/>
      <c r="C1181" s="488"/>
      <c r="D1181" s="488"/>
      <c r="E1181" s="488"/>
      <c r="F1181" s="488"/>
      <c r="G1181" s="488"/>
      <c r="H1181" s="488"/>
      <c r="I1181" s="488"/>
      <c r="J1181" s="488"/>
      <c r="K1181" s="488"/>
      <c r="L1181" s="488"/>
      <c r="M1181" s="488"/>
      <c r="N1181" s="488"/>
      <c r="O1181" s="488"/>
      <c r="P1181" s="488"/>
      <c r="Q1181" s="488"/>
      <c r="R1181" s="488"/>
      <c r="S1181" s="488"/>
      <c r="T1181" s="488"/>
      <c r="U1181" s="488"/>
      <c r="V1181" s="488"/>
      <c r="W1181" s="488"/>
      <c r="X1181" s="488"/>
      <c r="Y1181" s="488"/>
      <c r="Z1181" s="488"/>
      <c r="AA1181" s="488"/>
      <c r="AB1181" s="488"/>
      <c r="AC1181" s="488"/>
      <c r="AD1181" s="488"/>
      <c r="AE1181" s="488"/>
      <c r="AF1181" s="488"/>
      <c r="AG1181" s="488"/>
      <c r="AH1181" s="488"/>
      <c r="AI1181" s="488"/>
      <c r="AJ1181" s="488"/>
    </row>
    <row r="1182" spans="1:36" s="496" customFormat="1">
      <c r="A1182" s="488"/>
      <c r="C1182" s="488"/>
      <c r="D1182" s="488"/>
      <c r="E1182" s="488"/>
      <c r="F1182" s="488"/>
      <c r="G1182" s="488"/>
      <c r="H1182" s="488"/>
      <c r="I1182" s="488"/>
      <c r="J1182" s="488"/>
      <c r="K1182" s="488"/>
      <c r="L1182" s="488"/>
      <c r="M1182" s="488"/>
      <c r="N1182" s="488"/>
      <c r="O1182" s="488"/>
      <c r="P1182" s="488"/>
      <c r="Q1182" s="488"/>
      <c r="R1182" s="488"/>
      <c r="S1182" s="488"/>
      <c r="T1182" s="488"/>
      <c r="U1182" s="488"/>
      <c r="V1182" s="488"/>
      <c r="W1182" s="488"/>
      <c r="X1182" s="488"/>
      <c r="Y1182" s="488"/>
      <c r="Z1182" s="488"/>
      <c r="AA1182" s="488"/>
      <c r="AB1182" s="488"/>
      <c r="AC1182" s="488"/>
      <c r="AD1182" s="488"/>
      <c r="AE1182" s="488"/>
      <c r="AF1182" s="488"/>
      <c r="AG1182" s="488"/>
      <c r="AH1182" s="488"/>
      <c r="AI1182" s="488"/>
      <c r="AJ1182" s="488"/>
    </row>
    <row r="1183" spans="1:36" s="496" customFormat="1">
      <c r="A1183" s="488"/>
      <c r="C1183" s="488"/>
      <c r="D1183" s="488"/>
      <c r="E1183" s="488"/>
      <c r="F1183" s="488"/>
      <c r="G1183" s="488"/>
      <c r="H1183" s="488"/>
      <c r="I1183" s="488"/>
      <c r="J1183" s="488"/>
      <c r="K1183" s="488"/>
      <c r="L1183" s="488"/>
      <c r="M1183" s="488"/>
      <c r="N1183" s="488"/>
      <c r="O1183" s="488"/>
      <c r="P1183" s="488"/>
      <c r="Q1183" s="488"/>
      <c r="R1183" s="488"/>
      <c r="S1183" s="488"/>
      <c r="T1183" s="488"/>
      <c r="U1183" s="488"/>
      <c r="V1183" s="488"/>
      <c r="W1183" s="488"/>
      <c r="X1183" s="488"/>
      <c r="Y1183" s="488"/>
      <c r="Z1183" s="488"/>
      <c r="AA1183" s="488"/>
      <c r="AB1183" s="488"/>
      <c r="AC1183" s="488"/>
      <c r="AD1183" s="488"/>
      <c r="AE1183" s="488"/>
      <c r="AF1183" s="488"/>
      <c r="AG1183" s="488"/>
      <c r="AH1183" s="488"/>
      <c r="AI1183" s="488"/>
      <c r="AJ1183" s="488"/>
    </row>
    <row r="1184" spans="1:36" s="496" customFormat="1">
      <c r="A1184" s="488"/>
      <c r="C1184" s="488"/>
      <c r="D1184" s="488"/>
      <c r="E1184" s="488"/>
      <c r="F1184" s="488"/>
      <c r="G1184" s="488"/>
      <c r="H1184" s="488"/>
      <c r="I1184" s="488"/>
      <c r="J1184" s="488"/>
      <c r="K1184" s="488"/>
      <c r="L1184" s="488"/>
      <c r="M1184" s="488"/>
      <c r="N1184" s="488"/>
      <c r="O1184" s="488"/>
      <c r="P1184" s="488"/>
      <c r="Q1184" s="488"/>
      <c r="R1184" s="488"/>
      <c r="S1184" s="488"/>
      <c r="T1184" s="488"/>
      <c r="U1184" s="488"/>
      <c r="V1184" s="488"/>
      <c r="W1184" s="488"/>
      <c r="X1184" s="488"/>
      <c r="Y1184" s="488"/>
      <c r="Z1184" s="488"/>
      <c r="AA1184" s="488"/>
      <c r="AB1184" s="488"/>
      <c r="AC1184" s="488"/>
      <c r="AD1184" s="488"/>
      <c r="AE1184" s="488"/>
      <c r="AF1184" s="488"/>
      <c r="AG1184" s="488"/>
      <c r="AH1184" s="488"/>
      <c r="AI1184" s="488"/>
      <c r="AJ1184" s="488"/>
    </row>
    <row r="1185" spans="1:36" s="496" customFormat="1">
      <c r="A1185" s="488"/>
      <c r="C1185" s="488"/>
      <c r="D1185" s="488"/>
      <c r="E1185" s="488"/>
      <c r="F1185" s="488"/>
      <c r="G1185" s="488"/>
      <c r="H1185" s="488"/>
      <c r="I1185" s="488"/>
      <c r="J1185" s="488"/>
      <c r="K1185" s="488"/>
      <c r="L1185" s="488"/>
      <c r="M1185" s="488"/>
      <c r="N1185" s="488"/>
      <c r="O1185" s="488"/>
      <c r="P1185" s="488"/>
      <c r="Q1185" s="488"/>
      <c r="R1185" s="488"/>
      <c r="S1185" s="488"/>
      <c r="T1185" s="488"/>
      <c r="U1185" s="488"/>
      <c r="V1185" s="488"/>
      <c r="W1185" s="488"/>
      <c r="X1185" s="488"/>
      <c r="Y1185" s="488"/>
      <c r="Z1185" s="488"/>
      <c r="AA1185" s="488"/>
      <c r="AB1185" s="488"/>
      <c r="AC1185" s="488"/>
      <c r="AD1185" s="488"/>
      <c r="AE1185" s="488"/>
      <c r="AF1185" s="488"/>
      <c r="AG1185" s="488"/>
      <c r="AH1185" s="488"/>
      <c r="AI1185" s="488"/>
      <c r="AJ1185" s="488"/>
    </row>
    <row r="1186" spans="1:36" s="496" customFormat="1">
      <c r="A1186" s="488"/>
      <c r="C1186" s="488"/>
      <c r="D1186" s="488"/>
      <c r="E1186" s="488"/>
      <c r="F1186" s="488"/>
      <c r="G1186" s="488"/>
      <c r="H1186" s="488"/>
      <c r="I1186" s="488"/>
      <c r="J1186" s="488"/>
      <c r="K1186" s="488"/>
      <c r="L1186" s="488"/>
      <c r="M1186" s="488"/>
      <c r="N1186" s="488"/>
      <c r="O1186" s="488"/>
      <c r="P1186" s="488"/>
      <c r="Q1186" s="488"/>
      <c r="R1186" s="488"/>
      <c r="S1186" s="488"/>
      <c r="T1186" s="488"/>
      <c r="U1186" s="488"/>
      <c r="V1186" s="488"/>
      <c r="W1186" s="488"/>
      <c r="X1186" s="488"/>
      <c r="Y1186" s="488"/>
      <c r="Z1186" s="488"/>
      <c r="AA1186" s="488"/>
      <c r="AB1186" s="488"/>
      <c r="AC1186" s="488"/>
      <c r="AD1186" s="488"/>
      <c r="AE1186" s="488"/>
      <c r="AF1186" s="488"/>
      <c r="AG1186" s="488"/>
      <c r="AH1186" s="488"/>
      <c r="AI1186" s="488"/>
      <c r="AJ1186" s="488"/>
    </row>
    <row r="1187" spans="1:36" s="496" customFormat="1">
      <c r="A1187" s="488"/>
      <c r="C1187" s="488"/>
      <c r="D1187" s="488"/>
      <c r="E1187" s="488"/>
      <c r="F1187" s="488"/>
      <c r="G1187" s="488"/>
      <c r="H1187" s="488"/>
      <c r="I1187" s="488"/>
      <c r="J1187" s="488"/>
      <c r="K1187" s="488"/>
      <c r="L1187" s="488"/>
      <c r="M1187" s="488"/>
      <c r="N1187" s="488"/>
      <c r="O1187" s="488"/>
      <c r="P1187" s="488"/>
      <c r="Q1187" s="488"/>
      <c r="R1187" s="488"/>
      <c r="S1187" s="488"/>
      <c r="T1187" s="488"/>
      <c r="U1187" s="488"/>
      <c r="V1187" s="488"/>
      <c r="W1187" s="488"/>
      <c r="X1187" s="488"/>
      <c r="Y1187" s="488"/>
      <c r="Z1187" s="488"/>
      <c r="AA1187" s="488"/>
      <c r="AB1187" s="488"/>
      <c r="AC1187" s="488"/>
      <c r="AD1187" s="488"/>
      <c r="AE1187" s="488"/>
      <c r="AF1187" s="488"/>
      <c r="AG1187" s="488"/>
      <c r="AH1187" s="488"/>
      <c r="AI1187" s="488"/>
      <c r="AJ1187" s="488"/>
    </row>
    <row r="1188" spans="1:36" s="496" customFormat="1">
      <c r="A1188" s="488"/>
      <c r="C1188" s="488"/>
      <c r="D1188" s="488"/>
      <c r="E1188" s="488"/>
      <c r="F1188" s="488"/>
      <c r="G1188" s="488"/>
      <c r="H1188" s="488"/>
      <c r="I1188" s="488"/>
      <c r="J1188" s="488"/>
      <c r="K1188" s="488"/>
      <c r="L1188" s="488"/>
      <c r="M1188" s="488"/>
      <c r="N1188" s="488"/>
      <c r="O1188" s="488"/>
      <c r="P1188" s="488"/>
      <c r="Q1188" s="488"/>
      <c r="R1188" s="488"/>
      <c r="S1188" s="488"/>
      <c r="T1188" s="488"/>
      <c r="U1188" s="488"/>
      <c r="V1188" s="488"/>
      <c r="W1188" s="488"/>
      <c r="X1188" s="488"/>
      <c r="Y1188" s="488"/>
      <c r="Z1188" s="488"/>
      <c r="AA1188" s="488"/>
      <c r="AB1188" s="488"/>
      <c r="AC1188" s="488"/>
      <c r="AD1188" s="488"/>
      <c r="AE1188" s="488"/>
      <c r="AF1188" s="488"/>
      <c r="AG1188" s="488"/>
      <c r="AH1188" s="488"/>
      <c r="AI1188" s="488"/>
      <c r="AJ1188" s="488"/>
    </row>
    <row r="1189" spans="1:36" s="496" customFormat="1">
      <c r="A1189" s="488"/>
      <c r="C1189" s="488"/>
      <c r="D1189" s="488"/>
      <c r="E1189" s="488"/>
      <c r="F1189" s="488"/>
      <c r="G1189" s="488"/>
      <c r="H1189" s="488"/>
      <c r="I1189" s="488"/>
      <c r="J1189" s="488"/>
      <c r="K1189" s="488"/>
      <c r="L1189" s="488"/>
      <c r="M1189" s="488"/>
      <c r="N1189" s="488"/>
      <c r="O1189" s="488"/>
      <c r="P1189" s="488"/>
      <c r="Q1189" s="488"/>
      <c r="R1189" s="488"/>
      <c r="S1189" s="488"/>
      <c r="T1189" s="488"/>
      <c r="U1189" s="488"/>
      <c r="V1189" s="488"/>
      <c r="W1189" s="488"/>
      <c r="X1189" s="488"/>
      <c r="Y1189" s="488"/>
      <c r="Z1189" s="488"/>
      <c r="AA1189" s="488"/>
      <c r="AB1189" s="488"/>
      <c r="AC1189" s="488"/>
      <c r="AD1189" s="488"/>
      <c r="AE1189" s="488"/>
      <c r="AF1189" s="488"/>
      <c r="AG1189" s="488"/>
      <c r="AH1189" s="488"/>
      <c r="AI1189" s="488"/>
      <c r="AJ1189" s="488"/>
    </row>
    <row r="1190" spans="1:36" s="496" customFormat="1">
      <c r="A1190" s="488"/>
      <c r="C1190" s="488"/>
      <c r="D1190" s="488"/>
      <c r="E1190" s="488"/>
      <c r="F1190" s="488"/>
      <c r="G1190" s="488"/>
      <c r="H1190" s="488"/>
      <c r="I1190" s="488"/>
      <c r="J1190" s="488"/>
      <c r="K1190" s="488"/>
      <c r="L1190" s="488"/>
      <c r="M1190" s="488"/>
      <c r="N1190" s="488"/>
      <c r="O1190" s="488"/>
      <c r="P1190" s="488"/>
      <c r="Q1190" s="488"/>
      <c r="R1190" s="488"/>
      <c r="S1190" s="488"/>
      <c r="T1190" s="488"/>
      <c r="U1190" s="488"/>
      <c r="V1190" s="488"/>
      <c r="W1190" s="488"/>
      <c r="X1190" s="488"/>
      <c r="Y1190" s="488"/>
      <c r="Z1190" s="488"/>
      <c r="AA1190" s="488"/>
      <c r="AB1190" s="488"/>
      <c r="AC1190" s="488"/>
      <c r="AD1190" s="488"/>
      <c r="AE1190" s="488"/>
      <c r="AF1190" s="488"/>
      <c r="AG1190" s="488"/>
      <c r="AH1190" s="488"/>
      <c r="AI1190" s="488"/>
      <c r="AJ1190" s="488"/>
    </row>
    <row r="1191" spans="1:36" s="496" customFormat="1">
      <c r="A1191" s="488"/>
      <c r="C1191" s="488"/>
      <c r="D1191" s="488"/>
      <c r="E1191" s="488"/>
      <c r="F1191" s="488"/>
      <c r="G1191" s="488"/>
      <c r="H1191" s="488"/>
      <c r="I1191" s="488"/>
      <c r="J1191" s="488"/>
      <c r="K1191" s="488"/>
      <c r="L1191" s="488"/>
      <c r="M1191" s="488"/>
      <c r="N1191" s="488"/>
      <c r="O1191" s="488"/>
      <c r="P1191" s="488"/>
      <c r="Q1191" s="488"/>
      <c r="R1191" s="488"/>
      <c r="S1191" s="488"/>
      <c r="T1191" s="488"/>
      <c r="U1191" s="488"/>
      <c r="V1191" s="488"/>
      <c r="W1191" s="488"/>
      <c r="X1191" s="488"/>
      <c r="Y1191" s="488"/>
      <c r="Z1191" s="488"/>
      <c r="AA1191" s="488"/>
      <c r="AB1191" s="488"/>
      <c r="AC1191" s="488"/>
      <c r="AD1191" s="488"/>
      <c r="AE1191" s="488"/>
      <c r="AF1191" s="488"/>
      <c r="AG1191" s="488"/>
      <c r="AH1191" s="488"/>
      <c r="AI1191" s="488"/>
      <c r="AJ1191" s="488"/>
    </row>
    <row r="1192" spans="1:36" s="496" customFormat="1">
      <c r="A1192" s="488"/>
      <c r="C1192" s="488"/>
      <c r="D1192" s="488"/>
      <c r="E1192" s="488"/>
      <c r="F1192" s="488"/>
      <c r="G1192" s="488"/>
      <c r="H1192" s="488"/>
      <c r="I1192" s="488"/>
      <c r="J1192" s="488"/>
      <c r="K1192" s="488"/>
      <c r="L1192" s="488"/>
      <c r="M1192" s="488"/>
      <c r="N1192" s="488"/>
      <c r="O1192" s="488"/>
      <c r="P1192" s="488"/>
      <c r="Q1192" s="488"/>
      <c r="R1192" s="488"/>
      <c r="S1192" s="488"/>
      <c r="T1192" s="488"/>
      <c r="U1192" s="488"/>
      <c r="V1192" s="488"/>
      <c r="W1192" s="488"/>
      <c r="X1192" s="488"/>
      <c r="Y1192" s="488"/>
      <c r="Z1192" s="488"/>
      <c r="AA1192" s="488"/>
      <c r="AB1192" s="488"/>
      <c r="AC1192" s="488"/>
      <c r="AD1192" s="488"/>
      <c r="AE1192" s="488"/>
      <c r="AF1192" s="488"/>
      <c r="AG1192" s="488"/>
      <c r="AH1192" s="488"/>
      <c r="AI1192" s="488"/>
      <c r="AJ1192" s="488"/>
    </row>
    <row r="1193" spans="1:36" s="496" customFormat="1">
      <c r="A1193" s="488"/>
      <c r="C1193" s="488"/>
      <c r="D1193" s="488"/>
      <c r="E1193" s="488"/>
      <c r="F1193" s="488"/>
      <c r="G1193" s="488"/>
      <c r="H1193" s="488"/>
      <c r="I1193" s="488"/>
      <c r="J1193" s="488"/>
      <c r="K1193" s="488"/>
      <c r="L1193" s="488"/>
      <c r="M1193" s="488"/>
      <c r="N1193" s="488"/>
      <c r="O1193" s="488"/>
      <c r="P1193" s="488"/>
      <c r="Q1193" s="488"/>
      <c r="R1193" s="488"/>
      <c r="S1193" s="488"/>
      <c r="T1193" s="488"/>
      <c r="U1193" s="488"/>
      <c r="V1193" s="488"/>
      <c r="W1193" s="488"/>
      <c r="X1193" s="488"/>
      <c r="Y1193" s="488"/>
      <c r="Z1193" s="488"/>
      <c r="AA1193" s="488"/>
      <c r="AB1193" s="488"/>
      <c r="AC1193" s="488"/>
      <c r="AD1193" s="488"/>
      <c r="AE1193" s="488"/>
      <c r="AF1193" s="488"/>
      <c r="AG1193" s="488"/>
      <c r="AH1193" s="488"/>
      <c r="AI1193" s="488"/>
      <c r="AJ1193" s="488"/>
    </row>
    <row r="1194" spans="1:36" s="496" customFormat="1">
      <c r="A1194" s="488"/>
      <c r="C1194" s="488"/>
      <c r="D1194" s="488"/>
      <c r="E1194" s="488"/>
      <c r="F1194" s="488"/>
      <c r="G1194" s="488"/>
      <c r="H1194" s="488"/>
      <c r="I1194" s="488"/>
      <c r="J1194" s="488"/>
      <c r="K1194" s="488"/>
      <c r="L1194" s="488"/>
      <c r="M1194" s="488"/>
      <c r="N1194" s="488"/>
      <c r="O1194" s="488"/>
      <c r="P1194" s="488"/>
      <c r="Q1194" s="488"/>
      <c r="R1194" s="488"/>
      <c r="S1194" s="488"/>
      <c r="T1194" s="488"/>
      <c r="U1194" s="488"/>
      <c r="V1194" s="488"/>
      <c r="W1194" s="488"/>
      <c r="X1194" s="488"/>
      <c r="Y1194" s="488"/>
      <c r="Z1194" s="488"/>
      <c r="AA1194" s="488"/>
      <c r="AB1194" s="488"/>
      <c r="AC1194" s="488"/>
      <c r="AD1194" s="488"/>
      <c r="AE1194" s="488"/>
      <c r="AF1194" s="488"/>
      <c r="AG1194" s="488"/>
      <c r="AH1194" s="488"/>
      <c r="AI1194" s="488"/>
      <c r="AJ1194" s="488"/>
    </row>
    <row r="1195" spans="1:36" s="496" customFormat="1">
      <c r="A1195" s="488"/>
      <c r="C1195" s="488"/>
      <c r="D1195" s="488"/>
      <c r="E1195" s="488"/>
      <c r="F1195" s="488"/>
      <c r="G1195" s="488"/>
      <c r="H1195" s="488"/>
      <c r="I1195" s="488"/>
      <c r="J1195" s="488"/>
      <c r="K1195" s="488"/>
      <c r="L1195" s="488"/>
      <c r="M1195" s="488"/>
      <c r="N1195" s="488"/>
      <c r="O1195" s="488"/>
      <c r="P1195" s="488"/>
      <c r="Q1195" s="488"/>
      <c r="R1195" s="488"/>
      <c r="S1195" s="488"/>
      <c r="T1195" s="488"/>
      <c r="U1195" s="488"/>
      <c r="V1195" s="488"/>
      <c r="W1195" s="488"/>
      <c r="X1195" s="488"/>
      <c r="Y1195" s="488"/>
      <c r="Z1195" s="488"/>
      <c r="AA1195" s="488"/>
      <c r="AB1195" s="488"/>
      <c r="AC1195" s="488"/>
      <c r="AD1195" s="488"/>
      <c r="AE1195" s="488"/>
      <c r="AF1195" s="488"/>
      <c r="AG1195" s="488"/>
      <c r="AH1195" s="488"/>
      <c r="AI1195" s="488"/>
      <c r="AJ1195" s="488"/>
    </row>
    <row r="1196" spans="1:36" s="496" customFormat="1">
      <c r="A1196" s="488"/>
      <c r="C1196" s="488"/>
      <c r="D1196" s="488"/>
      <c r="E1196" s="488"/>
      <c r="F1196" s="488"/>
      <c r="G1196" s="488"/>
      <c r="H1196" s="488"/>
      <c r="I1196" s="488"/>
      <c r="J1196" s="488"/>
      <c r="K1196" s="488"/>
      <c r="L1196" s="488"/>
      <c r="M1196" s="488"/>
      <c r="N1196" s="488"/>
      <c r="O1196" s="488"/>
      <c r="P1196" s="488"/>
      <c r="Q1196" s="488"/>
      <c r="R1196" s="488"/>
      <c r="S1196" s="488"/>
      <c r="T1196" s="488"/>
      <c r="U1196" s="488"/>
      <c r="V1196" s="488"/>
      <c r="W1196" s="488"/>
      <c r="X1196" s="488"/>
      <c r="Y1196" s="488"/>
      <c r="Z1196" s="488"/>
      <c r="AA1196" s="488"/>
      <c r="AB1196" s="488"/>
      <c r="AC1196" s="488"/>
      <c r="AD1196" s="488"/>
      <c r="AE1196" s="488"/>
      <c r="AF1196" s="488"/>
      <c r="AG1196" s="488"/>
      <c r="AH1196" s="488"/>
      <c r="AI1196" s="488"/>
      <c r="AJ1196" s="488"/>
    </row>
    <row r="1197" spans="1:36" s="496" customFormat="1">
      <c r="A1197" s="488"/>
      <c r="C1197" s="488"/>
      <c r="D1197" s="488"/>
      <c r="E1197" s="488"/>
      <c r="F1197" s="488"/>
      <c r="G1197" s="488"/>
      <c r="H1197" s="488"/>
      <c r="I1197" s="488"/>
      <c r="J1197" s="488"/>
      <c r="K1197" s="488"/>
      <c r="L1197" s="488"/>
      <c r="M1197" s="488"/>
      <c r="N1197" s="488"/>
      <c r="O1197" s="488"/>
      <c r="P1197" s="488"/>
      <c r="Q1197" s="488"/>
      <c r="R1197" s="488"/>
      <c r="S1197" s="488"/>
      <c r="T1197" s="488"/>
      <c r="U1197" s="488"/>
      <c r="V1197" s="488"/>
      <c r="W1197" s="488"/>
      <c r="X1197" s="488"/>
      <c r="Y1197" s="488"/>
      <c r="Z1197" s="488"/>
      <c r="AA1197" s="488"/>
      <c r="AB1197" s="488"/>
      <c r="AC1197" s="488"/>
      <c r="AD1197" s="488"/>
      <c r="AE1197" s="488"/>
      <c r="AF1197" s="488"/>
      <c r="AG1197" s="488"/>
      <c r="AH1197" s="488"/>
      <c r="AI1197" s="488"/>
      <c r="AJ1197" s="488"/>
    </row>
    <row r="1198" spans="1:36" s="496" customFormat="1">
      <c r="A1198" s="488"/>
      <c r="C1198" s="488"/>
      <c r="D1198" s="488"/>
      <c r="E1198" s="488"/>
      <c r="F1198" s="488"/>
      <c r="G1198" s="488"/>
      <c r="H1198" s="488"/>
      <c r="I1198" s="488"/>
      <c r="J1198" s="488"/>
      <c r="K1198" s="488"/>
      <c r="L1198" s="488"/>
      <c r="M1198" s="488"/>
      <c r="N1198" s="488"/>
      <c r="O1198" s="488"/>
      <c r="P1198" s="488"/>
      <c r="Q1198" s="488"/>
      <c r="R1198" s="488"/>
      <c r="S1198" s="488"/>
      <c r="T1198" s="488"/>
      <c r="U1198" s="488"/>
      <c r="V1198" s="488"/>
      <c r="W1198" s="488"/>
      <c r="X1198" s="488"/>
      <c r="Y1198" s="488"/>
      <c r="Z1198" s="488"/>
      <c r="AA1198" s="488"/>
      <c r="AB1198" s="488"/>
      <c r="AC1198" s="488"/>
      <c r="AD1198" s="488"/>
      <c r="AE1198" s="488"/>
      <c r="AF1198" s="488"/>
      <c r="AG1198" s="488"/>
      <c r="AH1198" s="488"/>
      <c r="AI1198" s="488"/>
      <c r="AJ1198" s="488"/>
    </row>
    <row r="1199" spans="1:36" s="496" customFormat="1">
      <c r="A1199" s="488"/>
      <c r="C1199" s="488"/>
      <c r="D1199" s="488"/>
      <c r="E1199" s="488"/>
      <c r="F1199" s="488"/>
      <c r="G1199" s="488"/>
      <c r="H1199" s="488"/>
      <c r="I1199" s="488"/>
      <c r="J1199" s="488"/>
      <c r="K1199" s="488"/>
      <c r="L1199" s="488"/>
      <c r="M1199" s="488"/>
      <c r="N1199" s="488"/>
      <c r="O1199" s="488"/>
      <c r="P1199" s="488"/>
      <c r="Q1199" s="488"/>
      <c r="R1199" s="488"/>
      <c r="S1199" s="488"/>
      <c r="T1199" s="488"/>
      <c r="U1199" s="488"/>
      <c r="V1199" s="488"/>
      <c r="W1199" s="488"/>
      <c r="X1199" s="488"/>
      <c r="Y1199" s="488"/>
      <c r="Z1199" s="488"/>
      <c r="AA1199" s="488"/>
      <c r="AB1199" s="488"/>
      <c r="AC1199" s="488"/>
      <c r="AD1199" s="488"/>
      <c r="AE1199" s="488"/>
      <c r="AF1199" s="488"/>
      <c r="AG1199" s="488"/>
      <c r="AH1199" s="488"/>
      <c r="AI1199" s="488"/>
      <c r="AJ1199" s="488"/>
    </row>
    <row r="1200" spans="1:36" s="496" customFormat="1">
      <c r="A1200" s="488"/>
      <c r="C1200" s="488"/>
      <c r="D1200" s="488"/>
      <c r="E1200" s="488"/>
      <c r="F1200" s="488"/>
      <c r="G1200" s="488"/>
      <c r="H1200" s="488"/>
      <c r="I1200" s="488"/>
      <c r="J1200" s="488"/>
      <c r="K1200" s="488"/>
      <c r="L1200" s="488"/>
      <c r="M1200" s="488"/>
      <c r="N1200" s="488"/>
      <c r="O1200" s="488"/>
      <c r="P1200" s="488"/>
      <c r="Q1200" s="488"/>
      <c r="R1200" s="488"/>
      <c r="S1200" s="488"/>
      <c r="T1200" s="488"/>
      <c r="U1200" s="488"/>
      <c r="V1200" s="488"/>
      <c r="W1200" s="488"/>
      <c r="X1200" s="488"/>
      <c r="Y1200" s="488"/>
      <c r="Z1200" s="488"/>
      <c r="AA1200" s="488"/>
      <c r="AB1200" s="488"/>
      <c r="AC1200" s="488"/>
      <c r="AD1200" s="488"/>
      <c r="AE1200" s="488"/>
      <c r="AF1200" s="488"/>
      <c r="AG1200" s="488"/>
      <c r="AH1200" s="488"/>
      <c r="AI1200" s="488"/>
      <c r="AJ1200" s="488"/>
    </row>
    <row r="1201" spans="1:36" s="496" customFormat="1">
      <c r="A1201" s="488"/>
      <c r="C1201" s="488"/>
      <c r="D1201" s="488"/>
      <c r="E1201" s="488"/>
      <c r="F1201" s="488"/>
      <c r="G1201" s="488"/>
      <c r="H1201" s="488"/>
      <c r="I1201" s="488"/>
      <c r="J1201" s="488"/>
      <c r="K1201" s="488"/>
      <c r="L1201" s="488"/>
      <c r="M1201" s="488"/>
      <c r="N1201" s="488"/>
      <c r="O1201" s="488"/>
      <c r="P1201" s="488"/>
      <c r="Q1201" s="488"/>
      <c r="R1201" s="488"/>
      <c r="S1201" s="488"/>
      <c r="T1201" s="488"/>
      <c r="U1201" s="488"/>
      <c r="V1201" s="488"/>
      <c r="W1201" s="488"/>
      <c r="X1201" s="488"/>
      <c r="Y1201" s="488"/>
      <c r="Z1201" s="488"/>
      <c r="AA1201" s="488"/>
      <c r="AB1201" s="488"/>
      <c r="AC1201" s="488"/>
      <c r="AD1201" s="488"/>
      <c r="AE1201" s="488"/>
      <c r="AF1201" s="488"/>
      <c r="AG1201" s="488"/>
      <c r="AH1201" s="488"/>
      <c r="AI1201" s="488"/>
      <c r="AJ1201" s="488"/>
    </row>
    <row r="1202" spans="1:36" s="496" customFormat="1">
      <c r="A1202" s="488"/>
      <c r="C1202" s="488"/>
      <c r="D1202" s="488"/>
      <c r="E1202" s="488"/>
      <c r="F1202" s="488"/>
      <c r="G1202" s="488"/>
      <c r="H1202" s="488"/>
      <c r="I1202" s="488"/>
      <c r="J1202" s="488"/>
      <c r="K1202" s="488"/>
      <c r="L1202" s="488"/>
      <c r="M1202" s="488"/>
      <c r="N1202" s="488"/>
      <c r="O1202" s="488"/>
      <c r="P1202" s="488"/>
      <c r="Q1202" s="488"/>
      <c r="R1202" s="488"/>
      <c r="S1202" s="488"/>
      <c r="T1202" s="488"/>
      <c r="U1202" s="488"/>
      <c r="V1202" s="488"/>
      <c r="W1202" s="488"/>
      <c r="X1202" s="488"/>
      <c r="Y1202" s="488"/>
      <c r="Z1202" s="488"/>
      <c r="AA1202" s="488"/>
      <c r="AB1202" s="488"/>
      <c r="AC1202" s="488"/>
      <c r="AD1202" s="488"/>
      <c r="AE1202" s="488"/>
      <c r="AF1202" s="488"/>
      <c r="AG1202" s="488"/>
      <c r="AH1202" s="488"/>
      <c r="AI1202" s="488"/>
      <c r="AJ1202" s="488"/>
    </row>
    <row r="1203" spans="1:36" s="496" customFormat="1">
      <c r="A1203" s="488"/>
      <c r="C1203" s="488"/>
      <c r="D1203" s="488"/>
      <c r="E1203" s="488"/>
      <c r="F1203" s="488"/>
      <c r="G1203" s="488"/>
      <c r="H1203" s="488"/>
      <c r="I1203" s="488"/>
      <c r="J1203" s="488"/>
      <c r="K1203" s="488"/>
      <c r="L1203" s="488"/>
      <c r="M1203" s="488"/>
      <c r="N1203" s="488"/>
      <c r="O1203" s="488"/>
      <c r="P1203" s="488"/>
      <c r="Q1203" s="488"/>
      <c r="R1203" s="488"/>
      <c r="S1203" s="488"/>
      <c r="T1203" s="488"/>
      <c r="U1203" s="488"/>
      <c r="V1203" s="488"/>
      <c r="W1203" s="488"/>
      <c r="X1203" s="488"/>
      <c r="Y1203" s="488"/>
      <c r="Z1203" s="488"/>
      <c r="AA1203" s="488"/>
      <c r="AB1203" s="488"/>
      <c r="AC1203" s="488"/>
      <c r="AD1203" s="488"/>
      <c r="AE1203" s="488"/>
      <c r="AF1203" s="488"/>
      <c r="AG1203" s="488"/>
      <c r="AH1203" s="488"/>
      <c r="AI1203" s="488"/>
      <c r="AJ1203" s="488"/>
    </row>
    <row r="1204" spans="1:36" s="496" customFormat="1">
      <c r="A1204" s="488"/>
      <c r="C1204" s="488"/>
      <c r="D1204" s="488"/>
      <c r="E1204" s="488"/>
      <c r="F1204" s="488"/>
      <c r="G1204" s="488"/>
      <c r="H1204" s="488"/>
      <c r="I1204" s="488"/>
      <c r="J1204" s="488"/>
      <c r="K1204" s="488"/>
      <c r="L1204" s="488"/>
      <c r="M1204" s="488"/>
      <c r="N1204" s="488"/>
      <c r="O1204" s="488"/>
      <c r="P1204" s="488"/>
      <c r="Q1204" s="488"/>
      <c r="R1204" s="488"/>
      <c r="S1204" s="488"/>
      <c r="T1204" s="488"/>
      <c r="U1204" s="488"/>
      <c r="V1204" s="488"/>
      <c r="W1204" s="488"/>
      <c r="X1204" s="488"/>
      <c r="Y1204" s="488"/>
      <c r="Z1204" s="488"/>
      <c r="AA1204" s="488"/>
      <c r="AB1204" s="488"/>
      <c r="AC1204" s="488"/>
      <c r="AD1204" s="488"/>
      <c r="AE1204" s="488"/>
      <c r="AF1204" s="488"/>
      <c r="AG1204" s="488"/>
      <c r="AH1204" s="488"/>
      <c r="AI1204" s="488"/>
      <c r="AJ1204" s="488"/>
    </row>
    <row r="1205" spans="1:36" s="496" customFormat="1">
      <c r="A1205" s="488"/>
      <c r="C1205" s="488"/>
      <c r="D1205" s="488"/>
      <c r="E1205" s="488"/>
      <c r="F1205" s="488"/>
      <c r="G1205" s="488"/>
      <c r="H1205" s="488"/>
      <c r="I1205" s="488"/>
      <c r="J1205" s="488"/>
      <c r="K1205" s="488"/>
      <c r="L1205" s="488"/>
      <c r="M1205" s="488"/>
      <c r="N1205" s="488"/>
      <c r="O1205" s="488"/>
      <c r="P1205" s="488"/>
      <c r="Q1205" s="488"/>
      <c r="R1205" s="488"/>
      <c r="S1205" s="488"/>
      <c r="T1205" s="488"/>
      <c r="U1205" s="488"/>
      <c r="V1205" s="488"/>
      <c r="W1205" s="488"/>
      <c r="X1205" s="488"/>
      <c r="Y1205" s="488"/>
      <c r="Z1205" s="488"/>
      <c r="AA1205" s="488"/>
      <c r="AB1205" s="488"/>
      <c r="AC1205" s="488"/>
      <c r="AD1205" s="488"/>
      <c r="AE1205" s="488"/>
      <c r="AF1205" s="488"/>
      <c r="AG1205" s="488"/>
      <c r="AH1205" s="488"/>
      <c r="AI1205" s="488"/>
      <c r="AJ1205" s="488"/>
    </row>
    <row r="1206" spans="1:36" s="496" customFormat="1">
      <c r="A1206" s="488"/>
      <c r="C1206" s="488"/>
      <c r="D1206" s="488"/>
      <c r="E1206" s="488"/>
      <c r="F1206" s="488"/>
      <c r="G1206" s="488"/>
      <c r="H1206" s="488"/>
      <c r="I1206" s="488"/>
      <c r="J1206" s="488"/>
      <c r="K1206" s="488"/>
      <c r="L1206" s="488"/>
      <c r="M1206" s="488"/>
      <c r="N1206" s="488"/>
      <c r="O1206" s="488"/>
      <c r="P1206" s="488"/>
      <c r="Q1206" s="488"/>
      <c r="R1206" s="488"/>
      <c r="S1206" s="488"/>
      <c r="T1206" s="488"/>
      <c r="U1206" s="488"/>
      <c r="V1206" s="488"/>
      <c r="W1206" s="488"/>
      <c r="X1206" s="488"/>
      <c r="Y1206" s="488"/>
      <c r="Z1206" s="488"/>
      <c r="AA1206" s="488"/>
      <c r="AB1206" s="488"/>
      <c r="AC1206" s="488"/>
      <c r="AD1206" s="488"/>
      <c r="AE1206" s="488"/>
      <c r="AF1206" s="488"/>
      <c r="AG1206" s="488"/>
      <c r="AH1206" s="488"/>
      <c r="AI1206" s="488"/>
      <c r="AJ1206" s="488"/>
    </row>
    <row r="1207" spans="1:36" s="496" customFormat="1">
      <c r="A1207" s="488"/>
      <c r="C1207" s="488"/>
      <c r="D1207" s="488"/>
      <c r="E1207" s="488"/>
      <c r="F1207" s="488"/>
      <c r="G1207" s="488"/>
      <c r="H1207" s="488"/>
      <c r="I1207" s="488"/>
      <c r="J1207" s="488"/>
      <c r="K1207" s="488"/>
      <c r="L1207" s="488"/>
      <c r="M1207" s="488"/>
      <c r="N1207" s="488"/>
      <c r="O1207" s="488"/>
      <c r="P1207" s="488"/>
      <c r="Q1207" s="488"/>
      <c r="R1207" s="488"/>
      <c r="S1207" s="488"/>
      <c r="T1207" s="488"/>
      <c r="U1207" s="488"/>
      <c r="V1207" s="488"/>
      <c r="W1207" s="488"/>
      <c r="X1207" s="488"/>
      <c r="Y1207" s="488"/>
      <c r="Z1207" s="488"/>
      <c r="AA1207" s="488"/>
      <c r="AB1207" s="488"/>
      <c r="AC1207" s="488"/>
      <c r="AD1207" s="488"/>
      <c r="AE1207" s="488"/>
      <c r="AF1207" s="488"/>
      <c r="AG1207" s="488"/>
      <c r="AH1207" s="488"/>
      <c r="AI1207" s="488"/>
      <c r="AJ1207" s="488"/>
    </row>
    <row r="1208" spans="1:36" s="496" customFormat="1">
      <c r="A1208" s="488"/>
      <c r="C1208" s="488"/>
      <c r="D1208" s="488"/>
      <c r="E1208" s="488"/>
      <c r="F1208" s="488"/>
      <c r="G1208" s="488"/>
      <c r="H1208" s="488"/>
      <c r="I1208" s="488"/>
      <c r="J1208" s="488"/>
      <c r="K1208" s="488"/>
      <c r="L1208" s="488"/>
      <c r="M1208" s="488"/>
      <c r="N1208" s="488"/>
      <c r="O1208" s="488"/>
      <c r="P1208" s="488"/>
      <c r="Q1208" s="488"/>
      <c r="R1208" s="488"/>
      <c r="S1208" s="488"/>
      <c r="T1208" s="488"/>
      <c r="U1208" s="488"/>
      <c r="V1208" s="488"/>
      <c r="W1208" s="488"/>
      <c r="X1208" s="488"/>
      <c r="Y1208" s="488"/>
      <c r="Z1208" s="488"/>
      <c r="AA1208" s="488"/>
      <c r="AB1208" s="488"/>
      <c r="AC1208" s="488"/>
      <c r="AD1208" s="488"/>
      <c r="AE1208" s="488"/>
      <c r="AF1208" s="488"/>
      <c r="AG1208" s="488"/>
      <c r="AH1208" s="488"/>
      <c r="AI1208" s="488"/>
      <c r="AJ1208" s="488"/>
    </row>
    <row r="1209" spans="1:36" s="496" customFormat="1">
      <c r="A1209" s="488"/>
      <c r="C1209" s="488"/>
      <c r="D1209" s="488"/>
      <c r="E1209" s="488"/>
      <c r="F1209" s="488"/>
      <c r="G1209" s="488"/>
      <c r="H1209" s="488"/>
      <c r="I1209" s="488"/>
      <c r="J1209" s="488"/>
      <c r="K1209" s="488"/>
      <c r="L1209" s="488"/>
      <c r="M1209" s="488"/>
      <c r="N1209" s="488"/>
      <c r="O1209" s="488"/>
      <c r="P1209" s="488"/>
      <c r="Q1209" s="488"/>
      <c r="R1209" s="488"/>
      <c r="S1209" s="488"/>
      <c r="T1209" s="488"/>
      <c r="U1209" s="488"/>
      <c r="V1209" s="488"/>
      <c r="W1209" s="488"/>
      <c r="X1209" s="488"/>
      <c r="Y1209" s="488"/>
      <c r="Z1209" s="488"/>
      <c r="AA1209" s="488"/>
      <c r="AB1209" s="488"/>
      <c r="AC1209" s="488"/>
      <c r="AD1209" s="488"/>
      <c r="AE1209" s="488"/>
      <c r="AF1209" s="488"/>
      <c r="AG1209" s="488"/>
      <c r="AH1209" s="488"/>
      <c r="AI1209" s="488"/>
      <c r="AJ1209" s="488"/>
    </row>
    <row r="1210" spans="1:36" s="496" customFormat="1">
      <c r="A1210" s="488"/>
      <c r="C1210" s="488"/>
      <c r="D1210" s="488"/>
      <c r="E1210" s="488"/>
      <c r="F1210" s="488"/>
      <c r="G1210" s="488"/>
      <c r="H1210" s="488"/>
      <c r="I1210" s="488"/>
      <c r="J1210" s="488"/>
      <c r="K1210" s="488"/>
      <c r="L1210" s="488"/>
      <c r="M1210" s="488"/>
      <c r="N1210" s="488"/>
      <c r="O1210" s="488"/>
      <c r="P1210" s="488"/>
      <c r="Q1210" s="488"/>
      <c r="R1210" s="488"/>
      <c r="S1210" s="488"/>
      <c r="T1210" s="488"/>
      <c r="U1210" s="488"/>
      <c r="V1210" s="488"/>
      <c r="W1210" s="488"/>
      <c r="X1210" s="488"/>
      <c r="Y1210" s="488"/>
      <c r="Z1210" s="488"/>
      <c r="AA1210" s="488"/>
      <c r="AB1210" s="488"/>
      <c r="AC1210" s="488"/>
      <c r="AD1210" s="488"/>
      <c r="AE1210" s="488"/>
      <c r="AF1210" s="488"/>
      <c r="AG1210" s="488"/>
      <c r="AH1210" s="488"/>
      <c r="AI1210" s="488"/>
      <c r="AJ1210" s="488"/>
    </row>
    <row r="1211" spans="1:36" s="496" customFormat="1">
      <c r="A1211" s="488"/>
      <c r="C1211" s="488"/>
      <c r="D1211" s="488"/>
      <c r="E1211" s="488"/>
      <c r="F1211" s="488"/>
      <c r="G1211" s="488"/>
      <c r="H1211" s="488"/>
      <c r="I1211" s="488"/>
      <c r="J1211" s="488"/>
      <c r="K1211" s="488"/>
      <c r="L1211" s="488"/>
      <c r="M1211" s="488"/>
      <c r="N1211" s="488"/>
      <c r="O1211" s="488"/>
      <c r="P1211" s="488"/>
      <c r="Q1211" s="488"/>
      <c r="R1211" s="488"/>
      <c r="S1211" s="488"/>
      <c r="T1211" s="488"/>
      <c r="U1211" s="488"/>
      <c r="V1211" s="488"/>
      <c r="W1211" s="488"/>
      <c r="X1211" s="488"/>
      <c r="Y1211" s="488"/>
      <c r="Z1211" s="488"/>
      <c r="AA1211" s="488"/>
      <c r="AB1211" s="488"/>
      <c r="AC1211" s="488"/>
      <c r="AD1211" s="488"/>
      <c r="AE1211" s="488"/>
      <c r="AF1211" s="488"/>
      <c r="AG1211" s="488"/>
      <c r="AH1211" s="488"/>
      <c r="AI1211" s="488"/>
      <c r="AJ1211" s="488"/>
    </row>
    <row r="1212" spans="1:36" s="496" customFormat="1">
      <c r="A1212" s="488"/>
      <c r="C1212" s="488"/>
      <c r="D1212" s="488"/>
      <c r="E1212" s="488"/>
      <c r="F1212" s="488"/>
      <c r="G1212" s="488"/>
      <c r="H1212" s="488"/>
      <c r="I1212" s="488"/>
      <c r="J1212" s="488"/>
      <c r="K1212" s="488"/>
      <c r="L1212" s="488"/>
      <c r="M1212" s="488"/>
      <c r="N1212" s="488"/>
      <c r="O1212" s="488"/>
      <c r="P1212" s="488"/>
      <c r="Q1212" s="488"/>
      <c r="R1212" s="488"/>
      <c r="S1212" s="488"/>
      <c r="T1212" s="488"/>
      <c r="U1212" s="488"/>
      <c r="V1212" s="488"/>
      <c r="W1212" s="488"/>
      <c r="X1212" s="488"/>
      <c r="Y1212" s="488"/>
      <c r="Z1212" s="488"/>
      <c r="AA1212" s="488"/>
      <c r="AB1212" s="488"/>
      <c r="AC1212" s="488"/>
      <c r="AD1212" s="488"/>
      <c r="AE1212" s="488"/>
      <c r="AF1212" s="488"/>
      <c r="AG1212" s="488"/>
      <c r="AH1212" s="488"/>
      <c r="AI1212" s="488"/>
      <c r="AJ1212" s="488"/>
    </row>
    <row r="1213" spans="1:36" s="496" customFormat="1">
      <c r="A1213" s="488"/>
      <c r="C1213" s="488"/>
      <c r="D1213" s="488"/>
      <c r="E1213" s="488"/>
      <c r="F1213" s="488"/>
      <c r="G1213" s="488"/>
      <c r="H1213" s="488"/>
      <c r="I1213" s="488"/>
      <c r="J1213" s="488"/>
      <c r="K1213" s="488"/>
      <c r="L1213" s="488"/>
      <c r="M1213" s="488"/>
      <c r="N1213" s="488"/>
      <c r="O1213" s="488"/>
      <c r="P1213" s="488"/>
      <c r="Q1213" s="488"/>
      <c r="R1213" s="488"/>
      <c r="S1213" s="488"/>
      <c r="T1213" s="488"/>
      <c r="U1213" s="488"/>
      <c r="V1213" s="488"/>
      <c r="W1213" s="488"/>
      <c r="X1213" s="488"/>
      <c r="Y1213" s="488"/>
      <c r="Z1213" s="488"/>
      <c r="AA1213" s="488"/>
      <c r="AB1213" s="488"/>
      <c r="AC1213" s="488"/>
      <c r="AD1213" s="488"/>
      <c r="AE1213" s="488"/>
      <c r="AF1213" s="488"/>
      <c r="AG1213" s="488"/>
      <c r="AH1213" s="488"/>
      <c r="AI1213" s="488"/>
      <c r="AJ1213" s="488"/>
    </row>
    <row r="1214" spans="1:36" s="496" customFormat="1">
      <c r="A1214" s="488"/>
      <c r="C1214" s="488"/>
      <c r="D1214" s="488"/>
      <c r="E1214" s="488"/>
      <c r="F1214" s="488"/>
      <c r="G1214" s="488"/>
      <c r="H1214" s="488"/>
      <c r="I1214" s="488"/>
      <c r="J1214" s="488"/>
      <c r="K1214" s="488"/>
      <c r="L1214" s="488"/>
      <c r="M1214" s="488"/>
      <c r="N1214" s="488"/>
      <c r="O1214" s="488"/>
      <c r="P1214" s="488"/>
      <c r="Q1214" s="488"/>
      <c r="R1214" s="488"/>
      <c r="S1214" s="488"/>
      <c r="T1214" s="488"/>
      <c r="U1214" s="488"/>
      <c r="V1214" s="488"/>
      <c r="W1214" s="488"/>
      <c r="X1214" s="488"/>
      <c r="Y1214" s="488"/>
      <c r="Z1214" s="488"/>
      <c r="AA1214" s="488"/>
      <c r="AB1214" s="488"/>
      <c r="AC1214" s="488"/>
      <c r="AD1214" s="488"/>
      <c r="AE1214" s="488"/>
      <c r="AF1214" s="488"/>
      <c r="AG1214" s="488"/>
      <c r="AH1214" s="488"/>
      <c r="AI1214" s="488"/>
      <c r="AJ1214" s="488"/>
    </row>
    <row r="1215" spans="1:36" s="496" customFormat="1">
      <c r="A1215" s="488"/>
      <c r="C1215" s="488"/>
      <c r="D1215" s="488"/>
      <c r="E1215" s="488"/>
      <c r="F1215" s="488"/>
      <c r="G1215" s="488"/>
      <c r="H1215" s="488"/>
      <c r="I1215" s="488"/>
      <c r="J1215" s="488"/>
      <c r="K1215" s="488"/>
      <c r="L1215" s="488"/>
      <c r="M1215" s="488"/>
      <c r="N1215" s="488"/>
      <c r="O1215" s="488"/>
      <c r="P1215" s="488"/>
      <c r="Q1215" s="488"/>
      <c r="R1215" s="488"/>
      <c r="S1215" s="488"/>
      <c r="T1215" s="488"/>
      <c r="U1215" s="488"/>
      <c r="V1215" s="488"/>
      <c r="W1215" s="488"/>
      <c r="X1215" s="488"/>
      <c r="Y1215" s="488"/>
      <c r="Z1215" s="488"/>
      <c r="AA1215" s="488"/>
      <c r="AB1215" s="488"/>
      <c r="AC1215" s="488"/>
      <c r="AD1215" s="488"/>
      <c r="AE1215" s="488"/>
      <c r="AF1215" s="488"/>
      <c r="AG1215" s="488"/>
      <c r="AH1215" s="488"/>
      <c r="AI1215" s="488"/>
      <c r="AJ1215" s="488"/>
    </row>
    <row r="1216" spans="1:36" s="496" customFormat="1">
      <c r="A1216" s="488"/>
      <c r="C1216" s="488"/>
      <c r="D1216" s="488"/>
      <c r="E1216" s="488"/>
      <c r="F1216" s="488"/>
      <c r="G1216" s="488"/>
      <c r="H1216" s="488"/>
      <c r="I1216" s="488"/>
      <c r="J1216" s="488"/>
      <c r="K1216" s="488"/>
      <c r="L1216" s="488"/>
      <c r="M1216" s="488"/>
      <c r="N1216" s="488"/>
      <c r="O1216" s="488"/>
      <c r="P1216" s="488"/>
      <c r="Q1216" s="488"/>
      <c r="R1216" s="488"/>
      <c r="S1216" s="488"/>
      <c r="T1216" s="488"/>
      <c r="U1216" s="488"/>
      <c r="V1216" s="488"/>
      <c r="W1216" s="488"/>
      <c r="X1216" s="488"/>
      <c r="Y1216" s="488"/>
      <c r="Z1216" s="488"/>
      <c r="AA1216" s="488"/>
      <c r="AB1216" s="488"/>
      <c r="AC1216" s="488"/>
      <c r="AD1216" s="488"/>
      <c r="AE1216" s="488"/>
      <c r="AF1216" s="488"/>
      <c r="AG1216" s="488"/>
      <c r="AH1216" s="488"/>
      <c r="AI1216" s="488"/>
      <c r="AJ1216" s="488"/>
    </row>
    <row r="1217" spans="1:36" s="496" customFormat="1">
      <c r="A1217" s="488"/>
      <c r="C1217" s="488"/>
      <c r="D1217" s="488"/>
      <c r="E1217" s="488"/>
      <c r="F1217" s="488"/>
      <c r="G1217" s="488"/>
      <c r="H1217" s="488"/>
      <c r="I1217" s="488"/>
      <c r="J1217" s="488"/>
      <c r="K1217" s="488"/>
      <c r="L1217" s="488"/>
      <c r="M1217" s="488"/>
      <c r="N1217" s="488"/>
      <c r="O1217" s="488"/>
      <c r="P1217" s="488"/>
      <c r="Q1217" s="488"/>
      <c r="R1217" s="488"/>
      <c r="S1217" s="488"/>
      <c r="T1217" s="488"/>
      <c r="U1217" s="488"/>
      <c r="V1217" s="488"/>
      <c r="W1217" s="488"/>
      <c r="X1217" s="488"/>
      <c r="Y1217" s="488"/>
      <c r="Z1217" s="488"/>
      <c r="AA1217" s="488"/>
      <c r="AB1217" s="488"/>
      <c r="AC1217" s="488"/>
      <c r="AD1217" s="488"/>
      <c r="AE1217" s="488"/>
      <c r="AF1217" s="488"/>
      <c r="AG1217" s="488"/>
      <c r="AH1217" s="488"/>
      <c r="AI1217" s="488"/>
      <c r="AJ1217" s="488"/>
    </row>
    <row r="1218" spans="1:36" s="496" customFormat="1">
      <c r="A1218" s="488"/>
      <c r="C1218" s="488"/>
      <c r="D1218" s="488"/>
      <c r="E1218" s="488"/>
      <c r="F1218" s="488"/>
      <c r="G1218" s="488"/>
      <c r="H1218" s="488"/>
      <c r="I1218" s="488"/>
      <c r="J1218" s="488"/>
      <c r="K1218" s="488"/>
      <c r="L1218" s="488"/>
      <c r="M1218" s="488"/>
      <c r="N1218" s="488"/>
      <c r="O1218" s="488"/>
      <c r="P1218" s="488"/>
      <c r="Q1218" s="488"/>
      <c r="R1218" s="488"/>
      <c r="S1218" s="488"/>
      <c r="T1218" s="488"/>
      <c r="U1218" s="488"/>
      <c r="V1218" s="488"/>
      <c r="W1218" s="488"/>
      <c r="X1218" s="488"/>
      <c r="Y1218" s="488"/>
      <c r="Z1218" s="488"/>
      <c r="AA1218" s="488"/>
      <c r="AB1218" s="488"/>
      <c r="AC1218" s="488"/>
      <c r="AD1218" s="488"/>
      <c r="AE1218" s="488"/>
      <c r="AF1218" s="488"/>
      <c r="AG1218" s="488"/>
      <c r="AH1218" s="488"/>
      <c r="AI1218" s="488"/>
      <c r="AJ1218" s="488"/>
    </row>
    <row r="1219" spans="1:36" s="496" customFormat="1">
      <c r="A1219" s="488"/>
      <c r="C1219" s="488"/>
      <c r="D1219" s="488"/>
      <c r="E1219" s="488"/>
      <c r="F1219" s="488"/>
      <c r="G1219" s="488"/>
      <c r="H1219" s="488"/>
      <c r="I1219" s="488"/>
      <c r="J1219" s="488"/>
      <c r="K1219" s="488"/>
      <c r="L1219" s="488"/>
      <c r="M1219" s="488"/>
      <c r="N1219" s="488"/>
      <c r="O1219" s="488"/>
      <c r="P1219" s="488"/>
      <c r="Q1219" s="488"/>
      <c r="R1219" s="488"/>
      <c r="S1219" s="488"/>
      <c r="T1219" s="488"/>
      <c r="U1219" s="488"/>
      <c r="V1219" s="488"/>
      <c r="W1219" s="488"/>
      <c r="X1219" s="488"/>
      <c r="Y1219" s="488"/>
      <c r="Z1219" s="488"/>
      <c r="AA1219" s="488"/>
      <c r="AB1219" s="488"/>
      <c r="AC1219" s="488"/>
      <c r="AD1219" s="488"/>
      <c r="AE1219" s="488"/>
      <c r="AF1219" s="488"/>
      <c r="AG1219" s="488"/>
      <c r="AH1219" s="488"/>
      <c r="AI1219" s="488"/>
      <c r="AJ1219" s="488"/>
    </row>
    <row r="1220" spans="1:36" s="496" customFormat="1">
      <c r="A1220" s="488"/>
      <c r="C1220" s="488"/>
      <c r="D1220" s="488"/>
      <c r="E1220" s="488"/>
      <c r="F1220" s="488"/>
      <c r="G1220" s="488"/>
      <c r="H1220" s="488"/>
      <c r="I1220" s="488"/>
      <c r="J1220" s="488"/>
      <c r="K1220" s="488"/>
      <c r="L1220" s="488"/>
      <c r="M1220" s="488"/>
      <c r="N1220" s="488"/>
      <c r="O1220" s="488"/>
      <c r="P1220" s="488"/>
      <c r="Q1220" s="488"/>
      <c r="R1220" s="488"/>
      <c r="S1220" s="488"/>
      <c r="T1220" s="488"/>
      <c r="U1220" s="488"/>
      <c r="V1220" s="488"/>
      <c r="W1220" s="488"/>
      <c r="X1220" s="488"/>
      <c r="Y1220" s="488"/>
      <c r="Z1220" s="488"/>
      <c r="AA1220" s="488"/>
      <c r="AB1220" s="488"/>
      <c r="AC1220" s="488"/>
      <c r="AD1220" s="488"/>
      <c r="AE1220" s="488"/>
      <c r="AF1220" s="488"/>
      <c r="AG1220" s="488"/>
      <c r="AH1220" s="488"/>
      <c r="AI1220" s="488"/>
      <c r="AJ1220" s="488"/>
    </row>
    <row r="1221" spans="1:36" s="496" customFormat="1">
      <c r="A1221" s="488"/>
      <c r="C1221" s="488"/>
      <c r="D1221" s="488"/>
      <c r="E1221" s="488"/>
      <c r="F1221" s="488"/>
      <c r="G1221" s="488"/>
      <c r="H1221" s="488"/>
      <c r="I1221" s="488"/>
      <c r="J1221" s="488"/>
      <c r="K1221" s="488"/>
      <c r="L1221" s="488"/>
      <c r="M1221" s="488"/>
      <c r="N1221" s="488"/>
      <c r="O1221" s="488"/>
      <c r="P1221" s="488"/>
      <c r="Q1221" s="488"/>
      <c r="R1221" s="488"/>
      <c r="S1221" s="488"/>
      <c r="T1221" s="488"/>
      <c r="U1221" s="488"/>
      <c r="V1221" s="488"/>
      <c r="W1221" s="488"/>
      <c r="X1221" s="488"/>
      <c r="Y1221" s="488"/>
      <c r="Z1221" s="488"/>
      <c r="AA1221" s="488"/>
      <c r="AB1221" s="488"/>
      <c r="AC1221" s="488"/>
      <c r="AD1221" s="488"/>
      <c r="AE1221" s="488"/>
      <c r="AF1221" s="488"/>
      <c r="AG1221" s="488"/>
      <c r="AH1221" s="488"/>
      <c r="AI1221" s="488"/>
      <c r="AJ1221" s="488"/>
    </row>
    <row r="1222" spans="1:36" s="496" customFormat="1">
      <c r="A1222" s="488"/>
      <c r="C1222" s="488"/>
      <c r="D1222" s="488"/>
      <c r="E1222" s="488"/>
      <c r="F1222" s="488"/>
      <c r="G1222" s="488"/>
      <c r="H1222" s="488"/>
      <c r="I1222" s="488"/>
      <c r="J1222" s="488"/>
      <c r="K1222" s="488"/>
      <c r="L1222" s="488"/>
      <c r="M1222" s="488"/>
      <c r="N1222" s="488"/>
      <c r="O1222" s="488"/>
      <c r="P1222" s="488"/>
      <c r="Q1222" s="488"/>
      <c r="R1222" s="488"/>
      <c r="S1222" s="488"/>
      <c r="T1222" s="488"/>
      <c r="U1222" s="488"/>
      <c r="V1222" s="488"/>
      <c r="W1222" s="488"/>
      <c r="X1222" s="488"/>
      <c r="Y1222" s="488"/>
      <c r="Z1222" s="488"/>
      <c r="AA1222" s="488"/>
      <c r="AB1222" s="488"/>
      <c r="AC1222" s="488"/>
      <c r="AD1222" s="488"/>
      <c r="AE1222" s="488"/>
      <c r="AF1222" s="488"/>
      <c r="AG1222" s="488"/>
      <c r="AH1222" s="488"/>
      <c r="AI1222" s="488"/>
      <c r="AJ1222" s="488"/>
    </row>
    <row r="1223" spans="1:36" s="496" customFormat="1">
      <c r="A1223" s="488"/>
      <c r="C1223" s="488"/>
      <c r="D1223" s="488"/>
      <c r="E1223" s="488"/>
      <c r="F1223" s="488"/>
      <c r="G1223" s="488"/>
      <c r="H1223" s="488"/>
      <c r="I1223" s="488"/>
      <c r="J1223" s="488"/>
      <c r="K1223" s="488"/>
      <c r="L1223" s="488"/>
      <c r="M1223" s="488"/>
      <c r="N1223" s="488"/>
      <c r="O1223" s="488"/>
      <c r="P1223" s="488"/>
      <c r="Q1223" s="488"/>
      <c r="R1223" s="488"/>
      <c r="S1223" s="488"/>
      <c r="T1223" s="488"/>
      <c r="U1223" s="488"/>
      <c r="V1223" s="488"/>
      <c r="W1223" s="488"/>
      <c r="X1223" s="488"/>
      <c r="Y1223" s="488"/>
      <c r="Z1223" s="488"/>
      <c r="AA1223" s="488"/>
      <c r="AB1223" s="488"/>
      <c r="AC1223" s="488"/>
      <c r="AD1223" s="488"/>
      <c r="AE1223" s="488"/>
      <c r="AF1223" s="488"/>
      <c r="AG1223" s="488"/>
      <c r="AH1223" s="488"/>
      <c r="AI1223" s="488"/>
      <c r="AJ1223" s="488"/>
    </row>
    <row r="1224" spans="1:36" s="496" customFormat="1">
      <c r="A1224" s="488"/>
      <c r="C1224" s="488"/>
      <c r="D1224" s="488"/>
      <c r="E1224" s="488"/>
      <c r="F1224" s="488"/>
      <c r="G1224" s="488"/>
      <c r="H1224" s="488"/>
      <c r="I1224" s="488"/>
      <c r="J1224" s="488"/>
      <c r="K1224" s="488"/>
      <c r="L1224" s="488"/>
      <c r="M1224" s="488"/>
      <c r="N1224" s="488"/>
      <c r="O1224" s="488"/>
      <c r="P1224" s="488"/>
      <c r="Q1224" s="488"/>
      <c r="R1224" s="488"/>
      <c r="S1224" s="488"/>
      <c r="T1224" s="488"/>
      <c r="U1224" s="488"/>
      <c r="V1224" s="488"/>
      <c r="W1224" s="488"/>
      <c r="X1224" s="488"/>
      <c r="Y1224" s="488"/>
      <c r="Z1224" s="488"/>
      <c r="AA1224" s="488"/>
      <c r="AB1224" s="488"/>
      <c r="AC1224" s="488"/>
      <c r="AD1224" s="488"/>
      <c r="AE1224" s="488"/>
      <c r="AF1224" s="488"/>
      <c r="AG1224" s="488"/>
      <c r="AH1224" s="488"/>
      <c r="AI1224" s="488"/>
      <c r="AJ1224" s="488"/>
    </row>
    <row r="1225" spans="1:36" s="496" customFormat="1">
      <c r="A1225" s="488"/>
      <c r="C1225" s="488"/>
      <c r="D1225" s="488"/>
      <c r="E1225" s="488"/>
      <c r="F1225" s="488"/>
      <c r="G1225" s="488"/>
      <c r="H1225" s="488"/>
      <c r="I1225" s="488"/>
      <c r="J1225" s="488"/>
      <c r="K1225" s="488"/>
      <c r="L1225" s="488"/>
      <c r="M1225" s="488"/>
      <c r="N1225" s="488"/>
      <c r="O1225" s="488"/>
      <c r="P1225" s="488"/>
      <c r="Q1225" s="488"/>
      <c r="R1225" s="488"/>
      <c r="S1225" s="488"/>
      <c r="T1225" s="488"/>
      <c r="U1225" s="488"/>
      <c r="V1225" s="488"/>
      <c r="W1225" s="488"/>
      <c r="X1225" s="488"/>
      <c r="Y1225" s="488"/>
      <c r="Z1225" s="488"/>
      <c r="AA1225" s="488"/>
      <c r="AB1225" s="488"/>
      <c r="AC1225" s="488"/>
      <c r="AD1225" s="488"/>
      <c r="AE1225" s="488"/>
      <c r="AF1225" s="488"/>
      <c r="AG1225" s="488"/>
      <c r="AH1225" s="488"/>
      <c r="AI1225" s="488"/>
      <c r="AJ1225" s="488"/>
    </row>
    <row r="1226" spans="1:36" s="496" customFormat="1">
      <c r="A1226" s="488"/>
      <c r="C1226" s="488"/>
      <c r="D1226" s="488"/>
      <c r="E1226" s="488"/>
      <c r="F1226" s="488"/>
      <c r="G1226" s="488"/>
      <c r="H1226" s="488"/>
      <c r="I1226" s="488"/>
      <c r="J1226" s="488"/>
      <c r="K1226" s="488"/>
      <c r="L1226" s="488"/>
      <c r="M1226" s="488"/>
      <c r="N1226" s="488"/>
      <c r="O1226" s="488"/>
      <c r="P1226" s="488"/>
      <c r="Q1226" s="488"/>
      <c r="R1226" s="488"/>
      <c r="S1226" s="488"/>
      <c r="T1226" s="488"/>
      <c r="U1226" s="488"/>
      <c r="V1226" s="488"/>
      <c r="W1226" s="488"/>
      <c r="X1226" s="488"/>
      <c r="Y1226" s="488"/>
      <c r="Z1226" s="488"/>
      <c r="AA1226" s="488"/>
      <c r="AB1226" s="488"/>
      <c r="AC1226" s="488"/>
      <c r="AD1226" s="488"/>
      <c r="AE1226" s="488"/>
      <c r="AF1226" s="488"/>
      <c r="AG1226" s="488"/>
      <c r="AH1226" s="488"/>
      <c r="AI1226" s="488"/>
      <c r="AJ1226" s="488"/>
    </row>
    <row r="1227" spans="1:36" s="496" customFormat="1">
      <c r="A1227" s="488"/>
      <c r="C1227" s="488"/>
      <c r="D1227" s="488"/>
      <c r="E1227" s="488"/>
      <c r="F1227" s="488"/>
      <c r="G1227" s="488"/>
      <c r="H1227" s="488"/>
      <c r="I1227" s="488"/>
      <c r="J1227" s="488"/>
      <c r="K1227" s="488"/>
      <c r="L1227" s="488"/>
      <c r="M1227" s="488"/>
      <c r="N1227" s="488"/>
      <c r="O1227" s="488"/>
      <c r="P1227" s="488"/>
      <c r="Q1227" s="488"/>
      <c r="R1227" s="488"/>
      <c r="S1227" s="488"/>
      <c r="T1227" s="488"/>
      <c r="U1227" s="488"/>
      <c r="V1227" s="488"/>
      <c r="W1227" s="488"/>
      <c r="X1227" s="488"/>
      <c r="Y1227" s="488"/>
      <c r="Z1227" s="488"/>
      <c r="AA1227" s="488"/>
      <c r="AB1227" s="488"/>
      <c r="AC1227" s="488"/>
      <c r="AD1227" s="488"/>
      <c r="AE1227" s="488"/>
      <c r="AF1227" s="488"/>
      <c r="AG1227" s="488"/>
      <c r="AH1227" s="488"/>
      <c r="AI1227" s="488"/>
      <c r="AJ1227" s="488"/>
    </row>
    <row r="1228" spans="1:36" s="496" customFormat="1">
      <c r="A1228" s="488"/>
      <c r="C1228" s="488"/>
      <c r="D1228" s="488"/>
      <c r="E1228" s="488"/>
      <c r="F1228" s="488"/>
      <c r="G1228" s="488"/>
      <c r="H1228" s="488"/>
      <c r="I1228" s="488"/>
      <c r="J1228" s="488"/>
      <c r="K1228" s="488"/>
      <c r="L1228" s="488"/>
      <c r="M1228" s="488"/>
      <c r="N1228" s="488"/>
      <c r="O1228" s="488"/>
      <c r="P1228" s="488"/>
      <c r="Q1228" s="488"/>
      <c r="R1228" s="488"/>
      <c r="S1228" s="488"/>
      <c r="T1228" s="488"/>
      <c r="U1228" s="488"/>
      <c r="V1228" s="488"/>
      <c r="W1228" s="488"/>
      <c r="X1228" s="488"/>
      <c r="Y1228" s="488"/>
      <c r="Z1228" s="488"/>
      <c r="AA1228" s="488"/>
      <c r="AB1228" s="488"/>
      <c r="AC1228" s="488"/>
      <c r="AD1228" s="488"/>
      <c r="AE1228" s="488"/>
      <c r="AF1228" s="488"/>
      <c r="AG1228" s="488"/>
      <c r="AH1228" s="488"/>
      <c r="AI1228" s="488"/>
      <c r="AJ1228" s="488"/>
    </row>
    <row r="1229" spans="1:36" s="496" customFormat="1">
      <c r="A1229" s="488"/>
      <c r="C1229" s="488"/>
      <c r="D1229" s="488"/>
      <c r="E1229" s="488"/>
      <c r="F1229" s="488"/>
      <c r="G1229" s="488"/>
      <c r="H1229" s="488"/>
      <c r="I1229" s="488"/>
      <c r="J1229" s="488"/>
      <c r="K1229" s="488"/>
      <c r="L1229" s="488"/>
      <c r="M1229" s="488"/>
      <c r="N1229" s="488"/>
      <c r="O1229" s="488"/>
      <c r="P1229" s="488"/>
      <c r="Q1229" s="488"/>
      <c r="R1229" s="488"/>
      <c r="S1229" s="488"/>
      <c r="T1229" s="488"/>
      <c r="U1229" s="488"/>
      <c r="V1229" s="488"/>
      <c r="W1229" s="488"/>
      <c r="X1229" s="488"/>
      <c r="Y1229" s="488"/>
      <c r="Z1229" s="488"/>
      <c r="AA1229" s="488"/>
      <c r="AB1229" s="488"/>
      <c r="AC1229" s="488"/>
      <c r="AD1229" s="488"/>
      <c r="AE1229" s="488"/>
      <c r="AF1229" s="488"/>
      <c r="AG1229" s="488"/>
      <c r="AH1229" s="488"/>
      <c r="AI1229" s="488"/>
      <c r="AJ1229" s="488"/>
    </row>
    <row r="1230" spans="1:36" s="496" customFormat="1">
      <c r="A1230" s="488"/>
      <c r="C1230" s="488"/>
      <c r="D1230" s="488"/>
      <c r="E1230" s="488"/>
      <c r="F1230" s="488"/>
      <c r="G1230" s="488"/>
      <c r="H1230" s="488"/>
      <c r="I1230" s="488"/>
      <c r="J1230" s="488"/>
      <c r="K1230" s="488"/>
      <c r="L1230" s="488"/>
      <c r="M1230" s="488"/>
      <c r="N1230" s="488"/>
      <c r="O1230" s="488"/>
      <c r="P1230" s="488"/>
      <c r="Q1230" s="488"/>
      <c r="R1230" s="488"/>
      <c r="S1230" s="488"/>
      <c r="T1230" s="488"/>
      <c r="U1230" s="488"/>
      <c r="V1230" s="488"/>
      <c r="W1230" s="488"/>
      <c r="X1230" s="488"/>
      <c r="Y1230" s="488"/>
      <c r="Z1230" s="488"/>
      <c r="AA1230" s="488"/>
      <c r="AB1230" s="488"/>
      <c r="AC1230" s="488"/>
      <c r="AD1230" s="488"/>
      <c r="AE1230" s="488"/>
      <c r="AF1230" s="488"/>
      <c r="AG1230" s="488"/>
      <c r="AH1230" s="488"/>
      <c r="AI1230" s="488"/>
      <c r="AJ1230" s="488"/>
    </row>
    <row r="1231" spans="1:36" s="496" customFormat="1">
      <c r="A1231" s="488"/>
      <c r="C1231" s="488"/>
      <c r="D1231" s="488"/>
      <c r="E1231" s="488"/>
      <c r="F1231" s="488"/>
      <c r="G1231" s="488"/>
      <c r="H1231" s="488"/>
      <c r="I1231" s="488"/>
      <c r="J1231" s="488"/>
      <c r="K1231" s="488"/>
      <c r="L1231" s="488"/>
      <c r="M1231" s="488"/>
      <c r="N1231" s="488"/>
      <c r="O1231" s="488"/>
      <c r="P1231" s="488"/>
      <c r="Q1231" s="488"/>
      <c r="R1231" s="488"/>
      <c r="S1231" s="488"/>
      <c r="T1231" s="488"/>
      <c r="U1231" s="488"/>
      <c r="V1231" s="488"/>
      <c r="W1231" s="488"/>
      <c r="X1231" s="488"/>
      <c r="Y1231" s="488"/>
      <c r="Z1231" s="488"/>
      <c r="AA1231" s="488"/>
      <c r="AB1231" s="488"/>
      <c r="AC1231" s="488"/>
      <c r="AD1231" s="488"/>
      <c r="AE1231" s="488"/>
      <c r="AF1231" s="488"/>
      <c r="AG1231" s="488"/>
      <c r="AH1231" s="488"/>
      <c r="AI1231" s="488"/>
      <c r="AJ1231" s="488"/>
    </row>
    <row r="1232" spans="1:36" s="496" customFormat="1">
      <c r="A1232" s="488"/>
      <c r="C1232" s="488"/>
      <c r="D1232" s="488"/>
      <c r="E1232" s="488"/>
      <c r="F1232" s="488"/>
      <c r="G1232" s="488"/>
      <c r="H1232" s="488"/>
      <c r="I1232" s="488"/>
      <c r="J1232" s="488"/>
      <c r="K1232" s="488"/>
      <c r="L1232" s="488"/>
      <c r="M1232" s="488"/>
      <c r="N1232" s="488"/>
      <c r="O1232" s="488"/>
      <c r="P1232" s="488"/>
      <c r="Q1232" s="488"/>
      <c r="R1232" s="488"/>
      <c r="S1232" s="488"/>
      <c r="T1232" s="488"/>
      <c r="U1232" s="488"/>
      <c r="V1232" s="488"/>
      <c r="W1232" s="488"/>
      <c r="X1232" s="488"/>
      <c r="Y1232" s="488"/>
      <c r="Z1232" s="488"/>
      <c r="AA1232" s="488"/>
      <c r="AB1232" s="488"/>
      <c r="AC1232" s="488"/>
      <c r="AD1232" s="488"/>
      <c r="AE1232" s="488"/>
      <c r="AF1232" s="488"/>
      <c r="AG1232" s="488"/>
      <c r="AH1232" s="488"/>
      <c r="AI1232" s="488"/>
      <c r="AJ1232" s="488"/>
    </row>
    <row r="1233" spans="1:36" s="496" customFormat="1">
      <c r="A1233" s="488"/>
      <c r="C1233" s="488"/>
      <c r="D1233" s="488"/>
      <c r="E1233" s="488"/>
      <c r="F1233" s="488"/>
      <c r="G1233" s="488"/>
      <c r="H1233" s="488"/>
      <c r="I1233" s="488"/>
      <c r="J1233" s="488"/>
      <c r="K1233" s="488"/>
      <c r="L1233" s="488"/>
      <c r="M1233" s="488"/>
      <c r="N1233" s="488"/>
      <c r="O1233" s="488"/>
      <c r="P1233" s="488"/>
      <c r="Q1233" s="488"/>
      <c r="R1233" s="488"/>
      <c r="S1233" s="488"/>
      <c r="T1233" s="488"/>
      <c r="U1233" s="488"/>
      <c r="V1233" s="488"/>
      <c r="W1233" s="488"/>
      <c r="X1233" s="488"/>
      <c r="Y1233" s="488"/>
      <c r="Z1233" s="488"/>
      <c r="AA1233" s="488"/>
      <c r="AB1233" s="488"/>
      <c r="AC1233" s="488"/>
      <c r="AD1233" s="488"/>
      <c r="AE1233" s="488"/>
      <c r="AF1233" s="488"/>
      <c r="AG1233" s="488"/>
      <c r="AH1233" s="488"/>
      <c r="AI1233" s="488"/>
      <c r="AJ1233" s="488"/>
    </row>
    <row r="1234" spans="1:36" s="496" customFormat="1">
      <c r="A1234" s="488"/>
      <c r="C1234" s="488"/>
      <c r="D1234" s="488"/>
      <c r="E1234" s="488"/>
      <c r="F1234" s="488"/>
      <c r="G1234" s="488"/>
      <c r="H1234" s="488"/>
      <c r="I1234" s="488"/>
      <c r="J1234" s="488"/>
      <c r="K1234" s="488"/>
      <c r="L1234" s="488"/>
      <c r="M1234" s="488"/>
      <c r="N1234" s="488"/>
      <c r="O1234" s="488"/>
      <c r="P1234" s="488"/>
      <c r="Q1234" s="488"/>
      <c r="R1234" s="488"/>
      <c r="S1234" s="488"/>
      <c r="T1234" s="488"/>
      <c r="U1234" s="488"/>
      <c r="V1234" s="488"/>
      <c r="W1234" s="488"/>
      <c r="X1234" s="488"/>
      <c r="Y1234" s="488"/>
      <c r="Z1234" s="488"/>
      <c r="AA1234" s="488"/>
      <c r="AB1234" s="488"/>
      <c r="AC1234" s="488"/>
      <c r="AD1234" s="488"/>
      <c r="AE1234" s="488"/>
      <c r="AF1234" s="488"/>
      <c r="AG1234" s="488"/>
      <c r="AH1234" s="488"/>
      <c r="AI1234" s="488"/>
      <c r="AJ1234" s="488"/>
    </row>
    <row r="1235" spans="1:36" s="496" customFormat="1">
      <c r="A1235" s="488"/>
      <c r="C1235" s="488"/>
      <c r="D1235" s="488"/>
      <c r="E1235" s="488"/>
      <c r="F1235" s="488"/>
      <c r="G1235" s="488"/>
      <c r="H1235" s="488"/>
      <c r="I1235" s="488"/>
      <c r="J1235" s="488"/>
      <c r="K1235" s="488"/>
      <c r="L1235" s="488"/>
      <c r="M1235" s="488"/>
      <c r="N1235" s="488"/>
      <c r="O1235" s="488"/>
      <c r="P1235" s="488"/>
      <c r="Q1235" s="488"/>
      <c r="R1235" s="488"/>
      <c r="S1235" s="488"/>
      <c r="T1235" s="488"/>
      <c r="U1235" s="488"/>
      <c r="V1235" s="488"/>
      <c r="W1235" s="488"/>
      <c r="X1235" s="488"/>
      <c r="Y1235" s="488"/>
      <c r="Z1235" s="488"/>
      <c r="AA1235" s="488"/>
      <c r="AB1235" s="488"/>
      <c r="AC1235" s="488"/>
      <c r="AD1235" s="488"/>
      <c r="AE1235" s="488"/>
      <c r="AF1235" s="488"/>
      <c r="AG1235" s="488"/>
      <c r="AH1235" s="488"/>
      <c r="AI1235" s="488"/>
      <c r="AJ1235" s="488"/>
    </row>
    <row r="1236" spans="1:36" s="496" customFormat="1">
      <c r="A1236" s="488"/>
      <c r="C1236" s="488"/>
      <c r="D1236" s="488"/>
      <c r="E1236" s="488"/>
      <c r="F1236" s="488"/>
      <c r="G1236" s="488"/>
      <c r="H1236" s="488"/>
      <c r="I1236" s="488"/>
      <c r="J1236" s="488"/>
      <c r="K1236" s="488"/>
      <c r="L1236" s="488"/>
      <c r="M1236" s="488"/>
      <c r="N1236" s="488"/>
      <c r="O1236" s="488"/>
      <c r="P1236" s="488"/>
      <c r="Q1236" s="488"/>
      <c r="R1236" s="488"/>
      <c r="S1236" s="488"/>
      <c r="T1236" s="488"/>
      <c r="U1236" s="488"/>
      <c r="V1236" s="488"/>
      <c r="W1236" s="488"/>
      <c r="X1236" s="488"/>
      <c r="Y1236" s="488"/>
      <c r="Z1236" s="488"/>
      <c r="AA1236" s="488"/>
      <c r="AB1236" s="488"/>
      <c r="AC1236" s="488"/>
      <c r="AD1236" s="488"/>
      <c r="AE1236" s="488"/>
      <c r="AF1236" s="488"/>
      <c r="AG1236" s="488"/>
      <c r="AH1236" s="488"/>
      <c r="AI1236" s="488"/>
      <c r="AJ1236" s="488"/>
    </row>
    <row r="1237" spans="1:36" s="496" customFormat="1">
      <c r="A1237" s="488"/>
      <c r="C1237" s="488"/>
      <c r="D1237" s="488"/>
      <c r="E1237" s="488"/>
      <c r="F1237" s="488"/>
      <c r="G1237" s="488"/>
      <c r="H1237" s="488"/>
      <c r="I1237" s="488"/>
      <c r="J1237" s="488"/>
      <c r="K1237" s="488"/>
      <c r="L1237" s="488"/>
      <c r="M1237" s="488"/>
      <c r="N1237" s="488"/>
      <c r="O1237" s="488"/>
      <c r="P1237" s="488"/>
      <c r="Q1237" s="488"/>
      <c r="R1237" s="488"/>
      <c r="S1237" s="488"/>
      <c r="T1237" s="488"/>
      <c r="U1237" s="488"/>
      <c r="V1237" s="488"/>
      <c r="W1237" s="488"/>
      <c r="X1237" s="488"/>
      <c r="Y1237" s="488"/>
      <c r="Z1237" s="488"/>
      <c r="AA1237" s="488"/>
      <c r="AB1237" s="488"/>
      <c r="AC1237" s="488"/>
      <c r="AD1237" s="488"/>
      <c r="AE1237" s="488"/>
      <c r="AF1237" s="488"/>
      <c r="AG1237" s="488"/>
      <c r="AH1237" s="488"/>
      <c r="AI1237" s="488"/>
      <c r="AJ1237" s="488"/>
    </row>
    <row r="1238" spans="1:36" s="496" customFormat="1">
      <c r="A1238" s="488"/>
      <c r="C1238" s="488"/>
      <c r="D1238" s="488"/>
      <c r="E1238" s="488"/>
      <c r="F1238" s="488"/>
      <c r="G1238" s="488"/>
      <c r="H1238" s="488"/>
      <c r="I1238" s="488"/>
      <c r="J1238" s="488"/>
      <c r="K1238" s="488"/>
      <c r="L1238" s="488"/>
      <c r="M1238" s="488"/>
      <c r="N1238" s="488"/>
      <c r="O1238" s="488"/>
      <c r="P1238" s="488"/>
      <c r="Q1238" s="488"/>
      <c r="R1238" s="488"/>
      <c r="S1238" s="488"/>
      <c r="T1238" s="488"/>
      <c r="U1238" s="488"/>
      <c r="V1238" s="488"/>
      <c r="W1238" s="488"/>
      <c r="X1238" s="488"/>
      <c r="Y1238" s="488"/>
      <c r="Z1238" s="488"/>
      <c r="AA1238" s="488"/>
      <c r="AB1238" s="488"/>
      <c r="AC1238" s="488"/>
      <c r="AD1238" s="488"/>
      <c r="AE1238" s="488"/>
      <c r="AF1238" s="488"/>
      <c r="AG1238" s="488"/>
      <c r="AH1238" s="488"/>
      <c r="AI1238" s="488"/>
      <c r="AJ1238" s="488"/>
    </row>
    <row r="1239" spans="1:36" s="496" customFormat="1">
      <c r="A1239" s="488"/>
      <c r="C1239" s="488"/>
      <c r="D1239" s="488"/>
      <c r="E1239" s="488"/>
      <c r="F1239" s="488"/>
      <c r="G1239" s="488"/>
      <c r="H1239" s="488"/>
      <c r="I1239" s="488"/>
      <c r="J1239" s="488"/>
      <c r="K1239" s="488"/>
      <c r="L1239" s="488"/>
      <c r="M1239" s="488"/>
      <c r="N1239" s="488"/>
      <c r="O1239" s="488"/>
      <c r="P1239" s="488"/>
      <c r="Q1239" s="488"/>
      <c r="R1239" s="488"/>
      <c r="S1239" s="488"/>
      <c r="T1239" s="488"/>
      <c r="U1239" s="488"/>
      <c r="V1239" s="488"/>
      <c r="W1239" s="488"/>
      <c r="X1239" s="488"/>
      <c r="Y1239" s="488"/>
      <c r="Z1239" s="488"/>
      <c r="AA1239" s="488"/>
      <c r="AB1239" s="488"/>
      <c r="AC1239" s="488"/>
      <c r="AD1239" s="488"/>
      <c r="AE1239" s="488"/>
      <c r="AF1239" s="488"/>
      <c r="AG1239" s="488"/>
      <c r="AH1239" s="488"/>
      <c r="AI1239" s="488"/>
      <c r="AJ1239" s="488"/>
    </row>
    <row r="1240" spans="1:36" s="496" customFormat="1">
      <c r="A1240" s="488"/>
      <c r="C1240" s="488"/>
      <c r="D1240" s="488"/>
      <c r="E1240" s="488"/>
      <c r="F1240" s="488"/>
      <c r="G1240" s="488"/>
      <c r="H1240" s="488"/>
      <c r="I1240" s="488"/>
      <c r="J1240" s="488"/>
      <c r="K1240" s="488"/>
      <c r="L1240" s="488"/>
      <c r="M1240" s="488"/>
      <c r="N1240" s="488"/>
      <c r="O1240" s="488"/>
      <c r="P1240" s="488"/>
      <c r="Q1240" s="488"/>
      <c r="R1240" s="488"/>
      <c r="S1240" s="488"/>
      <c r="T1240" s="488"/>
      <c r="U1240" s="488"/>
      <c r="V1240" s="488"/>
      <c r="W1240" s="488"/>
      <c r="X1240" s="488"/>
      <c r="Y1240" s="488"/>
      <c r="Z1240" s="488"/>
      <c r="AA1240" s="488"/>
      <c r="AB1240" s="488"/>
      <c r="AC1240" s="488"/>
      <c r="AD1240" s="488"/>
      <c r="AE1240" s="488"/>
      <c r="AF1240" s="488"/>
      <c r="AG1240" s="488"/>
      <c r="AH1240" s="488"/>
      <c r="AI1240" s="488"/>
      <c r="AJ1240" s="488"/>
    </row>
    <row r="1241" spans="1:36" s="496" customFormat="1">
      <c r="A1241" s="488"/>
      <c r="C1241" s="488"/>
      <c r="D1241" s="488"/>
      <c r="E1241" s="488"/>
      <c r="F1241" s="488"/>
      <c r="G1241" s="488"/>
      <c r="H1241" s="488"/>
      <c r="I1241" s="488"/>
      <c r="J1241" s="488"/>
      <c r="K1241" s="488"/>
      <c r="L1241" s="488"/>
      <c r="M1241" s="488"/>
      <c r="N1241" s="488"/>
      <c r="O1241" s="488"/>
      <c r="P1241" s="488"/>
      <c r="Q1241" s="488"/>
      <c r="R1241" s="488"/>
      <c r="S1241" s="488"/>
      <c r="T1241" s="488"/>
      <c r="U1241" s="488"/>
      <c r="V1241" s="488"/>
      <c r="W1241" s="488"/>
      <c r="X1241" s="488"/>
      <c r="Y1241" s="488"/>
      <c r="Z1241" s="488"/>
      <c r="AA1241" s="488"/>
      <c r="AB1241" s="488"/>
      <c r="AC1241" s="488"/>
      <c r="AD1241" s="488"/>
      <c r="AE1241" s="488"/>
      <c r="AF1241" s="488"/>
      <c r="AG1241" s="488"/>
      <c r="AH1241" s="488"/>
      <c r="AI1241" s="488"/>
      <c r="AJ1241" s="488"/>
    </row>
    <row r="1242" spans="1:36" s="496" customFormat="1">
      <c r="A1242" s="488"/>
      <c r="C1242" s="488"/>
      <c r="D1242" s="488"/>
      <c r="E1242" s="488"/>
      <c r="F1242" s="488"/>
      <c r="G1242" s="488"/>
      <c r="H1242" s="488"/>
      <c r="I1242" s="488"/>
      <c r="J1242" s="488"/>
      <c r="K1242" s="488"/>
      <c r="L1242" s="488"/>
      <c r="M1242" s="488"/>
      <c r="N1242" s="488"/>
      <c r="O1242" s="488"/>
      <c r="P1242" s="488"/>
      <c r="Q1242" s="488"/>
      <c r="R1242" s="488"/>
      <c r="S1242" s="488"/>
      <c r="T1242" s="488"/>
      <c r="U1242" s="488"/>
      <c r="V1242" s="488"/>
      <c r="W1242" s="488"/>
      <c r="X1242" s="488"/>
      <c r="Y1242" s="488"/>
      <c r="Z1242" s="488"/>
      <c r="AA1242" s="488"/>
      <c r="AB1242" s="488"/>
      <c r="AC1242" s="488"/>
      <c r="AD1242" s="488"/>
      <c r="AE1242" s="488"/>
      <c r="AF1242" s="488"/>
      <c r="AG1242" s="488"/>
      <c r="AH1242" s="488"/>
      <c r="AI1242" s="488"/>
      <c r="AJ1242" s="488"/>
    </row>
    <row r="1243" spans="1:36" s="496" customFormat="1">
      <c r="A1243" s="488"/>
      <c r="C1243" s="488"/>
      <c r="D1243" s="488"/>
      <c r="E1243" s="488"/>
      <c r="F1243" s="488"/>
      <c r="G1243" s="488"/>
      <c r="H1243" s="488"/>
      <c r="I1243" s="488"/>
      <c r="J1243" s="488"/>
      <c r="K1243" s="488"/>
      <c r="L1243" s="488"/>
      <c r="M1243" s="488"/>
      <c r="N1243" s="488"/>
      <c r="O1243" s="488"/>
      <c r="P1243" s="488"/>
      <c r="Q1243" s="488"/>
      <c r="R1243" s="488"/>
      <c r="S1243" s="488"/>
      <c r="T1243" s="488"/>
      <c r="U1243" s="488"/>
      <c r="V1243" s="488"/>
      <c r="W1243" s="488"/>
      <c r="X1243" s="488"/>
      <c r="Y1243" s="488"/>
      <c r="Z1243" s="488"/>
      <c r="AA1243" s="488"/>
      <c r="AB1243" s="488"/>
      <c r="AC1243" s="488"/>
      <c r="AD1243" s="488"/>
      <c r="AE1243" s="488"/>
      <c r="AF1243" s="488"/>
      <c r="AG1243" s="488"/>
      <c r="AH1243" s="488"/>
      <c r="AI1243" s="488"/>
      <c r="AJ1243" s="488"/>
    </row>
    <row r="1244" spans="1:36" s="496" customFormat="1">
      <c r="A1244" s="488"/>
      <c r="C1244" s="488"/>
      <c r="D1244" s="488"/>
      <c r="E1244" s="488"/>
      <c r="F1244" s="488"/>
      <c r="G1244" s="488"/>
      <c r="H1244" s="488"/>
      <c r="I1244" s="488"/>
      <c r="J1244" s="488"/>
      <c r="K1244" s="488"/>
      <c r="L1244" s="488"/>
      <c r="M1244" s="488"/>
      <c r="N1244" s="488"/>
      <c r="O1244" s="488"/>
      <c r="P1244" s="488"/>
      <c r="Q1244" s="488"/>
      <c r="R1244" s="488"/>
      <c r="S1244" s="488"/>
      <c r="T1244" s="488"/>
      <c r="U1244" s="488"/>
      <c r="V1244" s="488"/>
      <c r="W1244" s="488"/>
      <c r="X1244" s="488"/>
      <c r="Y1244" s="488"/>
      <c r="Z1244" s="488"/>
      <c r="AA1244" s="488"/>
      <c r="AB1244" s="488"/>
      <c r="AC1244" s="488"/>
      <c r="AD1244" s="488"/>
      <c r="AE1244" s="488"/>
      <c r="AF1244" s="488"/>
      <c r="AG1244" s="488"/>
      <c r="AH1244" s="488"/>
      <c r="AI1244" s="488"/>
      <c r="AJ1244" s="488"/>
    </row>
    <row r="1245" spans="1:36" s="496" customFormat="1">
      <c r="A1245" s="488"/>
      <c r="C1245" s="488"/>
      <c r="D1245" s="488"/>
      <c r="E1245" s="488"/>
      <c r="F1245" s="488"/>
      <c r="G1245" s="488"/>
      <c r="H1245" s="488"/>
      <c r="I1245" s="488"/>
      <c r="J1245" s="488"/>
      <c r="K1245" s="488"/>
      <c r="L1245" s="488"/>
      <c r="M1245" s="488"/>
      <c r="N1245" s="488"/>
      <c r="O1245" s="488"/>
      <c r="P1245" s="488"/>
      <c r="Q1245" s="488"/>
      <c r="R1245" s="488"/>
      <c r="S1245" s="488"/>
      <c r="T1245" s="488"/>
      <c r="U1245" s="488"/>
      <c r="V1245" s="488"/>
      <c r="W1245" s="488"/>
      <c r="X1245" s="488"/>
      <c r="Y1245" s="488"/>
      <c r="Z1245" s="488"/>
      <c r="AA1245" s="488"/>
      <c r="AB1245" s="488"/>
      <c r="AC1245" s="488"/>
      <c r="AD1245" s="488"/>
      <c r="AE1245" s="488"/>
      <c r="AF1245" s="488"/>
      <c r="AG1245" s="488"/>
      <c r="AH1245" s="488"/>
      <c r="AI1245" s="488"/>
      <c r="AJ1245" s="488"/>
    </row>
    <row r="1246" spans="1:36" s="496" customFormat="1">
      <c r="A1246" s="488"/>
      <c r="C1246" s="488"/>
      <c r="D1246" s="488"/>
      <c r="E1246" s="488"/>
      <c r="F1246" s="488"/>
      <c r="G1246" s="488"/>
      <c r="H1246" s="488"/>
      <c r="I1246" s="488"/>
      <c r="J1246" s="488"/>
      <c r="K1246" s="488"/>
      <c r="L1246" s="488"/>
      <c r="M1246" s="488"/>
      <c r="N1246" s="488"/>
      <c r="O1246" s="488"/>
      <c r="P1246" s="488"/>
      <c r="Q1246" s="488"/>
      <c r="R1246" s="488"/>
      <c r="S1246" s="488"/>
      <c r="T1246" s="488"/>
      <c r="U1246" s="488"/>
      <c r="V1246" s="488"/>
      <c r="W1246" s="488"/>
      <c r="X1246" s="488"/>
      <c r="Y1246" s="488"/>
      <c r="Z1246" s="488"/>
      <c r="AA1246" s="488"/>
      <c r="AB1246" s="488"/>
      <c r="AC1246" s="488"/>
      <c r="AD1246" s="488"/>
      <c r="AE1246" s="488"/>
      <c r="AF1246" s="488"/>
      <c r="AG1246" s="488"/>
      <c r="AH1246" s="488"/>
      <c r="AI1246" s="488"/>
      <c r="AJ1246" s="488"/>
    </row>
    <row r="1247" spans="1:36" s="496" customFormat="1">
      <c r="A1247" s="488"/>
      <c r="C1247" s="488"/>
      <c r="D1247" s="488"/>
      <c r="E1247" s="488"/>
      <c r="F1247" s="488"/>
      <c r="G1247" s="488"/>
      <c r="H1247" s="488"/>
      <c r="I1247" s="488"/>
      <c r="J1247" s="488"/>
      <c r="K1247" s="488"/>
      <c r="L1247" s="488"/>
      <c r="M1247" s="488"/>
      <c r="N1247" s="488"/>
      <c r="O1247" s="488"/>
      <c r="P1247" s="488"/>
      <c r="Q1247" s="488"/>
      <c r="R1247" s="488"/>
      <c r="S1247" s="488"/>
      <c r="T1247" s="488"/>
      <c r="U1247" s="488"/>
      <c r="V1247" s="488"/>
      <c r="W1247" s="488"/>
      <c r="X1247" s="488"/>
      <c r="Y1247" s="488"/>
      <c r="Z1247" s="488"/>
      <c r="AA1247" s="488"/>
      <c r="AB1247" s="488"/>
      <c r="AC1247" s="488"/>
      <c r="AD1247" s="488"/>
      <c r="AE1247" s="488"/>
      <c r="AF1247" s="488"/>
      <c r="AG1247" s="488"/>
      <c r="AH1247" s="488"/>
      <c r="AI1247" s="488"/>
      <c r="AJ1247" s="488"/>
    </row>
    <row r="1248" spans="1:36" s="496" customFormat="1">
      <c r="A1248" s="488"/>
      <c r="C1248" s="488"/>
      <c r="D1248" s="488"/>
      <c r="E1248" s="488"/>
      <c r="F1248" s="488"/>
      <c r="G1248" s="488"/>
      <c r="H1248" s="488"/>
      <c r="I1248" s="488"/>
      <c r="J1248" s="488"/>
      <c r="K1248" s="488"/>
      <c r="L1248" s="488"/>
      <c r="M1248" s="488"/>
      <c r="N1248" s="488"/>
      <c r="O1248" s="488"/>
      <c r="P1248" s="488"/>
      <c r="Q1248" s="488"/>
      <c r="R1248" s="488"/>
      <c r="S1248" s="488"/>
      <c r="T1248" s="488"/>
      <c r="U1248" s="488"/>
      <c r="V1248" s="488"/>
      <c r="W1248" s="488"/>
      <c r="X1248" s="488"/>
      <c r="Y1248" s="488"/>
      <c r="Z1248" s="488"/>
      <c r="AA1248" s="488"/>
      <c r="AB1248" s="488"/>
      <c r="AC1248" s="488"/>
      <c r="AD1248" s="488"/>
      <c r="AE1248" s="488"/>
      <c r="AF1248" s="488"/>
      <c r="AG1248" s="488"/>
      <c r="AH1248" s="488"/>
      <c r="AI1248" s="488"/>
      <c r="AJ1248" s="488"/>
    </row>
    <row r="1249" spans="1:36" s="496" customFormat="1">
      <c r="A1249" s="488"/>
      <c r="C1249" s="488"/>
      <c r="D1249" s="488"/>
      <c r="E1249" s="488"/>
      <c r="F1249" s="488"/>
      <c r="G1249" s="488"/>
      <c r="H1249" s="488"/>
      <c r="I1249" s="488"/>
      <c r="J1249" s="488"/>
      <c r="K1249" s="488"/>
      <c r="L1249" s="488"/>
      <c r="M1249" s="488"/>
      <c r="N1249" s="488"/>
      <c r="O1249" s="488"/>
      <c r="P1249" s="488"/>
      <c r="Q1249" s="488"/>
      <c r="R1249" s="488"/>
      <c r="S1249" s="488"/>
      <c r="T1249" s="488"/>
      <c r="U1249" s="488"/>
      <c r="V1249" s="488"/>
      <c r="W1249" s="488"/>
      <c r="X1249" s="488"/>
      <c r="Y1249" s="488"/>
      <c r="Z1249" s="488"/>
      <c r="AA1249" s="488"/>
      <c r="AB1249" s="488"/>
      <c r="AC1249" s="488"/>
      <c r="AD1249" s="488"/>
      <c r="AE1249" s="488"/>
      <c r="AF1249" s="488"/>
      <c r="AG1249" s="488"/>
      <c r="AH1249" s="488"/>
      <c r="AI1249" s="488"/>
      <c r="AJ1249" s="488"/>
    </row>
    <row r="1250" spans="1:36" s="496" customFormat="1">
      <c r="A1250" s="488"/>
      <c r="C1250" s="488"/>
      <c r="D1250" s="488"/>
      <c r="E1250" s="488"/>
      <c r="F1250" s="488"/>
      <c r="G1250" s="488"/>
      <c r="H1250" s="488"/>
      <c r="I1250" s="488"/>
      <c r="J1250" s="488"/>
      <c r="K1250" s="488"/>
      <c r="L1250" s="488"/>
      <c r="M1250" s="488"/>
      <c r="N1250" s="488"/>
      <c r="O1250" s="488"/>
      <c r="P1250" s="488"/>
      <c r="Q1250" s="488"/>
      <c r="R1250" s="488"/>
      <c r="S1250" s="488"/>
      <c r="T1250" s="488"/>
      <c r="U1250" s="488"/>
      <c r="V1250" s="488"/>
      <c r="W1250" s="488"/>
      <c r="X1250" s="488"/>
      <c r="Y1250" s="488"/>
      <c r="Z1250" s="488"/>
      <c r="AA1250" s="488"/>
      <c r="AB1250" s="488"/>
      <c r="AC1250" s="488"/>
      <c r="AD1250" s="488"/>
      <c r="AE1250" s="488"/>
      <c r="AF1250" s="488"/>
      <c r="AG1250" s="488"/>
      <c r="AH1250" s="488"/>
      <c r="AI1250" s="488"/>
      <c r="AJ1250" s="488"/>
    </row>
    <row r="1251" spans="1:36" s="496" customFormat="1">
      <c r="A1251" s="488"/>
      <c r="C1251" s="488"/>
      <c r="D1251" s="488"/>
      <c r="E1251" s="488"/>
      <c r="F1251" s="488"/>
      <c r="G1251" s="488"/>
      <c r="H1251" s="488"/>
      <c r="I1251" s="488"/>
      <c r="J1251" s="488"/>
      <c r="K1251" s="488"/>
      <c r="L1251" s="488"/>
      <c r="M1251" s="488"/>
      <c r="N1251" s="488"/>
      <c r="O1251" s="488"/>
      <c r="P1251" s="488"/>
      <c r="Q1251" s="488"/>
      <c r="R1251" s="488"/>
      <c r="S1251" s="488"/>
      <c r="T1251" s="488"/>
      <c r="U1251" s="488"/>
      <c r="V1251" s="488"/>
      <c r="W1251" s="488"/>
      <c r="X1251" s="488"/>
      <c r="Y1251" s="488"/>
      <c r="Z1251" s="488"/>
      <c r="AA1251" s="488"/>
      <c r="AB1251" s="488"/>
      <c r="AC1251" s="488"/>
      <c r="AD1251" s="488"/>
      <c r="AE1251" s="488"/>
      <c r="AF1251" s="488"/>
      <c r="AG1251" s="488"/>
      <c r="AH1251" s="488"/>
      <c r="AI1251" s="488"/>
      <c r="AJ1251" s="488"/>
    </row>
    <row r="1252" spans="1:36" s="496" customFormat="1">
      <c r="A1252" s="488"/>
      <c r="C1252" s="488"/>
      <c r="D1252" s="488"/>
      <c r="E1252" s="488"/>
      <c r="F1252" s="488"/>
      <c r="G1252" s="488"/>
      <c r="H1252" s="488"/>
      <c r="I1252" s="488"/>
      <c r="J1252" s="488"/>
      <c r="K1252" s="488"/>
      <c r="L1252" s="488"/>
      <c r="M1252" s="488"/>
      <c r="N1252" s="488"/>
      <c r="O1252" s="488"/>
      <c r="P1252" s="488"/>
      <c r="Q1252" s="488"/>
      <c r="R1252" s="488"/>
      <c r="S1252" s="488"/>
      <c r="T1252" s="488"/>
      <c r="U1252" s="488"/>
      <c r="V1252" s="488"/>
      <c r="W1252" s="488"/>
      <c r="X1252" s="488"/>
      <c r="Y1252" s="488"/>
      <c r="Z1252" s="488"/>
      <c r="AA1252" s="488"/>
      <c r="AB1252" s="488"/>
      <c r="AC1252" s="488"/>
      <c r="AD1252" s="488"/>
      <c r="AE1252" s="488"/>
      <c r="AF1252" s="488"/>
      <c r="AG1252" s="488"/>
      <c r="AH1252" s="488"/>
      <c r="AI1252" s="488"/>
      <c r="AJ1252" s="488"/>
    </row>
    <row r="1253" spans="1:36" s="496" customFormat="1">
      <c r="A1253" s="488"/>
      <c r="C1253" s="488"/>
      <c r="D1253" s="488"/>
      <c r="E1253" s="488"/>
      <c r="F1253" s="488"/>
      <c r="G1253" s="488"/>
      <c r="H1253" s="488"/>
      <c r="I1253" s="488"/>
      <c r="J1253" s="488"/>
      <c r="K1253" s="488"/>
      <c r="L1253" s="488"/>
      <c r="M1253" s="488"/>
      <c r="N1253" s="488"/>
      <c r="O1253" s="488"/>
      <c r="P1253" s="488"/>
      <c r="Q1253" s="488"/>
      <c r="R1253" s="488"/>
      <c r="S1253" s="488"/>
      <c r="T1253" s="488"/>
      <c r="U1253" s="488"/>
      <c r="V1253" s="488"/>
      <c r="W1253" s="488"/>
      <c r="X1253" s="488"/>
      <c r="Y1253" s="488"/>
      <c r="Z1253" s="488"/>
      <c r="AA1253" s="488"/>
      <c r="AB1253" s="488"/>
      <c r="AC1253" s="488"/>
      <c r="AD1253" s="488"/>
      <c r="AE1253" s="488"/>
      <c r="AF1253" s="488"/>
      <c r="AG1253" s="488"/>
      <c r="AH1253" s="488"/>
      <c r="AI1253" s="488"/>
      <c r="AJ1253" s="488"/>
    </row>
    <row r="1254" spans="1:36" s="496" customFormat="1">
      <c r="A1254" s="488"/>
      <c r="C1254" s="488"/>
      <c r="D1254" s="488"/>
      <c r="E1254" s="488"/>
      <c r="F1254" s="488"/>
      <c r="G1254" s="488"/>
      <c r="H1254" s="488"/>
      <c r="I1254" s="488"/>
      <c r="J1254" s="488"/>
      <c r="K1254" s="488"/>
      <c r="L1254" s="488"/>
      <c r="M1254" s="488"/>
      <c r="N1254" s="488"/>
      <c r="O1254" s="488"/>
      <c r="P1254" s="488"/>
      <c r="Q1254" s="488"/>
      <c r="R1254" s="488"/>
      <c r="S1254" s="488"/>
      <c r="T1254" s="488"/>
      <c r="U1254" s="488"/>
      <c r="V1254" s="488"/>
      <c r="W1254" s="488"/>
      <c r="X1254" s="488"/>
      <c r="Y1254" s="488"/>
      <c r="Z1254" s="488"/>
      <c r="AA1254" s="488"/>
      <c r="AB1254" s="488"/>
      <c r="AC1254" s="488"/>
      <c r="AD1254" s="488"/>
      <c r="AE1254" s="488"/>
      <c r="AF1254" s="488"/>
      <c r="AG1254" s="488"/>
      <c r="AH1254" s="488"/>
      <c r="AI1254" s="488"/>
      <c r="AJ1254" s="488"/>
    </row>
    <row r="1255" spans="1:36" s="496" customFormat="1">
      <c r="A1255" s="488"/>
      <c r="C1255" s="488"/>
      <c r="D1255" s="488"/>
      <c r="E1255" s="488"/>
      <c r="F1255" s="488"/>
      <c r="G1255" s="488"/>
      <c r="H1255" s="488"/>
      <c r="I1255" s="488"/>
      <c r="J1255" s="488"/>
      <c r="K1255" s="488"/>
      <c r="L1255" s="488"/>
      <c r="M1255" s="488"/>
      <c r="N1255" s="488"/>
      <c r="O1255" s="488"/>
      <c r="P1255" s="488"/>
      <c r="Q1255" s="488"/>
      <c r="R1255" s="488"/>
      <c r="S1255" s="488"/>
      <c r="T1255" s="488"/>
      <c r="U1255" s="488"/>
      <c r="V1255" s="488"/>
      <c r="W1255" s="488"/>
      <c r="X1255" s="488"/>
      <c r="Y1255" s="488"/>
      <c r="Z1255" s="488"/>
      <c r="AA1255" s="488"/>
      <c r="AB1255" s="488"/>
      <c r="AC1255" s="488"/>
      <c r="AD1255" s="488"/>
      <c r="AE1255" s="488"/>
      <c r="AF1255" s="488"/>
      <c r="AG1255" s="488"/>
      <c r="AH1255" s="488"/>
      <c r="AI1255" s="488"/>
      <c r="AJ1255" s="488"/>
    </row>
    <row r="1256" spans="1:36" s="496" customFormat="1">
      <c r="A1256" s="488"/>
      <c r="C1256" s="488"/>
      <c r="D1256" s="488"/>
      <c r="E1256" s="488"/>
      <c r="F1256" s="488"/>
      <c r="G1256" s="488"/>
      <c r="H1256" s="488"/>
      <c r="I1256" s="488"/>
      <c r="J1256" s="488"/>
      <c r="K1256" s="488"/>
      <c r="L1256" s="488"/>
      <c r="M1256" s="488"/>
      <c r="N1256" s="488"/>
      <c r="O1256" s="488"/>
      <c r="P1256" s="488"/>
      <c r="Q1256" s="488"/>
      <c r="R1256" s="488"/>
      <c r="S1256" s="488"/>
      <c r="T1256" s="488"/>
      <c r="U1256" s="488"/>
      <c r="V1256" s="488"/>
      <c r="W1256" s="488"/>
      <c r="X1256" s="488"/>
      <c r="Y1256" s="488"/>
      <c r="Z1256" s="488"/>
      <c r="AA1256" s="488"/>
      <c r="AB1256" s="488"/>
      <c r="AC1256" s="488"/>
      <c r="AD1256" s="488"/>
      <c r="AE1256" s="488"/>
      <c r="AF1256" s="488"/>
      <c r="AG1256" s="488"/>
      <c r="AH1256" s="488"/>
      <c r="AI1256" s="488"/>
      <c r="AJ1256" s="488"/>
    </row>
    <row r="1257" spans="1:36" s="496" customFormat="1">
      <c r="A1257" s="488"/>
      <c r="C1257" s="488"/>
      <c r="D1257" s="488"/>
      <c r="E1257" s="488"/>
      <c r="F1257" s="488"/>
      <c r="G1257" s="488"/>
      <c r="H1257" s="488"/>
      <c r="I1257" s="488"/>
      <c r="J1257" s="488"/>
      <c r="K1257" s="488"/>
      <c r="L1257" s="488"/>
      <c r="M1257" s="488"/>
      <c r="N1257" s="488"/>
      <c r="O1257" s="488"/>
      <c r="P1257" s="488"/>
      <c r="Q1257" s="488"/>
      <c r="R1257" s="488"/>
      <c r="S1257" s="488"/>
      <c r="T1257" s="488"/>
      <c r="U1257" s="488"/>
      <c r="V1257" s="488"/>
      <c r="W1257" s="488"/>
      <c r="X1257" s="488"/>
      <c r="Y1257" s="488"/>
      <c r="Z1257" s="488"/>
      <c r="AA1257" s="488"/>
      <c r="AB1257" s="488"/>
      <c r="AC1257" s="488"/>
      <c r="AD1257" s="488"/>
      <c r="AE1257" s="488"/>
      <c r="AF1257" s="488"/>
      <c r="AG1257" s="488"/>
      <c r="AH1257" s="488"/>
      <c r="AI1257" s="488"/>
      <c r="AJ1257" s="488"/>
    </row>
    <row r="1258" spans="1:36" s="496" customFormat="1">
      <c r="A1258" s="488"/>
      <c r="C1258" s="488"/>
      <c r="D1258" s="488"/>
      <c r="E1258" s="488"/>
      <c r="F1258" s="488"/>
      <c r="G1258" s="488"/>
      <c r="H1258" s="488"/>
      <c r="I1258" s="488"/>
      <c r="J1258" s="488"/>
      <c r="K1258" s="488"/>
      <c r="L1258" s="488"/>
      <c r="M1258" s="488"/>
      <c r="N1258" s="488"/>
      <c r="O1258" s="488"/>
      <c r="P1258" s="488"/>
      <c r="Q1258" s="488"/>
      <c r="R1258" s="488"/>
      <c r="S1258" s="488"/>
      <c r="T1258" s="488"/>
      <c r="U1258" s="488"/>
      <c r="V1258" s="488"/>
      <c r="W1258" s="488"/>
      <c r="X1258" s="488"/>
      <c r="Y1258" s="488"/>
      <c r="Z1258" s="488"/>
      <c r="AA1258" s="488"/>
      <c r="AB1258" s="488"/>
      <c r="AC1258" s="488"/>
      <c r="AD1258" s="488"/>
      <c r="AE1258" s="488"/>
      <c r="AF1258" s="488"/>
      <c r="AG1258" s="488"/>
      <c r="AH1258" s="488"/>
      <c r="AI1258" s="488"/>
      <c r="AJ1258" s="488"/>
    </row>
    <row r="1259" spans="1:36" s="496" customFormat="1">
      <c r="A1259" s="488"/>
      <c r="C1259" s="488"/>
      <c r="D1259" s="488"/>
      <c r="E1259" s="488"/>
      <c r="F1259" s="488"/>
      <c r="G1259" s="488"/>
      <c r="H1259" s="488"/>
      <c r="I1259" s="488"/>
      <c r="J1259" s="488"/>
      <c r="K1259" s="488"/>
      <c r="L1259" s="488"/>
      <c r="M1259" s="488"/>
      <c r="N1259" s="488"/>
      <c r="O1259" s="488"/>
      <c r="P1259" s="488"/>
      <c r="Q1259" s="488"/>
      <c r="R1259" s="488"/>
      <c r="S1259" s="488"/>
      <c r="T1259" s="488"/>
      <c r="U1259" s="488"/>
      <c r="V1259" s="488"/>
      <c r="W1259" s="488"/>
      <c r="X1259" s="488"/>
      <c r="Y1259" s="488"/>
      <c r="Z1259" s="488"/>
      <c r="AA1259" s="488"/>
      <c r="AB1259" s="488"/>
      <c r="AC1259" s="488"/>
      <c r="AD1259" s="488"/>
      <c r="AE1259" s="488"/>
      <c r="AF1259" s="488"/>
      <c r="AG1259" s="488"/>
      <c r="AH1259" s="488"/>
      <c r="AI1259" s="488"/>
      <c r="AJ1259" s="488"/>
    </row>
    <row r="1260" spans="1:36" s="496" customFormat="1">
      <c r="A1260" s="488"/>
      <c r="C1260" s="488"/>
      <c r="D1260" s="488"/>
      <c r="E1260" s="488"/>
      <c r="F1260" s="488"/>
      <c r="G1260" s="488"/>
      <c r="H1260" s="488"/>
      <c r="I1260" s="488"/>
      <c r="J1260" s="488"/>
      <c r="K1260" s="488"/>
      <c r="L1260" s="488"/>
      <c r="M1260" s="488"/>
      <c r="N1260" s="488"/>
      <c r="O1260" s="488"/>
      <c r="P1260" s="488"/>
      <c r="Q1260" s="488"/>
      <c r="R1260" s="488"/>
      <c r="S1260" s="488"/>
      <c r="T1260" s="488"/>
      <c r="U1260" s="488"/>
      <c r="V1260" s="488"/>
      <c r="W1260" s="488"/>
      <c r="X1260" s="488"/>
      <c r="Y1260" s="488"/>
      <c r="Z1260" s="488"/>
      <c r="AA1260" s="488"/>
      <c r="AB1260" s="488"/>
      <c r="AC1260" s="488"/>
      <c r="AD1260" s="488"/>
      <c r="AE1260" s="488"/>
      <c r="AF1260" s="488"/>
      <c r="AG1260" s="488"/>
      <c r="AH1260" s="488"/>
      <c r="AI1260" s="488"/>
      <c r="AJ1260" s="488"/>
    </row>
    <row r="1261" spans="1:36" s="496" customFormat="1">
      <c r="A1261" s="488"/>
      <c r="C1261" s="488"/>
      <c r="D1261" s="488"/>
      <c r="E1261" s="488"/>
      <c r="F1261" s="488"/>
      <c r="G1261" s="488"/>
      <c r="H1261" s="488"/>
      <c r="I1261" s="488"/>
      <c r="J1261" s="488"/>
      <c r="K1261" s="488"/>
      <c r="L1261" s="488"/>
      <c r="M1261" s="488"/>
      <c r="N1261" s="488"/>
      <c r="O1261" s="488"/>
      <c r="P1261" s="488"/>
      <c r="Q1261" s="488"/>
      <c r="R1261" s="488"/>
      <c r="S1261" s="488"/>
      <c r="T1261" s="488"/>
      <c r="U1261" s="488"/>
      <c r="V1261" s="488"/>
      <c r="W1261" s="488"/>
      <c r="X1261" s="488"/>
      <c r="Y1261" s="488"/>
      <c r="Z1261" s="488"/>
      <c r="AA1261" s="488"/>
      <c r="AB1261" s="488"/>
      <c r="AC1261" s="488"/>
      <c r="AD1261" s="488"/>
      <c r="AE1261" s="488"/>
      <c r="AF1261" s="488"/>
      <c r="AG1261" s="488"/>
      <c r="AH1261" s="488"/>
      <c r="AI1261" s="488"/>
      <c r="AJ1261" s="488"/>
    </row>
    <row r="1262" spans="1:36" s="496" customFormat="1">
      <c r="A1262" s="488"/>
      <c r="C1262" s="488"/>
      <c r="D1262" s="488"/>
      <c r="E1262" s="488"/>
      <c r="F1262" s="488"/>
      <c r="G1262" s="488"/>
      <c r="H1262" s="488"/>
      <c r="I1262" s="488"/>
      <c r="J1262" s="488"/>
      <c r="K1262" s="488"/>
      <c r="L1262" s="488"/>
      <c r="M1262" s="488"/>
      <c r="N1262" s="488"/>
      <c r="O1262" s="488"/>
      <c r="P1262" s="488"/>
      <c r="Q1262" s="488"/>
      <c r="R1262" s="488"/>
      <c r="S1262" s="488"/>
      <c r="T1262" s="488"/>
      <c r="U1262" s="488"/>
      <c r="V1262" s="488"/>
      <c r="W1262" s="488"/>
      <c r="X1262" s="488"/>
      <c r="Y1262" s="488"/>
      <c r="Z1262" s="488"/>
      <c r="AA1262" s="488"/>
      <c r="AB1262" s="488"/>
      <c r="AC1262" s="488"/>
      <c r="AD1262" s="488"/>
      <c r="AE1262" s="488"/>
      <c r="AF1262" s="488"/>
      <c r="AG1262" s="488"/>
      <c r="AH1262" s="488"/>
      <c r="AI1262" s="488"/>
      <c r="AJ1262" s="488"/>
    </row>
    <row r="1263" spans="1:36" s="496" customFormat="1">
      <c r="A1263" s="488"/>
      <c r="C1263" s="488"/>
      <c r="D1263" s="488"/>
      <c r="E1263" s="488"/>
      <c r="F1263" s="488"/>
      <c r="G1263" s="488"/>
      <c r="H1263" s="488"/>
      <c r="I1263" s="488"/>
      <c r="J1263" s="488"/>
      <c r="K1263" s="488"/>
      <c r="L1263" s="488"/>
      <c r="M1263" s="488"/>
      <c r="N1263" s="488"/>
      <c r="O1263" s="488"/>
      <c r="P1263" s="488"/>
      <c r="Q1263" s="488"/>
      <c r="R1263" s="488"/>
      <c r="S1263" s="488"/>
      <c r="T1263" s="488"/>
      <c r="U1263" s="488"/>
      <c r="V1263" s="488"/>
      <c r="W1263" s="488"/>
      <c r="X1263" s="488"/>
      <c r="Y1263" s="488"/>
      <c r="Z1263" s="488"/>
      <c r="AA1263" s="488"/>
      <c r="AB1263" s="488"/>
      <c r="AC1263" s="488"/>
      <c r="AD1263" s="488"/>
      <c r="AE1263" s="488"/>
      <c r="AF1263" s="488"/>
      <c r="AG1263" s="488"/>
      <c r="AH1263" s="488"/>
      <c r="AI1263" s="488"/>
      <c r="AJ1263" s="488"/>
    </row>
    <row r="1264" spans="1:36" s="496" customFormat="1">
      <c r="A1264" s="488"/>
      <c r="C1264" s="488"/>
      <c r="D1264" s="488"/>
      <c r="E1264" s="488"/>
      <c r="F1264" s="488"/>
      <c r="G1264" s="488"/>
      <c r="H1264" s="488"/>
      <c r="I1264" s="488"/>
      <c r="J1264" s="488"/>
      <c r="K1264" s="488"/>
      <c r="L1264" s="488"/>
      <c r="M1264" s="488"/>
      <c r="N1264" s="488"/>
      <c r="O1264" s="488"/>
      <c r="P1264" s="488"/>
      <c r="Q1264" s="488"/>
      <c r="R1264" s="488"/>
      <c r="S1264" s="488"/>
      <c r="T1264" s="488"/>
      <c r="U1264" s="488"/>
      <c r="V1264" s="488"/>
      <c r="W1264" s="488"/>
      <c r="X1264" s="488"/>
      <c r="Y1264" s="488"/>
      <c r="Z1264" s="488"/>
      <c r="AA1264" s="488"/>
      <c r="AB1264" s="488"/>
      <c r="AC1264" s="488"/>
      <c r="AD1264" s="488"/>
      <c r="AE1264" s="488"/>
      <c r="AF1264" s="488"/>
      <c r="AG1264" s="488"/>
      <c r="AH1264" s="488"/>
      <c r="AI1264" s="488"/>
      <c r="AJ1264" s="488"/>
    </row>
    <row r="1265" spans="1:36" s="496" customFormat="1">
      <c r="A1265" s="488"/>
      <c r="C1265" s="488"/>
      <c r="D1265" s="488"/>
      <c r="E1265" s="488"/>
      <c r="F1265" s="488"/>
      <c r="G1265" s="488"/>
      <c r="H1265" s="488"/>
      <c r="I1265" s="488"/>
      <c r="J1265" s="488"/>
      <c r="K1265" s="488"/>
      <c r="L1265" s="488"/>
      <c r="M1265" s="488"/>
      <c r="N1265" s="488"/>
      <c r="O1265" s="488"/>
      <c r="P1265" s="488"/>
      <c r="Q1265" s="488"/>
      <c r="R1265" s="488"/>
      <c r="S1265" s="488"/>
      <c r="T1265" s="488"/>
      <c r="U1265" s="488"/>
      <c r="V1265" s="488"/>
      <c r="W1265" s="488"/>
      <c r="X1265" s="488"/>
      <c r="Y1265" s="488"/>
      <c r="Z1265" s="488"/>
      <c r="AA1265" s="488"/>
      <c r="AB1265" s="488"/>
      <c r="AC1265" s="488"/>
      <c r="AD1265" s="488"/>
      <c r="AE1265" s="488"/>
      <c r="AF1265" s="488"/>
      <c r="AG1265" s="488"/>
      <c r="AH1265" s="488"/>
      <c r="AI1265" s="488"/>
      <c r="AJ1265" s="488"/>
    </row>
    <row r="1266" spans="1:36" s="496" customFormat="1">
      <c r="A1266" s="488"/>
      <c r="C1266" s="488"/>
      <c r="D1266" s="488"/>
      <c r="E1266" s="488"/>
      <c r="F1266" s="488"/>
      <c r="G1266" s="488"/>
      <c r="H1266" s="488"/>
      <c r="I1266" s="488"/>
      <c r="J1266" s="488"/>
      <c r="K1266" s="488"/>
      <c r="L1266" s="488"/>
      <c r="M1266" s="488"/>
      <c r="N1266" s="488"/>
      <c r="O1266" s="488"/>
      <c r="P1266" s="488"/>
      <c r="Q1266" s="488"/>
      <c r="R1266" s="488"/>
      <c r="S1266" s="488"/>
      <c r="T1266" s="488"/>
      <c r="U1266" s="488"/>
      <c r="V1266" s="488"/>
      <c r="W1266" s="488"/>
      <c r="X1266" s="488"/>
      <c r="Y1266" s="488"/>
      <c r="Z1266" s="488"/>
      <c r="AA1266" s="488"/>
      <c r="AB1266" s="488"/>
      <c r="AC1266" s="488"/>
      <c r="AD1266" s="488"/>
      <c r="AE1266" s="488"/>
      <c r="AF1266" s="488"/>
      <c r="AG1266" s="488"/>
      <c r="AH1266" s="488"/>
      <c r="AI1266" s="488"/>
      <c r="AJ1266" s="488"/>
    </row>
    <row r="1267" spans="1:36" s="496" customFormat="1">
      <c r="A1267" s="488"/>
      <c r="C1267" s="488"/>
      <c r="D1267" s="488"/>
      <c r="E1267" s="488"/>
      <c r="F1267" s="488"/>
      <c r="G1267" s="488"/>
      <c r="H1267" s="488"/>
      <c r="I1267" s="488"/>
      <c r="J1267" s="488"/>
      <c r="K1267" s="488"/>
      <c r="L1267" s="488"/>
      <c r="M1267" s="488"/>
      <c r="N1267" s="488"/>
      <c r="O1267" s="488"/>
      <c r="P1267" s="488"/>
      <c r="Q1267" s="488"/>
      <c r="R1267" s="488"/>
      <c r="S1267" s="488"/>
      <c r="T1267" s="488"/>
      <c r="U1267" s="488"/>
      <c r="V1267" s="488"/>
      <c r="W1267" s="488"/>
      <c r="X1267" s="488"/>
      <c r="Y1267" s="488"/>
      <c r="Z1267" s="488"/>
      <c r="AA1267" s="488"/>
      <c r="AB1267" s="488"/>
      <c r="AC1267" s="488"/>
      <c r="AD1267" s="488"/>
      <c r="AE1267" s="488"/>
      <c r="AF1267" s="488"/>
      <c r="AG1267" s="488"/>
      <c r="AH1267" s="488"/>
      <c r="AI1267" s="488"/>
      <c r="AJ1267" s="488"/>
    </row>
    <row r="1268" spans="1:36" s="496" customFormat="1">
      <c r="A1268" s="488"/>
      <c r="C1268" s="488"/>
      <c r="D1268" s="488"/>
      <c r="E1268" s="488"/>
      <c r="F1268" s="488"/>
      <c r="G1268" s="488"/>
      <c r="H1268" s="488"/>
      <c r="I1268" s="488"/>
      <c r="J1268" s="488"/>
      <c r="K1268" s="488"/>
      <c r="L1268" s="488"/>
      <c r="M1268" s="488"/>
      <c r="N1268" s="488"/>
      <c r="O1268" s="488"/>
      <c r="P1268" s="488"/>
      <c r="Q1268" s="488"/>
      <c r="R1268" s="488"/>
      <c r="S1268" s="488"/>
      <c r="T1268" s="488"/>
      <c r="U1268" s="488"/>
      <c r="V1268" s="488"/>
      <c r="W1268" s="488"/>
      <c r="X1268" s="488"/>
      <c r="Y1268" s="488"/>
      <c r="Z1268" s="488"/>
      <c r="AA1268" s="488"/>
      <c r="AB1268" s="488"/>
      <c r="AC1268" s="488"/>
      <c r="AD1268" s="488"/>
      <c r="AE1268" s="488"/>
      <c r="AF1268" s="488"/>
      <c r="AG1268" s="488"/>
      <c r="AH1268" s="488"/>
      <c r="AI1268" s="488"/>
      <c r="AJ1268" s="488"/>
    </row>
    <row r="1269" spans="1:36" s="496" customFormat="1">
      <c r="A1269" s="488"/>
      <c r="C1269" s="488"/>
      <c r="D1269" s="488"/>
      <c r="E1269" s="488"/>
      <c r="F1269" s="488"/>
      <c r="G1269" s="488"/>
      <c r="H1269" s="488"/>
      <c r="I1269" s="488"/>
      <c r="J1269" s="488"/>
      <c r="K1269" s="488"/>
      <c r="L1269" s="488"/>
      <c r="M1269" s="488"/>
      <c r="N1269" s="488"/>
      <c r="O1269" s="488"/>
      <c r="P1269" s="488"/>
      <c r="Q1269" s="488"/>
      <c r="R1269" s="488"/>
      <c r="S1269" s="488"/>
      <c r="T1269" s="488"/>
      <c r="U1269" s="488"/>
      <c r="V1269" s="488"/>
      <c r="W1269" s="488"/>
      <c r="X1269" s="488"/>
      <c r="Y1269" s="488"/>
      <c r="Z1269" s="488"/>
      <c r="AA1269" s="488"/>
      <c r="AB1269" s="488"/>
      <c r="AC1269" s="488"/>
      <c r="AD1269" s="488"/>
      <c r="AE1269" s="488"/>
      <c r="AF1269" s="488"/>
      <c r="AG1269" s="488"/>
      <c r="AH1269" s="488"/>
      <c r="AI1269" s="488"/>
      <c r="AJ1269" s="488"/>
    </row>
    <row r="1270" spans="1:36" s="496" customFormat="1">
      <c r="A1270" s="488"/>
      <c r="C1270" s="488"/>
      <c r="D1270" s="488"/>
      <c r="E1270" s="488"/>
      <c r="F1270" s="488"/>
      <c r="G1270" s="488"/>
      <c r="H1270" s="488"/>
      <c r="I1270" s="488"/>
      <c r="J1270" s="488"/>
      <c r="K1270" s="488"/>
      <c r="L1270" s="488"/>
      <c r="M1270" s="488"/>
      <c r="N1270" s="488"/>
      <c r="O1270" s="488"/>
      <c r="P1270" s="488"/>
      <c r="Q1270" s="488"/>
      <c r="R1270" s="488"/>
      <c r="S1270" s="488"/>
      <c r="T1270" s="488"/>
      <c r="U1270" s="488"/>
      <c r="V1270" s="488"/>
      <c r="W1270" s="488"/>
      <c r="X1270" s="488"/>
      <c r="Y1270" s="488"/>
      <c r="Z1270" s="488"/>
      <c r="AA1270" s="488"/>
      <c r="AB1270" s="488"/>
      <c r="AC1270" s="488"/>
      <c r="AD1270" s="488"/>
      <c r="AE1270" s="488"/>
      <c r="AF1270" s="488"/>
      <c r="AG1270" s="488"/>
      <c r="AH1270" s="488"/>
      <c r="AI1270" s="488"/>
      <c r="AJ1270" s="488"/>
    </row>
    <row r="1271" spans="1:36" s="496" customFormat="1">
      <c r="A1271" s="488"/>
      <c r="C1271" s="488"/>
      <c r="D1271" s="488"/>
      <c r="E1271" s="488"/>
      <c r="F1271" s="488"/>
      <c r="G1271" s="488"/>
      <c r="H1271" s="488"/>
      <c r="I1271" s="488"/>
      <c r="J1271" s="488"/>
      <c r="K1271" s="488"/>
      <c r="L1271" s="488"/>
      <c r="M1271" s="488"/>
      <c r="N1271" s="488"/>
      <c r="O1271" s="488"/>
      <c r="P1271" s="488"/>
      <c r="Q1271" s="488"/>
      <c r="R1271" s="488"/>
      <c r="S1271" s="488"/>
      <c r="T1271" s="488"/>
      <c r="U1271" s="488"/>
      <c r="V1271" s="488"/>
      <c r="W1271" s="488"/>
      <c r="X1271" s="488"/>
      <c r="Y1271" s="488"/>
      <c r="Z1271" s="488"/>
      <c r="AA1271" s="488"/>
      <c r="AB1271" s="488"/>
      <c r="AC1271" s="488"/>
      <c r="AD1271" s="488"/>
      <c r="AE1271" s="488"/>
      <c r="AF1271" s="488"/>
      <c r="AG1271" s="488"/>
      <c r="AH1271" s="488"/>
      <c r="AI1271" s="488"/>
      <c r="AJ1271" s="488"/>
    </row>
    <row r="1272" spans="1:36" s="496" customFormat="1">
      <c r="A1272" s="488"/>
      <c r="C1272" s="488"/>
      <c r="D1272" s="488"/>
      <c r="E1272" s="488"/>
      <c r="F1272" s="488"/>
      <c r="G1272" s="488"/>
      <c r="H1272" s="488"/>
      <c r="I1272" s="488"/>
      <c r="J1272" s="488"/>
      <c r="K1272" s="488"/>
      <c r="L1272" s="488"/>
      <c r="M1272" s="488"/>
      <c r="N1272" s="488"/>
      <c r="O1272" s="488"/>
      <c r="P1272" s="488"/>
      <c r="Q1272" s="488"/>
      <c r="R1272" s="488"/>
      <c r="S1272" s="488"/>
      <c r="T1272" s="488"/>
      <c r="U1272" s="488"/>
      <c r="V1272" s="488"/>
      <c r="W1272" s="488"/>
      <c r="X1272" s="488"/>
      <c r="Y1272" s="488"/>
      <c r="Z1272" s="488"/>
      <c r="AA1272" s="488"/>
      <c r="AB1272" s="488"/>
      <c r="AC1272" s="488"/>
      <c r="AD1272" s="488"/>
      <c r="AE1272" s="488"/>
      <c r="AF1272" s="488"/>
      <c r="AG1272" s="488"/>
      <c r="AH1272" s="488"/>
      <c r="AI1272" s="488"/>
      <c r="AJ1272" s="488"/>
    </row>
    <row r="1273" spans="1:36" s="496" customFormat="1">
      <c r="A1273" s="488"/>
      <c r="C1273" s="488"/>
      <c r="D1273" s="488"/>
      <c r="E1273" s="488"/>
      <c r="F1273" s="488"/>
      <c r="G1273" s="488"/>
      <c r="H1273" s="488"/>
      <c r="I1273" s="488"/>
      <c r="J1273" s="488"/>
      <c r="K1273" s="488"/>
      <c r="L1273" s="488"/>
      <c r="M1273" s="488"/>
      <c r="N1273" s="488"/>
      <c r="O1273" s="488"/>
      <c r="P1273" s="488"/>
      <c r="Q1273" s="488"/>
      <c r="R1273" s="488"/>
      <c r="S1273" s="488"/>
      <c r="T1273" s="488"/>
      <c r="U1273" s="488"/>
      <c r="V1273" s="488"/>
      <c r="W1273" s="488"/>
      <c r="X1273" s="488"/>
      <c r="Y1273" s="488"/>
      <c r="Z1273" s="488"/>
      <c r="AA1273" s="488"/>
      <c r="AB1273" s="488"/>
      <c r="AC1273" s="488"/>
      <c r="AD1273" s="488"/>
      <c r="AE1273" s="488"/>
      <c r="AF1273" s="488"/>
      <c r="AG1273" s="488"/>
      <c r="AH1273" s="488"/>
      <c r="AI1273" s="488"/>
      <c r="AJ1273" s="488"/>
    </row>
    <row r="1274" spans="1:36" s="496" customFormat="1">
      <c r="A1274" s="488"/>
      <c r="C1274" s="488"/>
      <c r="D1274" s="488"/>
      <c r="E1274" s="488"/>
      <c r="F1274" s="488"/>
      <c r="G1274" s="488"/>
      <c r="H1274" s="488"/>
      <c r="I1274" s="488"/>
      <c r="J1274" s="488"/>
      <c r="K1274" s="488"/>
      <c r="L1274" s="488"/>
      <c r="M1274" s="488"/>
      <c r="N1274" s="488"/>
      <c r="O1274" s="488"/>
      <c r="P1274" s="488"/>
      <c r="Q1274" s="488"/>
      <c r="R1274" s="488"/>
      <c r="S1274" s="488"/>
      <c r="T1274" s="488"/>
      <c r="U1274" s="488"/>
      <c r="V1274" s="488"/>
      <c r="W1274" s="488"/>
      <c r="X1274" s="488"/>
      <c r="Y1274" s="488"/>
      <c r="Z1274" s="488"/>
      <c r="AA1274" s="488"/>
      <c r="AB1274" s="488"/>
      <c r="AC1274" s="488"/>
      <c r="AD1274" s="488"/>
      <c r="AE1274" s="488"/>
      <c r="AF1274" s="488"/>
      <c r="AG1274" s="488"/>
      <c r="AH1274" s="488"/>
      <c r="AI1274" s="488"/>
      <c r="AJ1274" s="488"/>
    </row>
    <row r="1275" spans="1:36" s="496" customFormat="1">
      <c r="A1275" s="488"/>
      <c r="C1275" s="488"/>
      <c r="D1275" s="488"/>
      <c r="E1275" s="488"/>
      <c r="F1275" s="488"/>
      <c r="G1275" s="488"/>
      <c r="H1275" s="488"/>
      <c r="I1275" s="488"/>
      <c r="J1275" s="488"/>
      <c r="K1275" s="488"/>
      <c r="L1275" s="488"/>
      <c r="M1275" s="488"/>
      <c r="N1275" s="488"/>
      <c r="O1275" s="488"/>
      <c r="P1275" s="488"/>
      <c r="Q1275" s="488"/>
      <c r="R1275" s="488"/>
      <c r="S1275" s="488"/>
      <c r="T1275" s="488"/>
      <c r="U1275" s="488"/>
      <c r="V1275" s="488"/>
      <c r="W1275" s="488"/>
      <c r="X1275" s="488"/>
      <c r="Y1275" s="488"/>
      <c r="Z1275" s="488"/>
      <c r="AA1275" s="488"/>
      <c r="AB1275" s="488"/>
      <c r="AC1275" s="488"/>
      <c r="AD1275" s="488"/>
      <c r="AE1275" s="488"/>
      <c r="AF1275" s="488"/>
      <c r="AG1275" s="488"/>
      <c r="AH1275" s="488"/>
      <c r="AI1275" s="488"/>
      <c r="AJ1275" s="488"/>
    </row>
    <row r="1276" spans="1:36" s="496" customFormat="1">
      <c r="A1276" s="488"/>
      <c r="C1276" s="488"/>
      <c r="D1276" s="488"/>
      <c r="E1276" s="488"/>
      <c r="F1276" s="488"/>
      <c r="G1276" s="488"/>
      <c r="H1276" s="488"/>
      <c r="I1276" s="488"/>
      <c r="J1276" s="488"/>
      <c r="K1276" s="488"/>
      <c r="L1276" s="488"/>
      <c r="M1276" s="488"/>
      <c r="N1276" s="488"/>
      <c r="O1276" s="488"/>
      <c r="P1276" s="488"/>
      <c r="Q1276" s="488"/>
      <c r="R1276" s="488"/>
      <c r="S1276" s="488"/>
      <c r="T1276" s="488"/>
      <c r="U1276" s="488"/>
      <c r="V1276" s="488"/>
      <c r="W1276" s="488"/>
      <c r="X1276" s="488"/>
      <c r="Y1276" s="488"/>
      <c r="Z1276" s="488"/>
      <c r="AA1276" s="488"/>
      <c r="AB1276" s="488"/>
      <c r="AC1276" s="488"/>
      <c r="AD1276" s="488"/>
      <c r="AE1276" s="488"/>
      <c r="AF1276" s="488"/>
      <c r="AG1276" s="488"/>
      <c r="AH1276" s="488"/>
      <c r="AI1276" s="488"/>
      <c r="AJ1276" s="488"/>
    </row>
    <row r="1277" spans="1:36" s="496" customFormat="1">
      <c r="A1277" s="488"/>
      <c r="C1277" s="488"/>
      <c r="D1277" s="488"/>
      <c r="E1277" s="488"/>
      <c r="F1277" s="488"/>
      <c r="G1277" s="488"/>
      <c r="H1277" s="488"/>
      <c r="I1277" s="488"/>
      <c r="J1277" s="488"/>
      <c r="K1277" s="488"/>
      <c r="L1277" s="488"/>
      <c r="M1277" s="488"/>
      <c r="N1277" s="488"/>
      <c r="O1277" s="488"/>
      <c r="P1277" s="488"/>
      <c r="Q1277" s="488"/>
      <c r="R1277" s="488"/>
      <c r="S1277" s="488"/>
      <c r="T1277" s="488"/>
      <c r="U1277" s="488"/>
      <c r="V1277" s="488"/>
      <c r="W1277" s="488"/>
      <c r="X1277" s="488"/>
      <c r="Y1277" s="488"/>
      <c r="Z1277" s="488"/>
      <c r="AA1277" s="488"/>
      <c r="AB1277" s="488"/>
      <c r="AC1277" s="488"/>
      <c r="AD1277" s="488"/>
      <c r="AE1277" s="488"/>
      <c r="AF1277" s="488"/>
      <c r="AG1277" s="488"/>
      <c r="AH1277" s="488"/>
      <c r="AI1277" s="488"/>
      <c r="AJ1277" s="488"/>
    </row>
    <row r="1278" spans="1:36" s="496" customFormat="1">
      <c r="A1278" s="488"/>
      <c r="C1278" s="488"/>
      <c r="D1278" s="488"/>
      <c r="E1278" s="488"/>
      <c r="F1278" s="488"/>
      <c r="G1278" s="488"/>
      <c r="H1278" s="488"/>
      <c r="I1278" s="488"/>
      <c r="J1278" s="488"/>
      <c r="K1278" s="488"/>
      <c r="L1278" s="488"/>
      <c r="M1278" s="488"/>
      <c r="N1278" s="488"/>
      <c r="O1278" s="488"/>
      <c r="P1278" s="488"/>
      <c r="Q1278" s="488"/>
      <c r="R1278" s="488"/>
      <c r="S1278" s="488"/>
      <c r="T1278" s="488"/>
      <c r="U1278" s="488"/>
      <c r="V1278" s="488"/>
      <c r="W1278" s="488"/>
      <c r="X1278" s="488"/>
      <c r="Y1278" s="488"/>
      <c r="Z1278" s="488"/>
      <c r="AA1278" s="488"/>
      <c r="AB1278" s="488"/>
      <c r="AC1278" s="488"/>
      <c r="AD1278" s="488"/>
      <c r="AE1278" s="488"/>
      <c r="AF1278" s="488"/>
      <c r="AG1278" s="488"/>
      <c r="AH1278" s="488"/>
      <c r="AI1278" s="488"/>
      <c r="AJ1278" s="488"/>
    </row>
    <row r="1279" spans="1:36" s="496" customFormat="1">
      <c r="A1279" s="488"/>
      <c r="C1279" s="488"/>
      <c r="D1279" s="488"/>
      <c r="E1279" s="488"/>
      <c r="F1279" s="488"/>
      <c r="G1279" s="488"/>
      <c r="H1279" s="488"/>
      <c r="I1279" s="488"/>
      <c r="J1279" s="488"/>
      <c r="K1279" s="488"/>
      <c r="L1279" s="488"/>
      <c r="M1279" s="488"/>
      <c r="N1279" s="488"/>
      <c r="O1279" s="488"/>
      <c r="P1279" s="488"/>
      <c r="Q1279" s="488"/>
      <c r="R1279" s="488"/>
      <c r="S1279" s="488"/>
      <c r="T1279" s="488"/>
      <c r="U1279" s="488"/>
      <c r="V1279" s="488"/>
      <c r="W1279" s="488"/>
      <c r="X1279" s="488"/>
      <c r="Y1279" s="488"/>
      <c r="Z1279" s="488"/>
      <c r="AA1279" s="488"/>
      <c r="AB1279" s="488"/>
      <c r="AC1279" s="488"/>
      <c r="AD1279" s="488"/>
      <c r="AE1279" s="488"/>
      <c r="AF1279" s="488"/>
      <c r="AG1279" s="488"/>
      <c r="AH1279" s="488"/>
      <c r="AI1279" s="488"/>
      <c r="AJ1279" s="488"/>
    </row>
    <row r="1280" spans="1:36" s="496" customFormat="1">
      <c r="A1280" s="488"/>
      <c r="C1280" s="488"/>
      <c r="D1280" s="488"/>
      <c r="E1280" s="488"/>
      <c r="F1280" s="488"/>
      <c r="G1280" s="488"/>
      <c r="H1280" s="488"/>
      <c r="I1280" s="488"/>
      <c r="J1280" s="488"/>
      <c r="K1280" s="488"/>
      <c r="L1280" s="488"/>
      <c r="M1280" s="488"/>
      <c r="N1280" s="488"/>
      <c r="O1280" s="488"/>
      <c r="P1280" s="488"/>
      <c r="Q1280" s="488"/>
      <c r="R1280" s="488"/>
      <c r="S1280" s="488"/>
      <c r="T1280" s="488"/>
      <c r="U1280" s="488"/>
      <c r="V1280" s="488"/>
      <c r="W1280" s="488"/>
      <c r="X1280" s="488"/>
      <c r="Y1280" s="488"/>
      <c r="Z1280" s="488"/>
      <c r="AA1280" s="488"/>
      <c r="AB1280" s="488"/>
      <c r="AC1280" s="488"/>
      <c r="AD1280" s="488"/>
      <c r="AE1280" s="488"/>
      <c r="AF1280" s="488"/>
      <c r="AG1280" s="488"/>
      <c r="AH1280" s="488"/>
      <c r="AI1280" s="488"/>
      <c r="AJ1280" s="488"/>
    </row>
    <row r="1281" spans="1:36" s="496" customFormat="1">
      <c r="A1281" s="488"/>
      <c r="C1281" s="488"/>
      <c r="D1281" s="488"/>
      <c r="E1281" s="488"/>
      <c r="F1281" s="488"/>
      <c r="G1281" s="488"/>
      <c r="H1281" s="488"/>
      <c r="I1281" s="488"/>
      <c r="J1281" s="488"/>
      <c r="K1281" s="488"/>
      <c r="L1281" s="488"/>
      <c r="M1281" s="488"/>
      <c r="N1281" s="488"/>
      <c r="O1281" s="488"/>
      <c r="P1281" s="488"/>
      <c r="Q1281" s="488"/>
      <c r="R1281" s="488"/>
      <c r="S1281" s="488"/>
      <c r="T1281" s="488"/>
      <c r="U1281" s="488"/>
      <c r="V1281" s="488"/>
      <c r="W1281" s="488"/>
      <c r="X1281" s="488"/>
      <c r="Y1281" s="488"/>
      <c r="Z1281" s="488"/>
      <c r="AA1281" s="488"/>
      <c r="AB1281" s="488"/>
      <c r="AC1281" s="488"/>
      <c r="AD1281" s="488"/>
      <c r="AE1281" s="488"/>
      <c r="AF1281" s="488"/>
      <c r="AG1281" s="488"/>
      <c r="AH1281" s="488"/>
      <c r="AI1281" s="488"/>
      <c r="AJ1281" s="488"/>
    </row>
    <row r="1282" spans="1:36" s="496" customFormat="1">
      <c r="A1282" s="488"/>
      <c r="C1282" s="488"/>
      <c r="D1282" s="488"/>
      <c r="E1282" s="488"/>
      <c r="F1282" s="488"/>
      <c r="G1282" s="488"/>
      <c r="H1282" s="488"/>
      <c r="I1282" s="488"/>
      <c r="J1282" s="488"/>
      <c r="K1282" s="488"/>
      <c r="L1282" s="488"/>
      <c r="M1282" s="488"/>
      <c r="N1282" s="488"/>
      <c r="O1282" s="488"/>
      <c r="P1282" s="488"/>
      <c r="Q1282" s="488"/>
      <c r="R1282" s="488"/>
      <c r="S1282" s="488"/>
      <c r="T1282" s="488"/>
      <c r="U1282" s="488"/>
      <c r="V1282" s="488"/>
      <c r="W1282" s="488"/>
      <c r="X1282" s="488"/>
      <c r="Y1282" s="488"/>
      <c r="Z1282" s="488"/>
      <c r="AA1282" s="488"/>
      <c r="AB1282" s="488"/>
      <c r="AC1282" s="488"/>
      <c r="AD1282" s="488"/>
      <c r="AE1282" s="488"/>
      <c r="AF1282" s="488"/>
      <c r="AG1282" s="488"/>
      <c r="AH1282" s="488"/>
      <c r="AI1282" s="488"/>
      <c r="AJ1282" s="488"/>
    </row>
    <row r="1283" spans="1:36" s="496" customFormat="1">
      <c r="A1283" s="488"/>
      <c r="C1283" s="488"/>
      <c r="D1283" s="488"/>
      <c r="E1283" s="488"/>
      <c r="F1283" s="488"/>
      <c r="G1283" s="488"/>
      <c r="H1283" s="488"/>
      <c r="I1283" s="488"/>
      <c r="J1283" s="488"/>
      <c r="K1283" s="488"/>
      <c r="L1283" s="488"/>
      <c r="M1283" s="488"/>
      <c r="N1283" s="488"/>
      <c r="O1283" s="488"/>
      <c r="P1283" s="488"/>
      <c r="Q1283" s="488"/>
      <c r="R1283" s="488"/>
      <c r="S1283" s="488"/>
      <c r="T1283" s="488"/>
      <c r="U1283" s="488"/>
      <c r="V1283" s="488"/>
      <c r="W1283" s="488"/>
      <c r="X1283" s="488"/>
      <c r="Y1283" s="488"/>
      <c r="Z1283" s="488"/>
      <c r="AA1283" s="488"/>
      <c r="AB1283" s="488"/>
      <c r="AC1283" s="488"/>
      <c r="AD1283" s="488"/>
      <c r="AE1283" s="488"/>
      <c r="AF1283" s="488"/>
      <c r="AG1283" s="488"/>
      <c r="AH1283" s="488"/>
      <c r="AI1283" s="488"/>
      <c r="AJ1283" s="488"/>
    </row>
    <row r="1284" spans="1:36" s="496" customFormat="1">
      <c r="A1284" s="488"/>
      <c r="C1284" s="488"/>
      <c r="D1284" s="488"/>
      <c r="E1284" s="488"/>
      <c r="F1284" s="488"/>
      <c r="G1284" s="488"/>
      <c r="H1284" s="488"/>
      <c r="I1284" s="488"/>
      <c r="J1284" s="488"/>
      <c r="K1284" s="488"/>
      <c r="L1284" s="488"/>
      <c r="M1284" s="488"/>
      <c r="N1284" s="488"/>
      <c r="O1284" s="488"/>
      <c r="P1284" s="488"/>
      <c r="Q1284" s="488"/>
      <c r="R1284" s="488"/>
      <c r="S1284" s="488"/>
      <c r="T1284" s="488"/>
      <c r="U1284" s="488"/>
      <c r="V1284" s="488"/>
      <c r="W1284" s="488"/>
      <c r="X1284" s="488"/>
      <c r="Y1284" s="488"/>
      <c r="Z1284" s="488"/>
      <c r="AA1284" s="488"/>
      <c r="AB1284" s="488"/>
      <c r="AC1284" s="488"/>
      <c r="AD1284" s="488"/>
      <c r="AE1284" s="488"/>
      <c r="AF1284" s="488"/>
      <c r="AG1284" s="488"/>
      <c r="AH1284" s="488"/>
      <c r="AI1284" s="488"/>
      <c r="AJ1284" s="488"/>
    </row>
    <row r="1285" spans="1:36" s="496" customFormat="1">
      <c r="A1285" s="488"/>
      <c r="C1285" s="488"/>
      <c r="D1285" s="488"/>
      <c r="E1285" s="488"/>
      <c r="F1285" s="488"/>
      <c r="G1285" s="488"/>
      <c r="H1285" s="488"/>
      <c r="I1285" s="488"/>
      <c r="J1285" s="488"/>
      <c r="K1285" s="488"/>
      <c r="L1285" s="488"/>
      <c r="M1285" s="488"/>
      <c r="N1285" s="488"/>
      <c r="O1285" s="488"/>
      <c r="P1285" s="488"/>
      <c r="Q1285" s="488"/>
      <c r="R1285" s="488"/>
      <c r="S1285" s="488"/>
      <c r="T1285" s="488"/>
      <c r="U1285" s="488"/>
      <c r="V1285" s="488"/>
      <c r="W1285" s="488"/>
      <c r="X1285" s="488"/>
      <c r="Y1285" s="488"/>
      <c r="Z1285" s="488"/>
      <c r="AA1285" s="488"/>
      <c r="AB1285" s="488"/>
      <c r="AC1285" s="488"/>
      <c r="AD1285" s="488"/>
      <c r="AE1285" s="488"/>
      <c r="AF1285" s="488"/>
      <c r="AG1285" s="488"/>
      <c r="AH1285" s="488"/>
      <c r="AI1285" s="488"/>
      <c r="AJ1285" s="488"/>
    </row>
    <row r="1286" spans="1:36" s="496" customFormat="1">
      <c r="A1286" s="488"/>
      <c r="C1286" s="488"/>
      <c r="D1286" s="488"/>
      <c r="E1286" s="488"/>
      <c r="F1286" s="488"/>
      <c r="G1286" s="488"/>
      <c r="H1286" s="488"/>
      <c r="I1286" s="488"/>
      <c r="J1286" s="488"/>
      <c r="K1286" s="488"/>
      <c r="L1286" s="488"/>
      <c r="M1286" s="488"/>
      <c r="N1286" s="488"/>
      <c r="O1286" s="488"/>
      <c r="P1286" s="488"/>
      <c r="Q1286" s="488"/>
      <c r="R1286" s="488"/>
      <c r="S1286" s="488"/>
      <c r="T1286" s="488"/>
      <c r="U1286" s="488"/>
      <c r="V1286" s="488"/>
      <c r="W1286" s="488"/>
      <c r="X1286" s="488"/>
      <c r="Y1286" s="488"/>
      <c r="Z1286" s="488"/>
      <c r="AA1286" s="488"/>
      <c r="AB1286" s="488"/>
      <c r="AC1286" s="488"/>
      <c r="AD1286" s="488"/>
      <c r="AE1286" s="488"/>
      <c r="AF1286" s="488"/>
      <c r="AG1286" s="488"/>
      <c r="AH1286" s="488"/>
      <c r="AI1286" s="488"/>
      <c r="AJ1286" s="488"/>
    </row>
    <row r="1287" spans="1:36" s="496" customFormat="1">
      <c r="A1287" s="488"/>
      <c r="C1287" s="488"/>
      <c r="D1287" s="488"/>
      <c r="E1287" s="488"/>
      <c r="F1287" s="488"/>
      <c r="G1287" s="488"/>
      <c r="H1287" s="488"/>
      <c r="I1287" s="488"/>
      <c r="J1287" s="488"/>
      <c r="K1287" s="488"/>
      <c r="L1287" s="488"/>
      <c r="M1287" s="488"/>
      <c r="N1287" s="488"/>
      <c r="O1287" s="488"/>
      <c r="P1287" s="488"/>
      <c r="Q1287" s="488"/>
      <c r="R1287" s="488"/>
      <c r="S1287" s="488"/>
      <c r="T1287" s="488"/>
      <c r="U1287" s="488"/>
      <c r="V1287" s="488"/>
      <c r="W1287" s="488"/>
      <c r="X1287" s="488"/>
      <c r="Y1287" s="488"/>
      <c r="Z1287" s="488"/>
      <c r="AA1287" s="488"/>
      <c r="AB1287" s="488"/>
      <c r="AC1287" s="488"/>
      <c r="AD1287" s="488"/>
      <c r="AE1287" s="488"/>
      <c r="AF1287" s="488"/>
      <c r="AG1287" s="488"/>
      <c r="AH1287" s="488"/>
      <c r="AI1287" s="488"/>
      <c r="AJ1287" s="488"/>
    </row>
    <row r="1288" spans="1:36" s="496" customFormat="1">
      <c r="A1288" s="488"/>
      <c r="C1288" s="488"/>
      <c r="D1288" s="488"/>
      <c r="E1288" s="488"/>
      <c r="F1288" s="488"/>
      <c r="G1288" s="488"/>
      <c r="H1288" s="488"/>
      <c r="I1288" s="488"/>
      <c r="J1288" s="488"/>
      <c r="K1288" s="488"/>
      <c r="L1288" s="488"/>
      <c r="M1288" s="488"/>
      <c r="N1288" s="488"/>
      <c r="O1288" s="488"/>
      <c r="P1288" s="488"/>
      <c r="Q1288" s="488"/>
      <c r="R1288" s="488"/>
      <c r="S1288" s="488"/>
      <c r="T1288" s="488"/>
      <c r="U1288" s="488"/>
      <c r="V1288" s="488"/>
      <c r="W1288" s="488"/>
      <c r="X1288" s="488"/>
      <c r="Y1288" s="488"/>
      <c r="Z1288" s="488"/>
      <c r="AA1288" s="488"/>
      <c r="AB1288" s="488"/>
      <c r="AC1288" s="488"/>
      <c r="AD1288" s="488"/>
      <c r="AE1288" s="488"/>
      <c r="AF1288" s="488"/>
      <c r="AG1288" s="488"/>
      <c r="AH1288" s="488"/>
      <c r="AI1288" s="488"/>
      <c r="AJ1288" s="488"/>
    </row>
    <row r="1289" spans="1:36" s="496" customFormat="1">
      <c r="A1289" s="488"/>
      <c r="C1289" s="488"/>
      <c r="D1289" s="488"/>
      <c r="E1289" s="488"/>
      <c r="F1289" s="488"/>
      <c r="G1289" s="488"/>
      <c r="H1289" s="488"/>
      <c r="I1289" s="488"/>
      <c r="J1289" s="488"/>
      <c r="K1289" s="488"/>
      <c r="L1289" s="488"/>
      <c r="M1289" s="488"/>
      <c r="N1289" s="488"/>
      <c r="O1289" s="488"/>
      <c r="P1289" s="488"/>
      <c r="Q1289" s="488"/>
      <c r="R1289" s="488"/>
      <c r="S1289" s="488"/>
      <c r="T1289" s="488"/>
      <c r="U1289" s="488"/>
      <c r="V1289" s="488"/>
      <c r="W1289" s="488"/>
      <c r="X1289" s="488"/>
      <c r="Y1289" s="488"/>
      <c r="Z1289" s="488"/>
      <c r="AA1289" s="488"/>
      <c r="AB1289" s="488"/>
      <c r="AC1289" s="488"/>
      <c r="AD1289" s="488"/>
      <c r="AE1289" s="488"/>
      <c r="AF1289" s="488"/>
      <c r="AG1289" s="488"/>
      <c r="AH1289" s="488"/>
      <c r="AI1289" s="488"/>
      <c r="AJ1289" s="488"/>
    </row>
    <row r="1290" spans="1:36" s="496" customFormat="1">
      <c r="A1290" s="488"/>
      <c r="C1290" s="488"/>
      <c r="D1290" s="488"/>
      <c r="E1290" s="488"/>
      <c r="F1290" s="488"/>
      <c r="G1290" s="488"/>
      <c r="H1290" s="488"/>
      <c r="I1290" s="488"/>
      <c r="J1290" s="488"/>
      <c r="K1290" s="488"/>
      <c r="L1290" s="488"/>
      <c r="M1290" s="488"/>
      <c r="N1290" s="488"/>
      <c r="O1290" s="488"/>
      <c r="P1290" s="488"/>
      <c r="Q1290" s="488"/>
      <c r="R1290" s="488"/>
      <c r="S1290" s="488"/>
      <c r="T1290" s="488"/>
      <c r="U1290" s="488"/>
      <c r="V1290" s="488"/>
      <c r="W1290" s="488"/>
      <c r="X1290" s="488"/>
      <c r="Y1290" s="488"/>
      <c r="Z1290" s="488"/>
      <c r="AA1290" s="488"/>
      <c r="AB1290" s="488"/>
      <c r="AC1290" s="488"/>
      <c r="AD1290" s="488"/>
      <c r="AE1290" s="488"/>
      <c r="AF1290" s="488"/>
      <c r="AG1290" s="488"/>
      <c r="AH1290" s="488"/>
      <c r="AI1290" s="488"/>
      <c r="AJ1290" s="488"/>
    </row>
    <row r="1291" spans="1:36" s="496" customFormat="1">
      <c r="A1291" s="488"/>
      <c r="C1291" s="488"/>
      <c r="D1291" s="488"/>
      <c r="E1291" s="488"/>
      <c r="F1291" s="488"/>
      <c r="G1291" s="488"/>
      <c r="H1291" s="488"/>
      <c r="I1291" s="488"/>
      <c r="J1291" s="488"/>
      <c r="K1291" s="488"/>
      <c r="L1291" s="488"/>
      <c r="M1291" s="488"/>
      <c r="N1291" s="488"/>
      <c r="O1291" s="488"/>
      <c r="P1291" s="488"/>
      <c r="Q1291" s="488"/>
      <c r="R1291" s="488"/>
      <c r="S1291" s="488"/>
      <c r="T1291" s="488"/>
      <c r="U1291" s="488"/>
      <c r="V1291" s="488"/>
      <c r="W1291" s="488"/>
      <c r="X1291" s="488"/>
      <c r="Y1291" s="488"/>
      <c r="Z1291" s="488"/>
      <c r="AA1291" s="488"/>
      <c r="AB1291" s="488"/>
      <c r="AC1291" s="488"/>
      <c r="AD1291" s="488"/>
      <c r="AE1291" s="488"/>
      <c r="AF1291" s="488"/>
      <c r="AG1291" s="488"/>
      <c r="AH1291" s="488"/>
      <c r="AI1291" s="488"/>
      <c r="AJ1291" s="488"/>
    </row>
    <row r="1292" spans="1:36" s="496" customFormat="1">
      <c r="A1292" s="488"/>
      <c r="C1292" s="488"/>
      <c r="D1292" s="488"/>
      <c r="E1292" s="488"/>
      <c r="F1292" s="488"/>
      <c r="G1292" s="488"/>
      <c r="H1292" s="488"/>
      <c r="I1292" s="488"/>
      <c r="J1292" s="488"/>
      <c r="K1292" s="488"/>
      <c r="L1292" s="488"/>
      <c r="M1292" s="488"/>
      <c r="N1292" s="488"/>
      <c r="O1292" s="488"/>
      <c r="P1292" s="488"/>
      <c r="Q1292" s="488"/>
      <c r="R1292" s="488"/>
      <c r="S1292" s="488"/>
      <c r="T1292" s="488"/>
      <c r="U1292" s="488"/>
      <c r="V1292" s="488"/>
      <c r="W1292" s="488"/>
      <c r="X1292" s="488"/>
      <c r="Y1292" s="488"/>
      <c r="Z1292" s="488"/>
      <c r="AA1292" s="488"/>
      <c r="AB1292" s="488"/>
      <c r="AC1292" s="488"/>
      <c r="AD1292" s="488"/>
      <c r="AE1292" s="488"/>
      <c r="AF1292" s="488"/>
      <c r="AG1292" s="488"/>
      <c r="AH1292" s="488"/>
      <c r="AI1292" s="488"/>
      <c r="AJ1292" s="488"/>
    </row>
    <row r="1293" spans="1:36" s="496" customFormat="1">
      <c r="A1293" s="488"/>
      <c r="C1293" s="488"/>
      <c r="D1293" s="488"/>
      <c r="E1293" s="488"/>
      <c r="F1293" s="488"/>
      <c r="G1293" s="488"/>
      <c r="H1293" s="488"/>
      <c r="I1293" s="488"/>
      <c r="J1293" s="488"/>
      <c r="K1293" s="488"/>
      <c r="L1293" s="488"/>
      <c r="M1293" s="488"/>
      <c r="N1293" s="488"/>
      <c r="O1293" s="488"/>
      <c r="P1293" s="488"/>
      <c r="Q1293" s="488"/>
      <c r="R1293" s="488"/>
      <c r="S1293" s="488"/>
      <c r="T1293" s="488"/>
      <c r="U1293" s="488"/>
      <c r="V1293" s="488"/>
      <c r="W1293" s="488"/>
      <c r="X1293" s="488"/>
      <c r="Y1293" s="488"/>
      <c r="Z1293" s="488"/>
      <c r="AA1293" s="488"/>
      <c r="AB1293" s="488"/>
      <c r="AC1293" s="488"/>
      <c r="AD1293" s="488"/>
      <c r="AE1293" s="488"/>
      <c r="AF1293" s="488"/>
      <c r="AG1293" s="488"/>
      <c r="AH1293" s="488"/>
      <c r="AI1293" s="488"/>
      <c r="AJ1293" s="488"/>
    </row>
    <row r="1294" spans="1:36" s="496" customFormat="1">
      <c r="A1294" s="488"/>
      <c r="C1294" s="488"/>
      <c r="D1294" s="488"/>
      <c r="E1294" s="488"/>
      <c r="F1294" s="488"/>
      <c r="G1294" s="488"/>
      <c r="H1294" s="488"/>
      <c r="I1294" s="488"/>
      <c r="J1294" s="488"/>
      <c r="K1294" s="488"/>
      <c r="L1294" s="488"/>
      <c r="M1294" s="488"/>
      <c r="N1294" s="488"/>
      <c r="O1294" s="488"/>
      <c r="P1294" s="488"/>
      <c r="Q1294" s="488"/>
      <c r="R1294" s="488"/>
      <c r="S1294" s="488"/>
      <c r="T1294" s="488"/>
      <c r="U1294" s="488"/>
      <c r="V1294" s="488"/>
      <c r="W1294" s="488"/>
      <c r="X1294" s="488"/>
      <c r="Y1294" s="488"/>
      <c r="Z1294" s="488"/>
      <c r="AA1294" s="488"/>
      <c r="AB1294" s="488"/>
      <c r="AC1294" s="488"/>
      <c r="AD1294" s="488"/>
      <c r="AE1294" s="488"/>
      <c r="AF1294" s="488"/>
      <c r="AG1294" s="488"/>
      <c r="AH1294" s="488"/>
      <c r="AI1294" s="488"/>
      <c r="AJ1294" s="488"/>
    </row>
    <row r="1295" spans="1:36" s="496" customFormat="1">
      <c r="A1295" s="488"/>
      <c r="C1295" s="488"/>
      <c r="D1295" s="488"/>
      <c r="E1295" s="488"/>
      <c r="F1295" s="488"/>
      <c r="G1295" s="488"/>
      <c r="H1295" s="488"/>
      <c r="I1295" s="488"/>
      <c r="J1295" s="488"/>
      <c r="K1295" s="488"/>
      <c r="L1295" s="488"/>
      <c r="M1295" s="488"/>
      <c r="N1295" s="488"/>
      <c r="O1295" s="488"/>
      <c r="P1295" s="488"/>
      <c r="Q1295" s="488"/>
      <c r="R1295" s="488"/>
      <c r="S1295" s="488"/>
      <c r="T1295" s="488"/>
      <c r="U1295" s="488"/>
      <c r="V1295" s="488"/>
      <c r="W1295" s="488"/>
      <c r="X1295" s="488"/>
      <c r="Y1295" s="488"/>
      <c r="Z1295" s="488"/>
      <c r="AA1295" s="488"/>
      <c r="AB1295" s="488"/>
      <c r="AC1295" s="488"/>
      <c r="AD1295" s="488"/>
      <c r="AE1295" s="488"/>
      <c r="AF1295" s="488"/>
      <c r="AG1295" s="488"/>
      <c r="AH1295" s="488"/>
      <c r="AI1295" s="488"/>
      <c r="AJ1295" s="488"/>
    </row>
    <row r="1296" spans="1:36" s="496" customFormat="1">
      <c r="A1296" s="488"/>
      <c r="C1296" s="488"/>
      <c r="D1296" s="488"/>
      <c r="E1296" s="488"/>
      <c r="F1296" s="488"/>
      <c r="G1296" s="488"/>
      <c r="H1296" s="488"/>
      <c r="I1296" s="488"/>
      <c r="J1296" s="488"/>
      <c r="K1296" s="488"/>
      <c r="L1296" s="488"/>
      <c r="M1296" s="488"/>
      <c r="N1296" s="488"/>
      <c r="O1296" s="488"/>
      <c r="P1296" s="488"/>
      <c r="Q1296" s="488"/>
      <c r="R1296" s="488"/>
      <c r="S1296" s="488"/>
      <c r="T1296" s="488"/>
      <c r="U1296" s="488"/>
      <c r="V1296" s="488"/>
      <c r="W1296" s="488"/>
      <c r="X1296" s="488"/>
      <c r="Y1296" s="488"/>
      <c r="Z1296" s="488"/>
      <c r="AA1296" s="488"/>
      <c r="AB1296" s="488"/>
      <c r="AC1296" s="488"/>
      <c r="AD1296" s="488"/>
      <c r="AE1296" s="488"/>
      <c r="AF1296" s="488"/>
      <c r="AG1296" s="488"/>
      <c r="AH1296" s="488"/>
      <c r="AI1296" s="488"/>
      <c r="AJ1296" s="488"/>
    </row>
    <row r="1297" spans="1:36" s="496" customFormat="1">
      <c r="A1297" s="488"/>
      <c r="C1297" s="488"/>
      <c r="D1297" s="488"/>
      <c r="E1297" s="488"/>
      <c r="F1297" s="488"/>
      <c r="G1297" s="488"/>
      <c r="H1297" s="488"/>
      <c r="I1297" s="488"/>
      <c r="J1297" s="488"/>
      <c r="K1297" s="488"/>
      <c r="L1297" s="488"/>
      <c r="M1297" s="488"/>
      <c r="N1297" s="488"/>
      <c r="O1297" s="488"/>
      <c r="P1297" s="488"/>
      <c r="Q1297" s="488"/>
      <c r="R1297" s="488"/>
      <c r="S1297" s="488"/>
      <c r="T1297" s="488"/>
      <c r="U1297" s="488"/>
      <c r="V1297" s="488"/>
      <c r="W1297" s="488"/>
      <c r="X1297" s="488"/>
      <c r="Y1297" s="488"/>
      <c r="Z1297" s="488"/>
      <c r="AA1297" s="488"/>
      <c r="AB1297" s="488"/>
      <c r="AC1297" s="488"/>
      <c r="AD1297" s="488"/>
      <c r="AE1297" s="488"/>
      <c r="AF1297" s="488"/>
      <c r="AG1297" s="488"/>
      <c r="AH1297" s="488"/>
      <c r="AI1297" s="488"/>
      <c r="AJ1297" s="488"/>
    </row>
    <row r="1298" spans="1:36" s="496" customFormat="1">
      <c r="A1298" s="488"/>
      <c r="C1298" s="488"/>
      <c r="D1298" s="488"/>
      <c r="E1298" s="488"/>
      <c r="F1298" s="488"/>
      <c r="G1298" s="488"/>
      <c r="H1298" s="488"/>
      <c r="I1298" s="488"/>
      <c r="J1298" s="488"/>
      <c r="K1298" s="488"/>
      <c r="L1298" s="488"/>
      <c r="M1298" s="488"/>
      <c r="N1298" s="488"/>
      <c r="O1298" s="488"/>
      <c r="P1298" s="488"/>
      <c r="Q1298" s="488"/>
      <c r="R1298" s="488"/>
      <c r="S1298" s="488"/>
      <c r="T1298" s="488"/>
      <c r="U1298" s="488"/>
      <c r="V1298" s="488"/>
      <c r="W1298" s="488"/>
      <c r="X1298" s="488"/>
      <c r="Y1298" s="488"/>
      <c r="Z1298" s="488"/>
      <c r="AA1298" s="488"/>
      <c r="AB1298" s="488"/>
      <c r="AC1298" s="488"/>
      <c r="AD1298" s="488"/>
      <c r="AE1298" s="488"/>
      <c r="AF1298" s="488"/>
      <c r="AG1298" s="488"/>
      <c r="AH1298" s="488"/>
      <c r="AI1298" s="488"/>
      <c r="AJ1298" s="488"/>
    </row>
    <row r="1299" spans="1:36" s="496" customFormat="1">
      <c r="A1299" s="488"/>
      <c r="C1299" s="488"/>
      <c r="D1299" s="488"/>
      <c r="E1299" s="488"/>
      <c r="F1299" s="488"/>
      <c r="G1299" s="488"/>
      <c r="H1299" s="488"/>
      <c r="I1299" s="488"/>
      <c r="J1299" s="488"/>
      <c r="K1299" s="488"/>
      <c r="L1299" s="488"/>
      <c r="M1299" s="488"/>
      <c r="N1299" s="488"/>
      <c r="O1299" s="488"/>
      <c r="P1299" s="488"/>
      <c r="Q1299" s="488"/>
      <c r="R1299" s="488"/>
      <c r="S1299" s="488"/>
      <c r="T1299" s="488"/>
      <c r="U1299" s="488"/>
      <c r="V1299" s="488"/>
      <c r="W1299" s="488"/>
      <c r="X1299" s="488"/>
      <c r="Y1299" s="488"/>
      <c r="Z1299" s="488"/>
      <c r="AA1299" s="488"/>
      <c r="AB1299" s="488"/>
      <c r="AC1299" s="488"/>
      <c r="AD1299" s="488"/>
      <c r="AE1299" s="488"/>
      <c r="AF1299" s="488"/>
      <c r="AG1299" s="488"/>
      <c r="AH1299" s="488"/>
      <c r="AI1299" s="488"/>
      <c r="AJ1299" s="488"/>
    </row>
    <row r="1300" spans="1:36" s="496" customFormat="1">
      <c r="A1300" s="488"/>
      <c r="C1300" s="488"/>
      <c r="D1300" s="488"/>
      <c r="E1300" s="488"/>
      <c r="F1300" s="488"/>
      <c r="G1300" s="488"/>
      <c r="H1300" s="488"/>
      <c r="I1300" s="488"/>
      <c r="J1300" s="488"/>
      <c r="K1300" s="488"/>
      <c r="L1300" s="488"/>
      <c r="M1300" s="488"/>
      <c r="N1300" s="488"/>
      <c r="O1300" s="488"/>
      <c r="P1300" s="488"/>
      <c r="Q1300" s="488"/>
      <c r="R1300" s="488"/>
      <c r="S1300" s="488"/>
      <c r="T1300" s="488"/>
      <c r="U1300" s="488"/>
      <c r="V1300" s="488"/>
      <c r="W1300" s="488"/>
      <c r="X1300" s="488"/>
      <c r="Y1300" s="488"/>
      <c r="Z1300" s="488"/>
      <c r="AA1300" s="488"/>
      <c r="AB1300" s="488"/>
      <c r="AC1300" s="488"/>
      <c r="AD1300" s="488"/>
      <c r="AE1300" s="488"/>
      <c r="AF1300" s="488"/>
      <c r="AG1300" s="488"/>
      <c r="AH1300" s="488"/>
      <c r="AI1300" s="488"/>
      <c r="AJ1300" s="488"/>
    </row>
    <row r="1301" spans="1:36" s="496" customFormat="1">
      <c r="A1301" s="488"/>
      <c r="C1301" s="488"/>
      <c r="D1301" s="488"/>
      <c r="E1301" s="488"/>
      <c r="F1301" s="488"/>
      <c r="G1301" s="488"/>
      <c r="H1301" s="488"/>
      <c r="I1301" s="488"/>
      <c r="J1301" s="488"/>
      <c r="K1301" s="488"/>
      <c r="L1301" s="488"/>
      <c r="M1301" s="488"/>
      <c r="N1301" s="488"/>
      <c r="O1301" s="488"/>
      <c r="P1301" s="488"/>
      <c r="Q1301" s="488"/>
      <c r="R1301" s="488"/>
      <c r="S1301" s="488"/>
      <c r="T1301" s="488"/>
      <c r="U1301" s="488"/>
      <c r="V1301" s="488"/>
      <c r="W1301" s="488"/>
      <c r="X1301" s="488"/>
      <c r="Y1301" s="488"/>
      <c r="Z1301" s="488"/>
      <c r="AA1301" s="488"/>
      <c r="AB1301" s="488"/>
      <c r="AC1301" s="488"/>
      <c r="AD1301" s="488"/>
      <c r="AE1301" s="488"/>
      <c r="AF1301" s="488"/>
      <c r="AG1301" s="488"/>
      <c r="AH1301" s="488"/>
      <c r="AI1301" s="488"/>
      <c r="AJ1301" s="488"/>
    </row>
    <row r="1302" spans="1:36" s="496" customFormat="1">
      <c r="A1302" s="488"/>
      <c r="C1302" s="488"/>
      <c r="D1302" s="488"/>
      <c r="E1302" s="488"/>
      <c r="F1302" s="488"/>
      <c r="G1302" s="488"/>
      <c r="H1302" s="488"/>
      <c r="I1302" s="488"/>
      <c r="J1302" s="488"/>
      <c r="K1302" s="488"/>
      <c r="L1302" s="488"/>
      <c r="M1302" s="488"/>
      <c r="N1302" s="488"/>
      <c r="O1302" s="488"/>
      <c r="P1302" s="488"/>
      <c r="Q1302" s="488"/>
      <c r="R1302" s="488"/>
      <c r="S1302" s="488"/>
      <c r="T1302" s="488"/>
      <c r="U1302" s="488"/>
      <c r="V1302" s="488"/>
      <c r="W1302" s="488"/>
      <c r="X1302" s="488"/>
      <c r="Y1302" s="488"/>
      <c r="Z1302" s="488"/>
      <c r="AA1302" s="488"/>
      <c r="AB1302" s="488"/>
      <c r="AC1302" s="488"/>
      <c r="AD1302" s="488"/>
      <c r="AE1302" s="488"/>
      <c r="AF1302" s="488"/>
      <c r="AG1302" s="488"/>
      <c r="AH1302" s="488"/>
      <c r="AI1302" s="488"/>
      <c r="AJ1302" s="488"/>
    </row>
    <row r="1303" spans="1:36" s="496" customFormat="1">
      <c r="A1303" s="488"/>
      <c r="C1303" s="488"/>
      <c r="D1303" s="488"/>
      <c r="E1303" s="488"/>
      <c r="F1303" s="488"/>
      <c r="G1303" s="488"/>
      <c r="H1303" s="488"/>
      <c r="I1303" s="488"/>
      <c r="J1303" s="488"/>
      <c r="K1303" s="488"/>
      <c r="L1303" s="488"/>
      <c r="M1303" s="488"/>
      <c r="N1303" s="488"/>
      <c r="O1303" s="488"/>
      <c r="P1303" s="488"/>
      <c r="Q1303" s="488"/>
      <c r="R1303" s="488"/>
      <c r="S1303" s="488"/>
      <c r="T1303" s="488"/>
      <c r="U1303" s="488"/>
      <c r="V1303" s="488"/>
      <c r="W1303" s="488"/>
      <c r="X1303" s="488"/>
      <c r="Y1303" s="488"/>
      <c r="Z1303" s="488"/>
      <c r="AA1303" s="488"/>
      <c r="AB1303" s="488"/>
      <c r="AC1303" s="488"/>
      <c r="AD1303" s="488"/>
      <c r="AE1303" s="488"/>
      <c r="AF1303" s="488"/>
      <c r="AG1303" s="488"/>
      <c r="AH1303" s="488"/>
      <c r="AI1303" s="488"/>
      <c r="AJ1303" s="488"/>
    </row>
    <row r="1304" spans="1:36" s="496" customFormat="1">
      <c r="A1304" s="488"/>
      <c r="C1304" s="488"/>
      <c r="D1304" s="488"/>
      <c r="E1304" s="488"/>
      <c r="F1304" s="488"/>
      <c r="G1304" s="488"/>
      <c r="H1304" s="488"/>
      <c r="I1304" s="488"/>
      <c r="J1304" s="488"/>
      <c r="K1304" s="488"/>
      <c r="L1304" s="488"/>
      <c r="M1304" s="488"/>
      <c r="N1304" s="488"/>
      <c r="O1304" s="488"/>
      <c r="P1304" s="488"/>
      <c r="Q1304" s="488"/>
      <c r="R1304" s="488"/>
      <c r="S1304" s="488"/>
      <c r="T1304" s="488"/>
      <c r="U1304" s="488"/>
      <c r="V1304" s="488"/>
      <c r="W1304" s="488"/>
      <c r="X1304" s="488"/>
      <c r="Y1304" s="488"/>
      <c r="Z1304" s="488"/>
      <c r="AA1304" s="488"/>
      <c r="AB1304" s="488"/>
      <c r="AC1304" s="488"/>
      <c r="AD1304" s="488"/>
      <c r="AE1304" s="488"/>
      <c r="AF1304" s="488"/>
      <c r="AG1304" s="488"/>
      <c r="AH1304" s="488"/>
      <c r="AI1304" s="488"/>
      <c r="AJ1304" s="488"/>
    </row>
    <row r="1305" spans="1:36" s="496" customFormat="1">
      <c r="A1305" s="488"/>
      <c r="C1305" s="488"/>
      <c r="D1305" s="488"/>
      <c r="E1305" s="488"/>
      <c r="F1305" s="488"/>
      <c r="G1305" s="488"/>
      <c r="H1305" s="488"/>
      <c r="I1305" s="488"/>
      <c r="J1305" s="488"/>
      <c r="K1305" s="488"/>
      <c r="L1305" s="488"/>
      <c r="M1305" s="488"/>
      <c r="N1305" s="488"/>
      <c r="O1305" s="488"/>
      <c r="P1305" s="488"/>
      <c r="Q1305" s="488"/>
      <c r="R1305" s="488"/>
      <c r="S1305" s="488"/>
      <c r="T1305" s="488"/>
      <c r="U1305" s="488"/>
      <c r="V1305" s="488"/>
      <c r="W1305" s="488"/>
      <c r="X1305" s="488"/>
      <c r="Y1305" s="488"/>
      <c r="Z1305" s="488"/>
      <c r="AA1305" s="488"/>
      <c r="AB1305" s="488"/>
      <c r="AC1305" s="488"/>
      <c r="AD1305" s="488"/>
      <c r="AE1305" s="488"/>
      <c r="AF1305" s="488"/>
      <c r="AG1305" s="488"/>
      <c r="AH1305" s="488"/>
      <c r="AI1305" s="488"/>
      <c r="AJ1305" s="488"/>
    </row>
    <row r="1306" spans="1:36" s="496" customFormat="1">
      <c r="A1306" s="488"/>
      <c r="C1306" s="488"/>
      <c r="D1306" s="488"/>
      <c r="E1306" s="488"/>
      <c r="F1306" s="488"/>
      <c r="G1306" s="488"/>
      <c r="H1306" s="488"/>
      <c r="I1306" s="488"/>
      <c r="J1306" s="488"/>
      <c r="K1306" s="488"/>
      <c r="L1306" s="488"/>
      <c r="M1306" s="488"/>
      <c r="N1306" s="488"/>
      <c r="O1306" s="488"/>
      <c r="P1306" s="488"/>
      <c r="Q1306" s="488"/>
      <c r="R1306" s="488"/>
      <c r="S1306" s="488"/>
      <c r="T1306" s="488"/>
      <c r="U1306" s="488"/>
      <c r="V1306" s="488"/>
      <c r="W1306" s="488"/>
      <c r="X1306" s="488"/>
      <c r="Y1306" s="488"/>
      <c r="Z1306" s="488"/>
      <c r="AA1306" s="488"/>
      <c r="AB1306" s="488"/>
      <c r="AC1306" s="488"/>
      <c r="AD1306" s="488"/>
      <c r="AE1306" s="488"/>
      <c r="AF1306" s="488"/>
      <c r="AG1306" s="488"/>
      <c r="AH1306" s="488"/>
      <c r="AI1306" s="488"/>
      <c r="AJ1306" s="488"/>
    </row>
    <row r="1307" spans="1:36" s="496" customFormat="1">
      <c r="A1307" s="488"/>
      <c r="C1307" s="488"/>
      <c r="D1307" s="488"/>
      <c r="E1307" s="488"/>
      <c r="F1307" s="488"/>
      <c r="G1307" s="488"/>
      <c r="H1307" s="488"/>
      <c r="I1307" s="488"/>
      <c r="J1307" s="488"/>
      <c r="K1307" s="488"/>
      <c r="L1307" s="488"/>
      <c r="M1307" s="488"/>
      <c r="N1307" s="488"/>
      <c r="O1307" s="488"/>
      <c r="P1307" s="488"/>
      <c r="Q1307" s="488"/>
      <c r="R1307" s="488"/>
      <c r="S1307" s="488"/>
      <c r="T1307" s="488"/>
      <c r="U1307" s="488"/>
      <c r="V1307" s="488"/>
      <c r="W1307" s="488"/>
      <c r="X1307" s="488"/>
      <c r="Y1307" s="488"/>
      <c r="Z1307" s="488"/>
      <c r="AA1307" s="488"/>
      <c r="AB1307" s="488"/>
      <c r="AC1307" s="488"/>
      <c r="AD1307" s="488"/>
      <c r="AE1307" s="488"/>
      <c r="AF1307" s="488"/>
      <c r="AG1307" s="488"/>
      <c r="AH1307" s="488"/>
      <c r="AI1307" s="488"/>
      <c r="AJ1307" s="488"/>
    </row>
    <row r="1308" spans="1:36" s="496" customFormat="1">
      <c r="A1308" s="488"/>
      <c r="C1308" s="488"/>
      <c r="D1308" s="488"/>
      <c r="E1308" s="488"/>
      <c r="F1308" s="488"/>
      <c r="G1308" s="488"/>
      <c r="H1308" s="488"/>
      <c r="I1308" s="488"/>
      <c r="J1308" s="488"/>
      <c r="K1308" s="488"/>
      <c r="L1308" s="488"/>
      <c r="M1308" s="488"/>
      <c r="N1308" s="488"/>
      <c r="O1308" s="488"/>
      <c r="P1308" s="488"/>
      <c r="Q1308" s="488"/>
      <c r="R1308" s="488"/>
      <c r="S1308" s="488"/>
      <c r="T1308" s="488"/>
      <c r="U1308" s="488"/>
      <c r="V1308" s="488"/>
      <c r="W1308" s="488"/>
      <c r="X1308" s="488"/>
      <c r="Y1308" s="488"/>
      <c r="Z1308" s="488"/>
      <c r="AA1308" s="488"/>
      <c r="AB1308" s="488"/>
      <c r="AC1308" s="488"/>
      <c r="AD1308" s="488"/>
      <c r="AE1308" s="488"/>
      <c r="AF1308" s="488"/>
      <c r="AG1308" s="488"/>
      <c r="AH1308" s="488"/>
      <c r="AI1308" s="488"/>
      <c r="AJ1308" s="488"/>
    </row>
    <row r="1309" spans="1:36" s="496" customFormat="1">
      <c r="A1309" s="488"/>
      <c r="C1309" s="488"/>
      <c r="D1309" s="488"/>
      <c r="E1309" s="488"/>
      <c r="F1309" s="488"/>
      <c r="G1309" s="488"/>
      <c r="H1309" s="488"/>
      <c r="I1309" s="488"/>
      <c r="J1309" s="488"/>
      <c r="K1309" s="488"/>
      <c r="L1309" s="488"/>
      <c r="M1309" s="488"/>
      <c r="N1309" s="488"/>
      <c r="O1309" s="488"/>
      <c r="P1309" s="488"/>
      <c r="Q1309" s="488"/>
      <c r="R1309" s="488"/>
      <c r="S1309" s="488"/>
      <c r="T1309" s="488"/>
      <c r="U1309" s="488"/>
      <c r="V1309" s="488"/>
      <c r="W1309" s="488"/>
      <c r="X1309" s="488"/>
      <c r="Y1309" s="488"/>
      <c r="Z1309" s="488"/>
      <c r="AA1309" s="488"/>
      <c r="AB1309" s="488"/>
      <c r="AC1309" s="488"/>
      <c r="AD1309" s="488"/>
      <c r="AE1309" s="488"/>
      <c r="AF1309" s="488"/>
      <c r="AG1309" s="488"/>
      <c r="AH1309" s="488"/>
      <c r="AI1309" s="488"/>
      <c r="AJ1309" s="488"/>
    </row>
    <row r="1310" spans="1:36" s="496" customFormat="1">
      <c r="A1310" s="488"/>
      <c r="C1310" s="488"/>
      <c r="D1310" s="488"/>
      <c r="E1310" s="488"/>
      <c r="F1310" s="488"/>
      <c r="G1310" s="488"/>
      <c r="H1310" s="488"/>
      <c r="I1310" s="488"/>
      <c r="J1310" s="488"/>
      <c r="K1310" s="488"/>
      <c r="L1310" s="488"/>
      <c r="M1310" s="488"/>
      <c r="N1310" s="488"/>
      <c r="O1310" s="488"/>
      <c r="P1310" s="488"/>
      <c r="Q1310" s="488"/>
      <c r="R1310" s="488"/>
      <c r="S1310" s="488"/>
      <c r="T1310" s="488"/>
      <c r="U1310" s="488"/>
      <c r="V1310" s="488"/>
      <c r="W1310" s="488"/>
      <c r="X1310" s="488"/>
      <c r="Y1310" s="488"/>
      <c r="Z1310" s="488"/>
      <c r="AA1310" s="488"/>
      <c r="AB1310" s="488"/>
      <c r="AC1310" s="488"/>
      <c r="AD1310" s="488"/>
      <c r="AE1310" s="488"/>
      <c r="AF1310" s="488"/>
      <c r="AG1310" s="488"/>
      <c r="AH1310" s="488"/>
      <c r="AI1310" s="488"/>
      <c r="AJ1310" s="488"/>
    </row>
    <row r="1311" spans="1:36" s="496" customFormat="1">
      <c r="A1311" s="488"/>
      <c r="C1311" s="488"/>
      <c r="D1311" s="488"/>
      <c r="E1311" s="488"/>
      <c r="F1311" s="488"/>
      <c r="G1311" s="488"/>
      <c r="H1311" s="488"/>
      <c r="I1311" s="488"/>
      <c r="J1311" s="488"/>
      <c r="K1311" s="488"/>
      <c r="L1311" s="488"/>
      <c r="M1311" s="488"/>
      <c r="N1311" s="488"/>
      <c r="O1311" s="488"/>
      <c r="P1311" s="488"/>
      <c r="Q1311" s="488"/>
      <c r="R1311" s="488"/>
      <c r="S1311" s="488"/>
      <c r="T1311" s="488"/>
      <c r="U1311" s="488"/>
      <c r="V1311" s="488"/>
      <c r="W1311" s="488"/>
      <c r="X1311" s="488"/>
      <c r="Y1311" s="488"/>
      <c r="Z1311" s="488"/>
      <c r="AA1311" s="488"/>
      <c r="AB1311" s="488"/>
      <c r="AC1311" s="488"/>
      <c r="AD1311" s="488"/>
      <c r="AE1311" s="488"/>
      <c r="AF1311" s="488"/>
      <c r="AG1311" s="488"/>
      <c r="AH1311" s="488"/>
      <c r="AI1311" s="488"/>
      <c r="AJ1311" s="488"/>
    </row>
    <row r="1312" spans="1:36" s="496" customFormat="1">
      <c r="A1312" s="488"/>
      <c r="C1312" s="488"/>
      <c r="D1312" s="488"/>
      <c r="E1312" s="488"/>
      <c r="F1312" s="488"/>
      <c r="G1312" s="488"/>
      <c r="H1312" s="488"/>
      <c r="I1312" s="488"/>
      <c r="J1312" s="488"/>
      <c r="K1312" s="488"/>
      <c r="L1312" s="488"/>
      <c r="M1312" s="488"/>
      <c r="N1312" s="488"/>
      <c r="O1312" s="488"/>
      <c r="P1312" s="488"/>
      <c r="Q1312" s="488"/>
      <c r="R1312" s="488"/>
      <c r="S1312" s="488"/>
      <c r="T1312" s="488"/>
      <c r="U1312" s="488"/>
      <c r="V1312" s="488"/>
      <c r="W1312" s="488"/>
      <c r="X1312" s="488"/>
      <c r="Y1312" s="488"/>
      <c r="Z1312" s="488"/>
      <c r="AA1312" s="488"/>
      <c r="AB1312" s="488"/>
      <c r="AC1312" s="488"/>
      <c r="AD1312" s="488"/>
      <c r="AE1312" s="488"/>
      <c r="AF1312" s="488"/>
      <c r="AG1312" s="488"/>
      <c r="AH1312" s="488"/>
      <c r="AI1312" s="488"/>
      <c r="AJ1312" s="488"/>
    </row>
    <row r="1313" spans="1:36" s="496" customFormat="1">
      <c r="A1313" s="488"/>
      <c r="C1313" s="488"/>
      <c r="D1313" s="488"/>
      <c r="E1313" s="488"/>
      <c r="F1313" s="488"/>
      <c r="G1313" s="488"/>
      <c r="H1313" s="488"/>
      <c r="I1313" s="488"/>
      <c r="J1313" s="488"/>
      <c r="K1313" s="488"/>
      <c r="L1313" s="488"/>
      <c r="M1313" s="488"/>
      <c r="N1313" s="488"/>
      <c r="O1313" s="488"/>
      <c r="P1313" s="488"/>
      <c r="Q1313" s="488"/>
      <c r="R1313" s="488"/>
      <c r="S1313" s="488"/>
      <c r="T1313" s="488"/>
      <c r="U1313" s="488"/>
      <c r="V1313" s="488"/>
      <c r="W1313" s="488"/>
      <c r="X1313" s="488"/>
      <c r="Y1313" s="488"/>
      <c r="Z1313" s="488"/>
      <c r="AA1313" s="488"/>
      <c r="AB1313" s="488"/>
      <c r="AC1313" s="488"/>
      <c r="AD1313" s="488"/>
      <c r="AE1313" s="488"/>
      <c r="AF1313" s="488"/>
      <c r="AG1313" s="488"/>
      <c r="AH1313" s="488"/>
      <c r="AI1313" s="488"/>
      <c r="AJ1313" s="488"/>
    </row>
    <row r="1314" spans="1:36" s="496" customFormat="1">
      <c r="A1314" s="488"/>
      <c r="C1314" s="488"/>
      <c r="D1314" s="488"/>
      <c r="E1314" s="488"/>
      <c r="F1314" s="488"/>
      <c r="G1314" s="488"/>
      <c r="H1314" s="488"/>
      <c r="I1314" s="488"/>
      <c r="J1314" s="488"/>
      <c r="K1314" s="488"/>
      <c r="L1314" s="488"/>
      <c r="M1314" s="488"/>
      <c r="N1314" s="488"/>
      <c r="O1314" s="488"/>
      <c r="P1314" s="488"/>
      <c r="Q1314" s="488"/>
      <c r="R1314" s="488"/>
      <c r="S1314" s="488"/>
      <c r="T1314" s="488"/>
      <c r="U1314" s="488"/>
      <c r="V1314" s="488"/>
      <c r="W1314" s="488"/>
      <c r="X1314" s="488"/>
      <c r="Y1314" s="488"/>
      <c r="Z1314" s="488"/>
      <c r="AA1314" s="488"/>
      <c r="AB1314" s="488"/>
      <c r="AC1314" s="488"/>
      <c r="AD1314" s="488"/>
      <c r="AE1314" s="488"/>
      <c r="AF1314" s="488"/>
      <c r="AG1314" s="488"/>
      <c r="AH1314" s="488"/>
      <c r="AI1314" s="488"/>
      <c r="AJ1314" s="488"/>
    </row>
    <row r="1315" spans="1:36" s="496" customFormat="1">
      <c r="A1315" s="488"/>
      <c r="C1315" s="488"/>
      <c r="D1315" s="488"/>
      <c r="E1315" s="488"/>
      <c r="F1315" s="488"/>
      <c r="G1315" s="488"/>
      <c r="H1315" s="488"/>
      <c r="I1315" s="488"/>
      <c r="J1315" s="488"/>
      <c r="K1315" s="488"/>
      <c r="L1315" s="488"/>
      <c r="M1315" s="488"/>
      <c r="N1315" s="488"/>
      <c r="O1315" s="488"/>
      <c r="P1315" s="488"/>
      <c r="Q1315" s="488"/>
      <c r="R1315" s="488"/>
      <c r="S1315" s="488"/>
      <c r="T1315" s="488"/>
      <c r="U1315" s="488"/>
      <c r="V1315" s="488"/>
      <c r="W1315" s="488"/>
      <c r="X1315" s="488"/>
      <c r="Y1315" s="488"/>
      <c r="Z1315" s="488"/>
      <c r="AA1315" s="488"/>
      <c r="AB1315" s="488"/>
      <c r="AC1315" s="488"/>
      <c r="AD1315" s="488"/>
      <c r="AE1315" s="488"/>
      <c r="AF1315" s="488"/>
      <c r="AG1315" s="488"/>
      <c r="AH1315" s="488"/>
      <c r="AI1315" s="488"/>
      <c r="AJ1315" s="488"/>
    </row>
    <row r="1316" spans="1:36" s="496" customFormat="1">
      <c r="A1316" s="488"/>
      <c r="C1316" s="488"/>
      <c r="D1316" s="488"/>
      <c r="E1316" s="488"/>
      <c r="F1316" s="488"/>
      <c r="G1316" s="488"/>
      <c r="H1316" s="488"/>
      <c r="I1316" s="488"/>
      <c r="J1316" s="488"/>
      <c r="K1316" s="488"/>
      <c r="L1316" s="488"/>
      <c r="M1316" s="488"/>
      <c r="N1316" s="488"/>
      <c r="O1316" s="488"/>
      <c r="P1316" s="488"/>
      <c r="Q1316" s="488"/>
      <c r="R1316" s="488"/>
      <c r="S1316" s="488"/>
      <c r="T1316" s="488"/>
      <c r="U1316" s="488"/>
      <c r="V1316" s="488"/>
      <c r="W1316" s="488"/>
      <c r="X1316" s="488"/>
      <c r="Y1316" s="488"/>
      <c r="Z1316" s="488"/>
      <c r="AA1316" s="488"/>
      <c r="AB1316" s="488"/>
      <c r="AC1316" s="488"/>
      <c r="AD1316" s="488"/>
      <c r="AE1316" s="488"/>
      <c r="AF1316" s="488"/>
      <c r="AG1316" s="488"/>
      <c r="AH1316" s="488"/>
      <c r="AI1316" s="488"/>
      <c r="AJ1316" s="488"/>
    </row>
    <row r="1317" spans="1:36" s="496" customFormat="1">
      <c r="A1317" s="488"/>
      <c r="C1317" s="488"/>
      <c r="D1317" s="488"/>
      <c r="E1317" s="488"/>
      <c r="F1317" s="488"/>
      <c r="G1317" s="488"/>
      <c r="H1317" s="488"/>
      <c r="I1317" s="488"/>
      <c r="J1317" s="488"/>
      <c r="K1317" s="488"/>
      <c r="L1317" s="488"/>
      <c r="M1317" s="488"/>
      <c r="N1317" s="488"/>
      <c r="O1317" s="488"/>
      <c r="P1317" s="488"/>
      <c r="Q1317" s="488"/>
      <c r="R1317" s="488"/>
      <c r="S1317" s="488"/>
      <c r="T1317" s="488"/>
      <c r="U1317" s="488"/>
      <c r="V1317" s="488"/>
      <c r="W1317" s="488"/>
      <c r="X1317" s="488"/>
      <c r="Y1317" s="488"/>
      <c r="Z1317" s="488"/>
      <c r="AA1317" s="488"/>
      <c r="AB1317" s="488"/>
      <c r="AC1317" s="488"/>
      <c r="AD1317" s="488"/>
      <c r="AE1317" s="488"/>
      <c r="AF1317" s="488"/>
      <c r="AG1317" s="488"/>
      <c r="AH1317" s="488"/>
      <c r="AI1317" s="488"/>
      <c r="AJ1317" s="488"/>
    </row>
    <row r="1318" spans="1:36" s="496" customFormat="1">
      <c r="A1318" s="488"/>
      <c r="C1318" s="488"/>
      <c r="D1318" s="488"/>
      <c r="E1318" s="488"/>
      <c r="F1318" s="488"/>
      <c r="G1318" s="488"/>
      <c r="H1318" s="488"/>
      <c r="I1318" s="488"/>
      <c r="J1318" s="488"/>
      <c r="K1318" s="488"/>
      <c r="L1318" s="488"/>
      <c r="M1318" s="488"/>
      <c r="N1318" s="488"/>
      <c r="O1318" s="488"/>
      <c r="P1318" s="488"/>
      <c r="Q1318" s="488"/>
      <c r="R1318" s="488"/>
      <c r="S1318" s="488"/>
      <c r="T1318" s="488"/>
      <c r="U1318" s="488"/>
      <c r="V1318" s="488"/>
      <c r="W1318" s="488"/>
      <c r="X1318" s="488"/>
      <c r="Y1318" s="488"/>
      <c r="Z1318" s="488"/>
      <c r="AA1318" s="488"/>
      <c r="AB1318" s="488"/>
      <c r="AC1318" s="488"/>
      <c r="AD1318" s="488"/>
      <c r="AE1318" s="488"/>
      <c r="AF1318" s="488"/>
      <c r="AG1318" s="488"/>
      <c r="AH1318" s="488"/>
      <c r="AI1318" s="488"/>
      <c r="AJ1318" s="488"/>
    </row>
    <row r="1319" spans="1:36" s="496" customFormat="1">
      <c r="A1319" s="488"/>
      <c r="C1319" s="488"/>
      <c r="D1319" s="488"/>
      <c r="E1319" s="488"/>
      <c r="F1319" s="488"/>
      <c r="G1319" s="488"/>
      <c r="H1319" s="488"/>
      <c r="I1319" s="488"/>
      <c r="J1319" s="488"/>
      <c r="K1319" s="488"/>
      <c r="L1319" s="488"/>
      <c r="M1319" s="488"/>
      <c r="N1319" s="488"/>
      <c r="O1319" s="488"/>
      <c r="P1319" s="488"/>
      <c r="Q1319" s="488"/>
      <c r="R1319" s="488"/>
      <c r="S1319" s="488"/>
      <c r="T1319" s="488"/>
      <c r="U1319" s="488"/>
      <c r="V1319" s="488"/>
      <c r="W1319" s="488"/>
      <c r="X1319" s="488"/>
      <c r="Y1319" s="488"/>
      <c r="Z1319" s="488"/>
      <c r="AA1319" s="488"/>
      <c r="AB1319" s="488"/>
      <c r="AC1319" s="488"/>
      <c r="AD1319" s="488"/>
      <c r="AE1319" s="488"/>
      <c r="AF1319" s="488"/>
      <c r="AG1319" s="488"/>
      <c r="AH1319" s="488"/>
      <c r="AI1319" s="488"/>
      <c r="AJ1319" s="488"/>
    </row>
    <row r="1320" spans="1:36" s="496" customFormat="1">
      <c r="A1320" s="488"/>
      <c r="C1320" s="488"/>
      <c r="D1320" s="488"/>
      <c r="E1320" s="488"/>
      <c r="F1320" s="488"/>
      <c r="G1320" s="488"/>
      <c r="H1320" s="488"/>
      <c r="I1320" s="488"/>
      <c r="J1320" s="488"/>
      <c r="K1320" s="488"/>
      <c r="L1320" s="488"/>
      <c r="M1320" s="488"/>
      <c r="N1320" s="488"/>
      <c r="O1320" s="488"/>
      <c r="P1320" s="488"/>
      <c r="Q1320" s="488"/>
      <c r="R1320" s="488"/>
      <c r="S1320" s="488"/>
      <c r="T1320" s="488"/>
      <c r="U1320" s="488"/>
      <c r="V1320" s="488"/>
      <c r="W1320" s="488"/>
      <c r="X1320" s="488"/>
      <c r="Y1320" s="488"/>
      <c r="Z1320" s="488"/>
      <c r="AA1320" s="488"/>
      <c r="AB1320" s="488"/>
      <c r="AC1320" s="488"/>
      <c r="AD1320" s="488"/>
      <c r="AE1320" s="488"/>
      <c r="AF1320" s="488"/>
      <c r="AG1320" s="488"/>
      <c r="AH1320" s="488"/>
      <c r="AI1320" s="488"/>
      <c r="AJ1320" s="488"/>
    </row>
    <row r="1321" spans="1:36" s="496" customFormat="1">
      <c r="A1321" s="488"/>
      <c r="C1321" s="488"/>
      <c r="D1321" s="488"/>
      <c r="E1321" s="488"/>
      <c r="F1321" s="488"/>
      <c r="G1321" s="488"/>
      <c r="H1321" s="488"/>
      <c r="I1321" s="488"/>
      <c r="J1321" s="488"/>
      <c r="K1321" s="488"/>
      <c r="L1321" s="488"/>
      <c r="M1321" s="488"/>
      <c r="N1321" s="488"/>
      <c r="O1321" s="488"/>
      <c r="P1321" s="488"/>
      <c r="Q1321" s="488"/>
      <c r="R1321" s="488"/>
      <c r="S1321" s="488"/>
      <c r="T1321" s="488"/>
      <c r="U1321" s="488"/>
      <c r="V1321" s="488"/>
      <c r="W1321" s="488"/>
      <c r="X1321" s="488"/>
      <c r="Y1321" s="488"/>
      <c r="Z1321" s="488"/>
      <c r="AA1321" s="488"/>
      <c r="AB1321" s="488"/>
      <c r="AC1321" s="488"/>
      <c r="AD1321" s="488"/>
      <c r="AE1321" s="488"/>
      <c r="AF1321" s="488"/>
      <c r="AG1321" s="488"/>
      <c r="AH1321" s="488"/>
      <c r="AI1321" s="488"/>
      <c r="AJ1321" s="488"/>
    </row>
    <row r="1322" spans="1:36" s="496" customFormat="1">
      <c r="A1322" s="488"/>
      <c r="C1322" s="488"/>
      <c r="D1322" s="488"/>
      <c r="E1322" s="488"/>
      <c r="F1322" s="488"/>
      <c r="G1322" s="488"/>
      <c r="H1322" s="488"/>
      <c r="I1322" s="488"/>
      <c r="J1322" s="488"/>
      <c r="K1322" s="488"/>
      <c r="L1322" s="488"/>
      <c r="M1322" s="488"/>
      <c r="N1322" s="488"/>
      <c r="O1322" s="488"/>
      <c r="P1322" s="488"/>
      <c r="Q1322" s="488"/>
      <c r="R1322" s="488"/>
      <c r="S1322" s="488"/>
      <c r="T1322" s="488"/>
      <c r="U1322" s="488"/>
      <c r="V1322" s="488"/>
      <c r="W1322" s="488"/>
      <c r="X1322" s="488"/>
      <c r="Y1322" s="488"/>
      <c r="Z1322" s="488"/>
      <c r="AA1322" s="488"/>
      <c r="AB1322" s="488"/>
      <c r="AC1322" s="488"/>
      <c r="AD1322" s="488"/>
      <c r="AE1322" s="488"/>
      <c r="AF1322" s="488"/>
      <c r="AG1322" s="488"/>
      <c r="AH1322" s="488"/>
      <c r="AI1322" s="488"/>
      <c r="AJ1322" s="488"/>
    </row>
    <row r="1323" spans="1:36" s="496" customFormat="1">
      <c r="A1323" s="488"/>
      <c r="C1323" s="488"/>
      <c r="D1323" s="488"/>
      <c r="E1323" s="488"/>
      <c r="F1323" s="488"/>
      <c r="G1323" s="488"/>
      <c r="H1323" s="488"/>
      <c r="I1323" s="488"/>
      <c r="J1323" s="488"/>
      <c r="K1323" s="488"/>
      <c r="L1323" s="488"/>
      <c r="M1323" s="488"/>
      <c r="N1323" s="488"/>
      <c r="O1323" s="488"/>
      <c r="P1323" s="488"/>
      <c r="Q1323" s="488"/>
      <c r="R1323" s="488"/>
      <c r="S1323" s="488"/>
      <c r="T1323" s="488"/>
      <c r="U1323" s="488"/>
      <c r="V1323" s="488"/>
      <c r="W1323" s="488"/>
      <c r="X1323" s="488"/>
      <c r="Y1323" s="488"/>
      <c r="Z1323" s="488"/>
      <c r="AA1323" s="488"/>
      <c r="AB1323" s="488"/>
      <c r="AC1323" s="488"/>
      <c r="AD1323" s="488"/>
      <c r="AE1323" s="488"/>
      <c r="AF1323" s="488"/>
      <c r="AG1323" s="488"/>
      <c r="AH1323" s="488"/>
      <c r="AI1323" s="488"/>
      <c r="AJ1323" s="488"/>
    </row>
    <row r="1324" spans="1:36" s="496" customFormat="1">
      <c r="A1324" s="488"/>
      <c r="C1324" s="488"/>
      <c r="D1324" s="488"/>
      <c r="E1324" s="488"/>
      <c r="F1324" s="488"/>
      <c r="G1324" s="488"/>
      <c r="H1324" s="488"/>
      <c r="I1324" s="488"/>
      <c r="J1324" s="488"/>
      <c r="K1324" s="488"/>
      <c r="L1324" s="488"/>
      <c r="M1324" s="488"/>
      <c r="N1324" s="488"/>
      <c r="O1324" s="488"/>
      <c r="P1324" s="488"/>
      <c r="Q1324" s="488"/>
      <c r="R1324" s="488"/>
      <c r="S1324" s="488"/>
      <c r="T1324" s="488"/>
      <c r="U1324" s="488"/>
      <c r="V1324" s="488"/>
      <c r="W1324" s="488"/>
      <c r="X1324" s="488"/>
      <c r="Y1324" s="488"/>
      <c r="Z1324" s="488"/>
      <c r="AA1324" s="488"/>
      <c r="AB1324" s="488"/>
      <c r="AC1324" s="488"/>
      <c r="AD1324" s="488"/>
      <c r="AE1324" s="488"/>
      <c r="AF1324" s="488"/>
      <c r="AG1324" s="488"/>
      <c r="AH1324" s="488"/>
      <c r="AI1324" s="488"/>
      <c r="AJ1324" s="488"/>
    </row>
    <row r="1325" spans="1:36" s="496" customFormat="1">
      <c r="A1325" s="488"/>
      <c r="C1325" s="488"/>
      <c r="D1325" s="488"/>
      <c r="E1325" s="488"/>
      <c r="F1325" s="488"/>
      <c r="G1325" s="488"/>
      <c r="H1325" s="488"/>
      <c r="I1325" s="488"/>
      <c r="J1325" s="488"/>
      <c r="K1325" s="488"/>
      <c r="L1325" s="488"/>
      <c r="M1325" s="488"/>
      <c r="N1325" s="488"/>
      <c r="O1325" s="488"/>
      <c r="P1325" s="488"/>
      <c r="Q1325" s="488"/>
      <c r="R1325" s="488"/>
      <c r="S1325" s="488"/>
      <c r="T1325" s="488"/>
      <c r="U1325" s="488"/>
      <c r="V1325" s="488"/>
      <c r="W1325" s="488"/>
      <c r="X1325" s="488"/>
      <c r="Y1325" s="488"/>
      <c r="Z1325" s="488"/>
      <c r="AA1325" s="488"/>
      <c r="AB1325" s="488"/>
      <c r="AC1325" s="488"/>
      <c r="AD1325" s="488"/>
      <c r="AE1325" s="488"/>
      <c r="AF1325" s="488"/>
      <c r="AG1325" s="488"/>
      <c r="AH1325" s="488"/>
      <c r="AI1325" s="488"/>
      <c r="AJ1325" s="488"/>
    </row>
    <row r="1326" spans="1:36" s="496" customFormat="1">
      <c r="A1326" s="488"/>
      <c r="C1326" s="488"/>
      <c r="D1326" s="488"/>
      <c r="E1326" s="488"/>
      <c r="F1326" s="488"/>
      <c r="G1326" s="488"/>
      <c r="H1326" s="488"/>
      <c r="I1326" s="488"/>
      <c r="J1326" s="488"/>
      <c r="K1326" s="488"/>
      <c r="L1326" s="488"/>
      <c r="M1326" s="488"/>
      <c r="N1326" s="488"/>
      <c r="O1326" s="488"/>
      <c r="P1326" s="488"/>
      <c r="Q1326" s="488"/>
      <c r="R1326" s="488"/>
      <c r="S1326" s="488"/>
      <c r="T1326" s="488"/>
      <c r="U1326" s="488"/>
      <c r="V1326" s="488"/>
      <c r="W1326" s="488"/>
      <c r="X1326" s="488"/>
      <c r="Y1326" s="488"/>
      <c r="Z1326" s="488"/>
      <c r="AA1326" s="488"/>
      <c r="AB1326" s="488"/>
      <c r="AC1326" s="488"/>
      <c r="AD1326" s="488"/>
      <c r="AE1326" s="488"/>
      <c r="AF1326" s="488"/>
      <c r="AG1326" s="488"/>
      <c r="AH1326" s="488"/>
      <c r="AI1326" s="488"/>
      <c r="AJ1326" s="488"/>
    </row>
    <row r="1327" spans="1:36" s="496" customFormat="1">
      <c r="A1327" s="488"/>
      <c r="C1327" s="488"/>
      <c r="D1327" s="488"/>
      <c r="E1327" s="488"/>
      <c r="F1327" s="488"/>
      <c r="G1327" s="488"/>
      <c r="H1327" s="488"/>
      <c r="I1327" s="488"/>
      <c r="J1327" s="488"/>
      <c r="K1327" s="488"/>
      <c r="L1327" s="488"/>
      <c r="M1327" s="488"/>
      <c r="N1327" s="488"/>
      <c r="O1327" s="488"/>
      <c r="P1327" s="488"/>
      <c r="Q1327" s="488"/>
      <c r="R1327" s="488"/>
      <c r="S1327" s="488"/>
      <c r="T1327" s="488"/>
      <c r="U1327" s="488"/>
      <c r="V1327" s="488"/>
      <c r="W1327" s="488"/>
      <c r="X1327" s="488"/>
      <c r="Y1327" s="488"/>
      <c r="Z1327" s="488"/>
      <c r="AA1327" s="488"/>
      <c r="AB1327" s="488"/>
      <c r="AC1327" s="488"/>
      <c r="AD1327" s="488"/>
      <c r="AE1327" s="488"/>
      <c r="AF1327" s="488"/>
      <c r="AG1327" s="488"/>
      <c r="AH1327" s="488"/>
      <c r="AI1327" s="488"/>
      <c r="AJ1327" s="488"/>
    </row>
    <row r="1328" spans="1:36" s="496" customFormat="1">
      <c r="A1328" s="488"/>
      <c r="C1328" s="488"/>
      <c r="D1328" s="488"/>
      <c r="E1328" s="488"/>
      <c r="F1328" s="488"/>
      <c r="G1328" s="488"/>
      <c r="H1328" s="488"/>
      <c r="I1328" s="488"/>
      <c r="J1328" s="488"/>
      <c r="K1328" s="488"/>
      <c r="L1328" s="488"/>
      <c r="M1328" s="488"/>
      <c r="N1328" s="488"/>
      <c r="O1328" s="488"/>
      <c r="P1328" s="488"/>
      <c r="Q1328" s="488"/>
      <c r="R1328" s="488"/>
      <c r="S1328" s="488"/>
      <c r="T1328" s="488"/>
      <c r="U1328" s="488"/>
      <c r="V1328" s="488"/>
      <c r="W1328" s="488"/>
      <c r="X1328" s="488"/>
      <c r="Y1328" s="488"/>
      <c r="Z1328" s="488"/>
      <c r="AA1328" s="488"/>
      <c r="AB1328" s="488"/>
      <c r="AC1328" s="488"/>
      <c r="AD1328" s="488"/>
      <c r="AE1328" s="488"/>
      <c r="AF1328" s="488"/>
      <c r="AG1328" s="488"/>
      <c r="AH1328" s="488"/>
      <c r="AI1328" s="488"/>
      <c r="AJ1328" s="488"/>
    </row>
    <row r="1329" spans="1:36" s="496" customFormat="1">
      <c r="A1329" s="488"/>
      <c r="C1329" s="488"/>
      <c r="D1329" s="488"/>
      <c r="E1329" s="488"/>
      <c r="F1329" s="488"/>
      <c r="G1329" s="488"/>
      <c r="H1329" s="488"/>
      <c r="I1329" s="488"/>
      <c r="J1329" s="488"/>
      <c r="K1329" s="488"/>
      <c r="L1329" s="488"/>
      <c r="M1329" s="488"/>
      <c r="N1329" s="488"/>
      <c r="O1329" s="488"/>
      <c r="P1329" s="488"/>
      <c r="Q1329" s="488"/>
      <c r="R1329" s="488"/>
      <c r="S1329" s="488"/>
      <c r="T1329" s="488"/>
      <c r="U1329" s="488"/>
      <c r="V1329" s="488"/>
      <c r="W1329" s="488"/>
      <c r="X1329" s="488"/>
      <c r="Y1329" s="488"/>
      <c r="Z1329" s="488"/>
      <c r="AA1329" s="488"/>
      <c r="AB1329" s="488"/>
      <c r="AC1329" s="488"/>
      <c r="AD1329" s="488"/>
      <c r="AE1329" s="488"/>
      <c r="AF1329" s="488"/>
      <c r="AG1329" s="488"/>
      <c r="AH1329" s="488"/>
      <c r="AI1329" s="488"/>
      <c r="AJ1329" s="488"/>
    </row>
    <row r="1330" spans="1:36" s="496" customFormat="1">
      <c r="A1330" s="488"/>
      <c r="C1330" s="488"/>
      <c r="D1330" s="488"/>
      <c r="E1330" s="488"/>
      <c r="F1330" s="488"/>
      <c r="G1330" s="488"/>
      <c r="H1330" s="488"/>
      <c r="I1330" s="488"/>
      <c r="J1330" s="488"/>
      <c r="K1330" s="488"/>
      <c r="L1330" s="488"/>
      <c r="M1330" s="488"/>
      <c r="N1330" s="488"/>
      <c r="O1330" s="488"/>
      <c r="P1330" s="488"/>
      <c r="Q1330" s="488"/>
      <c r="R1330" s="488"/>
      <c r="S1330" s="488"/>
      <c r="T1330" s="488"/>
      <c r="U1330" s="488"/>
      <c r="V1330" s="488"/>
      <c r="W1330" s="488"/>
      <c r="X1330" s="488"/>
      <c r="Y1330" s="488"/>
      <c r="Z1330" s="488"/>
      <c r="AA1330" s="488"/>
      <c r="AB1330" s="488"/>
      <c r="AC1330" s="488"/>
      <c r="AD1330" s="488"/>
      <c r="AE1330" s="488"/>
      <c r="AF1330" s="488"/>
      <c r="AG1330" s="488"/>
      <c r="AH1330" s="488"/>
      <c r="AI1330" s="488"/>
      <c r="AJ1330" s="488"/>
    </row>
    <row r="1331" spans="1:36" s="496" customFormat="1">
      <c r="A1331" s="488"/>
      <c r="C1331" s="488"/>
      <c r="D1331" s="488"/>
      <c r="E1331" s="488"/>
      <c r="F1331" s="488"/>
      <c r="G1331" s="488"/>
      <c r="H1331" s="488"/>
      <c r="I1331" s="488"/>
      <c r="J1331" s="488"/>
      <c r="K1331" s="488"/>
      <c r="L1331" s="488"/>
      <c r="M1331" s="488"/>
      <c r="N1331" s="488"/>
      <c r="O1331" s="488"/>
      <c r="P1331" s="488"/>
      <c r="Q1331" s="488"/>
      <c r="R1331" s="488"/>
      <c r="S1331" s="488"/>
      <c r="T1331" s="488"/>
      <c r="U1331" s="488"/>
      <c r="V1331" s="488"/>
      <c r="W1331" s="488"/>
      <c r="X1331" s="488"/>
      <c r="Y1331" s="488"/>
      <c r="Z1331" s="488"/>
      <c r="AA1331" s="488"/>
      <c r="AB1331" s="488"/>
      <c r="AC1331" s="488"/>
      <c r="AD1331" s="488"/>
      <c r="AE1331" s="488"/>
      <c r="AF1331" s="488"/>
      <c r="AG1331" s="488"/>
      <c r="AH1331" s="488"/>
      <c r="AI1331" s="488"/>
      <c r="AJ1331" s="488"/>
    </row>
    <row r="1332" spans="1:36" s="496" customFormat="1">
      <c r="A1332" s="488"/>
      <c r="C1332" s="488"/>
      <c r="D1332" s="488"/>
      <c r="E1332" s="488"/>
      <c r="F1332" s="488"/>
      <c r="G1332" s="488"/>
      <c r="H1332" s="488"/>
      <c r="I1332" s="488"/>
      <c r="J1332" s="488"/>
      <c r="K1332" s="488"/>
      <c r="L1332" s="488"/>
      <c r="M1332" s="488"/>
      <c r="N1332" s="488"/>
      <c r="O1332" s="488"/>
      <c r="P1332" s="488"/>
      <c r="Q1332" s="488"/>
      <c r="R1332" s="488"/>
      <c r="S1332" s="488"/>
      <c r="T1332" s="488"/>
      <c r="U1332" s="488"/>
      <c r="V1332" s="488"/>
      <c r="W1332" s="488"/>
      <c r="X1332" s="488"/>
      <c r="Y1332" s="488"/>
      <c r="Z1332" s="488"/>
      <c r="AA1332" s="488"/>
      <c r="AB1332" s="488"/>
      <c r="AC1332" s="488"/>
      <c r="AD1332" s="488"/>
      <c r="AE1332" s="488"/>
      <c r="AF1332" s="488"/>
      <c r="AG1332" s="488"/>
      <c r="AH1332" s="488"/>
      <c r="AI1332" s="488"/>
      <c r="AJ1332" s="488"/>
    </row>
    <row r="1333" spans="1:36" s="496" customFormat="1">
      <c r="A1333" s="488"/>
      <c r="C1333" s="488"/>
      <c r="D1333" s="488"/>
      <c r="E1333" s="488"/>
      <c r="F1333" s="488"/>
      <c r="G1333" s="488"/>
      <c r="H1333" s="488"/>
      <c r="I1333" s="488"/>
      <c r="J1333" s="488"/>
      <c r="K1333" s="488"/>
      <c r="L1333" s="488"/>
      <c r="M1333" s="488"/>
      <c r="N1333" s="488"/>
      <c r="O1333" s="488"/>
      <c r="P1333" s="488"/>
      <c r="Q1333" s="488"/>
      <c r="R1333" s="488"/>
      <c r="S1333" s="488"/>
      <c r="T1333" s="488"/>
      <c r="U1333" s="488"/>
      <c r="V1333" s="488"/>
      <c r="W1333" s="488"/>
      <c r="X1333" s="488"/>
      <c r="Y1333" s="488"/>
      <c r="Z1333" s="488"/>
      <c r="AA1333" s="488"/>
      <c r="AB1333" s="488"/>
      <c r="AC1333" s="488"/>
      <c r="AD1333" s="488"/>
      <c r="AE1333" s="488"/>
      <c r="AF1333" s="488"/>
      <c r="AG1333" s="488"/>
      <c r="AH1333" s="488"/>
      <c r="AI1333" s="488"/>
      <c r="AJ1333" s="488"/>
    </row>
    <row r="1334" spans="1:36" s="496" customFormat="1">
      <c r="A1334" s="488"/>
      <c r="C1334" s="488"/>
      <c r="D1334" s="488"/>
      <c r="E1334" s="488"/>
      <c r="F1334" s="488"/>
      <c r="G1334" s="488"/>
      <c r="H1334" s="488"/>
      <c r="I1334" s="488"/>
      <c r="J1334" s="488"/>
      <c r="K1334" s="488"/>
      <c r="L1334" s="488"/>
      <c r="M1334" s="488"/>
      <c r="N1334" s="488"/>
      <c r="O1334" s="488"/>
      <c r="P1334" s="488"/>
      <c r="Q1334" s="488"/>
      <c r="R1334" s="488"/>
      <c r="S1334" s="488"/>
      <c r="T1334" s="488"/>
      <c r="U1334" s="488"/>
      <c r="V1334" s="488"/>
      <c r="W1334" s="488"/>
      <c r="X1334" s="488"/>
      <c r="Y1334" s="488"/>
      <c r="Z1334" s="488"/>
      <c r="AA1334" s="488"/>
      <c r="AB1334" s="488"/>
      <c r="AC1334" s="488"/>
      <c r="AD1334" s="488"/>
      <c r="AE1334" s="488"/>
      <c r="AF1334" s="488"/>
      <c r="AG1334" s="488"/>
      <c r="AH1334" s="488"/>
      <c r="AI1334" s="488"/>
      <c r="AJ1334" s="488"/>
    </row>
    <row r="1335" spans="1:36" s="496" customFormat="1">
      <c r="A1335" s="488"/>
      <c r="C1335" s="488"/>
      <c r="D1335" s="488"/>
      <c r="E1335" s="488"/>
      <c r="F1335" s="488"/>
      <c r="G1335" s="488"/>
      <c r="H1335" s="488"/>
      <c r="I1335" s="488"/>
      <c r="J1335" s="488"/>
      <c r="K1335" s="488"/>
      <c r="L1335" s="488"/>
      <c r="M1335" s="488"/>
      <c r="N1335" s="488"/>
      <c r="O1335" s="488"/>
      <c r="P1335" s="488"/>
      <c r="Q1335" s="488"/>
      <c r="R1335" s="488"/>
      <c r="S1335" s="488"/>
      <c r="T1335" s="488"/>
      <c r="U1335" s="488"/>
      <c r="V1335" s="488"/>
      <c r="W1335" s="488"/>
      <c r="X1335" s="488"/>
      <c r="Y1335" s="488"/>
      <c r="Z1335" s="488"/>
      <c r="AA1335" s="488"/>
      <c r="AB1335" s="488"/>
      <c r="AC1335" s="488"/>
      <c r="AD1335" s="488"/>
      <c r="AE1335" s="488"/>
      <c r="AF1335" s="488"/>
      <c r="AG1335" s="488"/>
      <c r="AH1335" s="488"/>
      <c r="AI1335" s="488"/>
      <c r="AJ1335" s="488"/>
    </row>
    <row r="1336" spans="1:36" s="496" customFormat="1">
      <c r="A1336" s="488"/>
      <c r="C1336" s="488"/>
      <c r="D1336" s="488"/>
      <c r="E1336" s="488"/>
      <c r="F1336" s="488"/>
      <c r="G1336" s="488"/>
      <c r="H1336" s="488"/>
      <c r="I1336" s="488"/>
      <c r="J1336" s="488"/>
      <c r="K1336" s="488"/>
      <c r="L1336" s="488"/>
      <c r="M1336" s="488"/>
      <c r="N1336" s="488"/>
      <c r="O1336" s="488"/>
      <c r="P1336" s="488"/>
      <c r="Q1336" s="488"/>
      <c r="R1336" s="488"/>
      <c r="S1336" s="488"/>
      <c r="T1336" s="488"/>
      <c r="U1336" s="488"/>
      <c r="V1336" s="488"/>
      <c r="W1336" s="488"/>
      <c r="X1336" s="488"/>
      <c r="Y1336" s="488"/>
      <c r="Z1336" s="488"/>
      <c r="AA1336" s="488"/>
      <c r="AB1336" s="488"/>
      <c r="AC1336" s="488"/>
      <c r="AD1336" s="488"/>
      <c r="AE1336" s="488"/>
      <c r="AF1336" s="488"/>
      <c r="AG1336" s="488"/>
      <c r="AH1336" s="488"/>
      <c r="AI1336" s="488"/>
      <c r="AJ1336" s="488"/>
    </row>
    <row r="1337" spans="1:36" s="496" customFormat="1">
      <c r="A1337" s="488"/>
      <c r="C1337" s="488"/>
      <c r="D1337" s="488"/>
      <c r="E1337" s="488"/>
      <c r="F1337" s="488"/>
      <c r="G1337" s="488"/>
      <c r="H1337" s="488"/>
      <c r="I1337" s="488"/>
      <c r="J1337" s="488"/>
      <c r="K1337" s="488"/>
      <c r="L1337" s="488"/>
      <c r="M1337" s="488"/>
      <c r="N1337" s="488"/>
      <c r="O1337" s="488"/>
      <c r="P1337" s="488"/>
      <c r="Q1337" s="488"/>
      <c r="R1337" s="488"/>
      <c r="S1337" s="488"/>
      <c r="T1337" s="488"/>
      <c r="U1337" s="488"/>
      <c r="V1337" s="488"/>
      <c r="W1337" s="488"/>
      <c r="X1337" s="488"/>
      <c r="Y1337" s="488"/>
      <c r="Z1337" s="488"/>
      <c r="AA1337" s="488"/>
      <c r="AB1337" s="488"/>
      <c r="AC1337" s="488"/>
      <c r="AD1337" s="488"/>
      <c r="AE1337" s="488"/>
      <c r="AF1337" s="488"/>
      <c r="AG1337" s="488"/>
      <c r="AH1337" s="488"/>
      <c r="AI1337" s="488"/>
      <c r="AJ1337" s="488"/>
    </row>
    <row r="1338" spans="1:36" s="496" customFormat="1">
      <c r="A1338" s="488"/>
      <c r="C1338" s="488"/>
      <c r="D1338" s="488"/>
      <c r="E1338" s="488"/>
      <c r="F1338" s="488"/>
      <c r="G1338" s="488"/>
      <c r="H1338" s="488"/>
      <c r="I1338" s="488"/>
      <c r="J1338" s="488"/>
      <c r="K1338" s="488"/>
      <c r="L1338" s="488"/>
      <c r="M1338" s="488"/>
      <c r="N1338" s="488"/>
      <c r="O1338" s="488"/>
      <c r="P1338" s="488"/>
      <c r="Q1338" s="488"/>
      <c r="R1338" s="488"/>
      <c r="S1338" s="488"/>
      <c r="T1338" s="488"/>
      <c r="U1338" s="488"/>
      <c r="V1338" s="488"/>
      <c r="W1338" s="488"/>
      <c r="X1338" s="488"/>
      <c r="Y1338" s="488"/>
      <c r="Z1338" s="488"/>
      <c r="AA1338" s="488"/>
      <c r="AB1338" s="488"/>
      <c r="AC1338" s="488"/>
      <c r="AD1338" s="488"/>
      <c r="AE1338" s="488"/>
      <c r="AF1338" s="488"/>
      <c r="AG1338" s="488"/>
      <c r="AH1338" s="488"/>
      <c r="AI1338" s="488"/>
      <c r="AJ1338" s="488"/>
    </row>
    <row r="1339" spans="1:36" s="496" customFormat="1">
      <c r="A1339" s="488"/>
      <c r="C1339" s="488"/>
      <c r="D1339" s="488"/>
      <c r="E1339" s="488"/>
      <c r="F1339" s="488"/>
      <c r="G1339" s="488"/>
      <c r="H1339" s="488"/>
      <c r="I1339" s="488"/>
      <c r="J1339" s="488"/>
      <c r="K1339" s="488"/>
      <c r="L1339" s="488"/>
      <c r="M1339" s="488"/>
      <c r="N1339" s="488"/>
      <c r="O1339" s="488"/>
      <c r="P1339" s="488"/>
      <c r="Q1339" s="488"/>
      <c r="R1339" s="488"/>
      <c r="S1339" s="488"/>
      <c r="T1339" s="488"/>
      <c r="U1339" s="488"/>
      <c r="V1339" s="488"/>
      <c r="W1339" s="488"/>
      <c r="X1339" s="488"/>
      <c r="Y1339" s="488"/>
      <c r="Z1339" s="488"/>
      <c r="AA1339" s="488"/>
      <c r="AB1339" s="488"/>
      <c r="AC1339" s="488"/>
      <c r="AD1339" s="488"/>
      <c r="AE1339" s="488"/>
      <c r="AF1339" s="488"/>
      <c r="AG1339" s="488"/>
      <c r="AH1339" s="488"/>
      <c r="AI1339" s="488"/>
      <c r="AJ1339" s="488"/>
    </row>
    <row r="1340" spans="1:36" s="496" customFormat="1">
      <c r="A1340" s="488"/>
      <c r="C1340" s="488"/>
      <c r="D1340" s="488"/>
      <c r="E1340" s="488"/>
      <c r="F1340" s="488"/>
      <c r="G1340" s="488"/>
      <c r="H1340" s="488"/>
      <c r="I1340" s="488"/>
      <c r="J1340" s="488"/>
      <c r="K1340" s="488"/>
      <c r="L1340" s="488"/>
      <c r="M1340" s="488"/>
      <c r="N1340" s="488"/>
      <c r="O1340" s="488"/>
      <c r="P1340" s="488"/>
      <c r="Q1340" s="488"/>
      <c r="R1340" s="488"/>
      <c r="S1340" s="488"/>
      <c r="T1340" s="488"/>
      <c r="U1340" s="488"/>
      <c r="V1340" s="488"/>
      <c r="W1340" s="488"/>
      <c r="X1340" s="488"/>
      <c r="Y1340" s="488"/>
      <c r="Z1340" s="488"/>
      <c r="AA1340" s="488"/>
      <c r="AB1340" s="488"/>
      <c r="AC1340" s="488"/>
      <c r="AD1340" s="488"/>
      <c r="AE1340" s="488"/>
      <c r="AF1340" s="488"/>
      <c r="AG1340" s="488"/>
      <c r="AH1340" s="488"/>
      <c r="AI1340" s="488"/>
      <c r="AJ1340" s="488"/>
    </row>
    <row r="1341" spans="1:36" s="496" customFormat="1">
      <c r="A1341" s="488"/>
      <c r="C1341" s="488"/>
      <c r="D1341" s="488"/>
      <c r="E1341" s="488"/>
      <c r="F1341" s="488"/>
      <c r="G1341" s="488"/>
      <c r="H1341" s="488"/>
      <c r="I1341" s="488"/>
      <c r="J1341" s="488"/>
      <c r="K1341" s="488"/>
      <c r="L1341" s="488"/>
      <c r="M1341" s="488"/>
      <c r="N1341" s="488"/>
      <c r="O1341" s="488"/>
      <c r="P1341" s="488"/>
      <c r="Q1341" s="488"/>
      <c r="R1341" s="488"/>
      <c r="S1341" s="488"/>
      <c r="T1341" s="488"/>
      <c r="U1341" s="488"/>
      <c r="V1341" s="488"/>
      <c r="W1341" s="488"/>
      <c r="X1341" s="488"/>
      <c r="Y1341" s="488"/>
      <c r="Z1341" s="488"/>
      <c r="AA1341" s="488"/>
      <c r="AB1341" s="488"/>
      <c r="AC1341" s="488"/>
      <c r="AD1341" s="488"/>
      <c r="AE1341" s="488"/>
      <c r="AF1341" s="488"/>
      <c r="AG1341" s="488"/>
      <c r="AH1341" s="488"/>
      <c r="AI1341" s="488"/>
      <c r="AJ1341" s="488"/>
    </row>
    <row r="1342" spans="1:36" s="496" customFormat="1">
      <c r="A1342" s="488"/>
      <c r="C1342" s="488"/>
      <c r="D1342" s="488"/>
      <c r="E1342" s="488"/>
      <c r="F1342" s="488"/>
      <c r="G1342" s="488"/>
      <c r="H1342" s="488"/>
      <c r="I1342" s="488"/>
      <c r="J1342" s="488"/>
      <c r="K1342" s="488"/>
      <c r="L1342" s="488"/>
      <c r="M1342" s="488"/>
      <c r="N1342" s="488"/>
      <c r="O1342" s="488"/>
      <c r="P1342" s="488"/>
      <c r="Q1342" s="488"/>
      <c r="R1342" s="488"/>
      <c r="S1342" s="488"/>
      <c r="T1342" s="488"/>
      <c r="U1342" s="488"/>
      <c r="V1342" s="488"/>
      <c r="W1342" s="488"/>
      <c r="X1342" s="488"/>
      <c r="Y1342" s="488"/>
      <c r="Z1342" s="488"/>
      <c r="AA1342" s="488"/>
      <c r="AB1342" s="488"/>
      <c r="AC1342" s="488"/>
      <c r="AD1342" s="488"/>
      <c r="AE1342" s="488"/>
      <c r="AF1342" s="488"/>
      <c r="AG1342" s="488"/>
      <c r="AH1342" s="488"/>
      <c r="AI1342" s="488"/>
      <c r="AJ1342" s="488"/>
    </row>
    <row r="1343" spans="1:36" s="496" customFormat="1">
      <c r="A1343" s="488"/>
      <c r="C1343" s="488"/>
      <c r="D1343" s="488"/>
      <c r="E1343" s="488"/>
      <c r="F1343" s="488"/>
      <c r="G1343" s="488"/>
      <c r="H1343" s="488"/>
      <c r="I1343" s="488"/>
      <c r="J1343" s="488"/>
      <c r="K1343" s="488"/>
      <c r="L1343" s="488"/>
      <c r="M1343" s="488"/>
      <c r="N1343" s="488"/>
      <c r="O1343" s="488"/>
      <c r="P1343" s="488"/>
      <c r="Q1343" s="488"/>
      <c r="R1343" s="488"/>
      <c r="S1343" s="488"/>
      <c r="T1343" s="488"/>
      <c r="U1343" s="488"/>
      <c r="V1343" s="488"/>
      <c r="W1343" s="488"/>
      <c r="X1343" s="488"/>
      <c r="Y1343" s="488"/>
      <c r="Z1343" s="488"/>
      <c r="AA1343" s="488"/>
      <c r="AB1343" s="488"/>
      <c r="AC1343" s="488"/>
      <c r="AD1343" s="488"/>
      <c r="AE1343" s="488"/>
      <c r="AF1343" s="488"/>
      <c r="AG1343" s="488"/>
      <c r="AH1343" s="488"/>
      <c r="AI1343" s="488"/>
      <c r="AJ1343" s="488"/>
    </row>
    <row r="1344" spans="1:36" s="496" customFormat="1">
      <c r="A1344" s="488"/>
      <c r="C1344" s="488"/>
      <c r="D1344" s="488"/>
      <c r="E1344" s="488"/>
      <c r="F1344" s="488"/>
      <c r="G1344" s="488"/>
      <c r="H1344" s="488"/>
      <c r="I1344" s="488"/>
      <c r="J1344" s="488"/>
      <c r="K1344" s="488"/>
      <c r="L1344" s="488"/>
      <c r="M1344" s="488"/>
      <c r="N1344" s="488"/>
      <c r="O1344" s="488"/>
      <c r="P1344" s="488"/>
      <c r="Q1344" s="488"/>
      <c r="R1344" s="488"/>
      <c r="S1344" s="488"/>
      <c r="T1344" s="488"/>
      <c r="U1344" s="488"/>
      <c r="V1344" s="488"/>
      <c r="W1344" s="488"/>
      <c r="X1344" s="488"/>
      <c r="Y1344" s="488"/>
      <c r="Z1344" s="488"/>
      <c r="AA1344" s="488"/>
      <c r="AB1344" s="488"/>
      <c r="AC1344" s="488"/>
      <c r="AD1344" s="488"/>
      <c r="AE1344" s="488"/>
      <c r="AF1344" s="488"/>
      <c r="AG1344" s="488"/>
      <c r="AH1344" s="488"/>
      <c r="AI1344" s="488"/>
      <c r="AJ1344" s="488"/>
    </row>
    <row r="1345" spans="1:36" s="496" customFormat="1">
      <c r="A1345" s="488"/>
      <c r="C1345" s="488"/>
      <c r="D1345" s="488"/>
      <c r="E1345" s="488"/>
      <c r="F1345" s="488"/>
      <c r="G1345" s="488"/>
      <c r="H1345" s="488"/>
      <c r="I1345" s="488"/>
      <c r="J1345" s="488"/>
      <c r="K1345" s="488"/>
      <c r="L1345" s="488"/>
      <c r="M1345" s="488"/>
      <c r="N1345" s="488"/>
      <c r="O1345" s="488"/>
      <c r="P1345" s="488"/>
      <c r="Q1345" s="488"/>
      <c r="R1345" s="488"/>
      <c r="S1345" s="488"/>
      <c r="T1345" s="488"/>
      <c r="U1345" s="488"/>
      <c r="V1345" s="488"/>
      <c r="W1345" s="488"/>
      <c r="X1345" s="488"/>
      <c r="Y1345" s="488"/>
      <c r="Z1345" s="488"/>
      <c r="AA1345" s="488"/>
      <c r="AB1345" s="488"/>
      <c r="AC1345" s="488"/>
      <c r="AD1345" s="488"/>
      <c r="AE1345" s="488"/>
      <c r="AF1345" s="488"/>
      <c r="AG1345" s="488"/>
      <c r="AH1345" s="488"/>
      <c r="AI1345" s="488"/>
      <c r="AJ1345" s="488"/>
    </row>
    <row r="1346" spans="1:36" s="496" customFormat="1">
      <c r="A1346" s="488"/>
      <c r="C1346" s="488"/>
      <c r="D1346" s="488"/>
      <c r="E1346" s="488"/>
      <c r="F1346" s="488"/>
      <c r="G1346" s="488"/>
      <c r="H1346" s="488"/>
      <c r="I1346" s="488"/>
      <c r="J1346" s="488"/>
      <c r="K1346" s="488"/>
      <c r="L1346" s="488"/>
      <c r="M1346" s="488"/>
      <c r="N1346" s="488"/>
      <c r="O1346" s="488"/>
      <c r="P1346" s="488"/>
      <c r="Q1346" s="488"/>
      <c r="R1346" s="488"/>
      <c r="S1346" s="488"/>
      <c r="T1346" s="488"/>
      <c r="U1346" s="488"/>
      <c r="V1346" s="488"/>
      <c r="W1346" s="488"/>
      <c r="X1346" s="488"/>
      <c r="Y1346" s="488"/>
      <c r="Z1346" s="488"/>
      <c r="AA1346" s="488"/>
      <c r="AB1346" s="488"/>
      <c r="AC1346" s="488"/>
      <c r="AD1346" s="488"/>
      <c r="AE1346" s="488"/>
      <c r="AF1346" s="488"/>
      <c r="AG1346" s="488"/>
      <c r="AH1346" s="488"/>
      <c r="AI1346" s="488"/>
      <c r="AJ1346" s="488"/>
    </row>
    <row r="1347" spans="1:36" s="496" customFormat="1">
      <c r="A1347" s="488"/>
      <c r="C1347" s="488"/>
      <c r="D1347" s="488"/>
      <c r="E1347" s="488"/>
      <c r="F1347" s="488"/>
      <c r="G1347" s="488"/>
      <c r="H1347" s="488"/>
      <c r="I1347" s="488"/>
      <c r="J1347" s="488"/>
      <c r="K1347" s="488"/>
      <c r="L1347" s="488"/>
      <c r="M1347" s="488"/>
      <c r="N1347" s="488"/>
      <c r="O1347" s="488"/>
      <c r="P1347" s="488"/>
      <c r="Q1347" s="488"/>
      <c r="R1347" s="488"/>
      <c r="S1347" s="488"/>
      <c r="T1347" s="488"/>
      <c r="U1347" s="488"/>
      <c r="V1347" s="488"/>
      <c r="W1347" s="488"/>
      <c r="X1347" s="488"/>
      <c r="Y1347" s="488"/>
      <c r="Z1347" s="488"/>
      <c r="AA1347" s="488"/>
      <c r="AB1347" s="488"/>
      <c r="AC1347" s="488"/>
      <c r="AD1347" s="488"/>
      <c r="AE1347" s="488"/>
      <c r="AF1347" s="488"/>
      <c r="AG1347" s="488"/>
      <c r="AH1347" s="488"/>
      <c r="AI1347" s="488"/>
      <c r="AJ1347" s="488"/>
    </row>
    <row r="1348" spans="1:36" s="496" customFormat="1">
      <c r="A1348" s="488"/>
      <c r="C1348" s="488"/>
      <c r="D1348" s="488"/>
      <c r="E1348" s="488"/>
      <c r="F1348" s="488"/>
      <c r="G1348" s="488"/>
      <c r="H1348" s="488"/>
      <c r="I1348" s="488"/>
      <c r="J1348" s="488"/>
      <c r="K1348" s="488"/>
      <c r="L1348" s="488"/>
      <c r="M1348" s="488"/>
      <c r="N1348" s="488"/>
      <c r="O1348" s="488"/>
      <c r="P1348" s="488"/>
      <c r="Q1348" s="488"/>
      <c r="R1348" s="488"/>
      <c r="S1348" s="488"/>
      <c r="T1348" s="488"/>
      <c r="U1348" s="488"/>
      <c r="V1348" s="488"/>
      <c r="W1348" s="488"/>
      <c r="X1348" s="488"/>
      <c r="Y1348" s="488"/>
      <c r="Z1348" s="488"/>
      <c r="AA1348" s="488"/>
      <c r="AB1348" s="488"/>
      <c r="AC1348" s="488"/>
      <c r="AD1348" s="488"/>
      <c r="AE1348" s="488"/>
      <c r="AF1348" s="488"/>
      <c r="AG1348" s="488"/>
      <c r="AH1348" s="488"/>
      <c r="AI1348" s="488"/>
      <c r="AJ1348" s="488"/>
    </row>
    <row r="1349" spans="1:36" s="496" customFormat="1">
      <c r="A1349" s="488"/>
      <c r="C1349" s="488"/>
      <c r="D1349" s="488"/>
      <c r="E1349" s="488"/>
      <c r="F1349" s="488"/>
      <c r="G1349" s="488"/>
      <c r="H1349" s="488"/>
      <c r="I1349" s="488"/>
      <c r="J1349" s="488"/>
      <c r="K1349" s="488"/>
      <c r="L1349" s="488"/>
      <c r="M1349" s="488"/>
      <c r="N1349" s="488"/>
      <c r="O1349" s="488"/>
      <c r="P1349" s="488"/>
      <c r="Q1349" s="488"/>
      <c r="R1349" s="488"/>
      <c r="S1349" s="488"/>
      <c r="T1349" s="488"/>
      <c r="U1349" s="488"/>
      <c r="V1349" s="488"/>
      <c r="W1349" s="488"/>
      <c r="X1349" s="488"/>
      <c r="Y1349" s="488"/>
      <c r="Z1349" s="488"/>
      <c r="AA1349" s="488"/>
      <c r="AB1349" s="488"/>
      <c r="AC1349" s="488"/>
      <c r="AD1349" s="488"/>
      <c r="AE1349" s="488"/>
      <c r="AF1349" s="488"/>
      <c r="AG1349" s="488"/>
      <c r="AH1349" s="488"/>
      <c r="AI1349" s="488"/>
      <c r="AJ1349" s="488"/>
    </row>
    <row r="1350" spans="1:36" s="496" customFormat="1">
      <c r="A1350" s="488"/>
      <c r="C1350" s="488"/>
      <c r="D1350" s="488"/>
      <c r="E1350" s="488"/>
      <c r="F1350" s="488"/>
      <c r="G1350" s="488"/>
      <c r="H1350" s="488"/>
      <c r="I1350" s="488"/>
      <c r="J1350" s="488"/>
      <c r="K1350" s="488"/>
      <c r="L1350" s="488"/>
      <c r="M1350" s="488"/>
      <c r="N1350" s="488"/>
      <c r="O1350" s="488"/>
      <c r="P1350" s="488"/>
      <c r="Q1350" s="488"/>
      <c r="R1350" s="488"/>
      <c r="S1350" s="488"/>
      <c r="T1350" s="488"/>
      <c r="U1350" s="488"/>
      <c r="V1350" s="488"/>
      <c r="W1350" s="488"/>
      <c r="X1350" s="488"/>
      <c r="Y1350" s="488"/>
      <c r="Z1350" s="488"/>
      <c r="AA1350" s="488"/>
      <c r="AB1350" s="488"/>
      <c r="AC1350" s="488"/>
      <c r="AD1350" s="488"/>
      <c r="AE1350" s="488"/>
      <c r="AF1350" s="488"/>
      <c r="AG1350" s="488"/>
      <c r="AH1350" s="488"/>
      <c r="AI1350" s="488"/>
      <c r="AJ1350" s="488"/>
    </row>
    <row r="1351" spans="1:36" s="496" customFormat="1">
      <c r="A1351" s="488"/>
      <c r="C1351" s="488"/>
      <c r="D1351" s="488"/>
      <c r="E1351" s="488"/>
      <c r="F1351" s="488"/>
      <c r="G1351" s="488"/>
      <c r="H1351" s="488"/>
      <c r="I1351" s="488"/>
      <c r="J1351" s="488"/>
      <c r="K1351" s="488"/>
      <c r="L1351" s="488"/>
      <c r="M1351" s="488"/>
      <c r="N1351" s="488"/>
      <c r="O1351" s="488"/>
      <c r="P1351" s="488"/>
      <c r="Q1351" s="488"/>
      <c r="R1351" s="488"/>
      <c r="S1351" s="488"/>
      <c r="T1351" s="488"/>
      <c r="U1351" s="488"/>
      <c r="V1351" s="488"/>
      <c r="W1351" s="488"/>
      <c r="X1351" s="488"/>
      <c r="Y1351" s="488"/>
      <c r="Z1351" s="488"/>
      <c r="AA1351" s="488"/>
      <c r="AB1351" s="488"/>
      <c r="AC1351" s="488"/>
      <c r="AD1351" s="488"/>
      <c r="AE1351" s="488"/>
      <c r="AF1351" s="488"/>
      <c r="AG1351" s="488"/>
      <c r="AH1351" s="488"/>
      <c r="AI1351" s="488"/>
      <c r="AJ1351" s="488"/>
    </row>
    <row r="1352" spans="1:36" s="496" customFormat="1">
      <c r="A1352" s="488"/>
      <c r="C1352" s="488"/>
      <c r="D1352" s="488"/>
      <c r="E1352" s="488"/>
      <c r="F1352" s="488"/>
      <c r="G1352" s="488"/>
      <c r="H1352" s="488"/>
      <c r="I1352" s="488"/>
      <c r="J1352" s="488"/>
      <c r="K1352" s="488"/>
      <c r="L1352" s="488"/>
      <c r="M1352" s="488"/>
      <c r="N1352" s="488"/>
      <c r="O1352" s="488"/>
      <c r="P1352" s="488"/>
      <c r="Q1352" s="488"/>
      <c r="R1352" s="488"/>
      <c r="S1352" s="488"/>
      <c r="T1352" s="488"/>
      <c r="U1352" s="488"/>
      <c r="V1352" s="488"/>
      <c r="W1352" s="488"/>
      <c r="X1352" s="488"/>
      <c r="Y1352" s="488"/>
      <c r="Z1352" s="488"/>
      <c r="AA1352" s="488"/>
      <c r="AB1352" s="488"/>
      <c r="AC1352" s="488"/>
      <c r="AD1352" s="488"/>
      <c r="AE1352" s="488"/>
      <c r="AF1352" s="488"/>
      <c r="AG1352" s="488"/>
      <c r="AH1352" s="488"/>
      <c r="AI1352" s="488"/>
      <c r="AJ1352" s="488"/>
    </row>
    <row r="1353" spans="1:36" s="496" customFormat="1">
      <c r="A1353" s="488"/>
      <c r="C1353" s="488"/>
      <c r="D1353" s="488"/>
      <c r="E1353" s="488"/>
      <c r="F1353" s="488"/>
      <c r="G1353" s="488"/>
      <c r="H1353" s="488"/>
      <c r="I1353" s="488"/>
      <c r="J1353" s="488"/>
      <c r="K1353" s="488"/>
      <c r="L1353" s="488"/>
      <c r="M1353" s="488"/>
      <c r="N1353" s="488"/>
      <c r="O1353" s="488"/>
      <c r="P1353" s="488"/>
      <c r="Q1353" s="488"/>
      <c r="R1353" s="488"/>
      <c r="S1353" s="488"/>
      <c r="T1353" s="488"/>
      <c r="U1353" s="488"/>
      <c r="V1353" s="488"/>
      <c r="W1353" s="488"/>
      <c r="X1353" s="488"/>
      <c r="Y1353" s="488"/>
      <c r="Z1353" s="488"/>
      <c r="AA1353" s="488"/>
      <c r="AB1353" s="488"/>
      <c r="AC1353" s="488"/>
      <c r="AD1353" s="488"/>
      <c r="AE1353" s="488"/>
      <c r="AF1353" s="488"/>
      <c r="AG1353" s="488"/>
      <c r="AH1353" s="488"/>
      <c r="AI1353" s="488"/>
      <c r="AJ1353" s="488"/>
    </row>
    <row r="1354" spans="1:36" s="496" customFormat="1">
      <c r="A1354" s="488"/>
      <c r="C1354" s="488"/>
      <c r="D1354" s="488"/>
      <c r="E1354" s="488"/>
      <c r="F1354" s="488"/>
      <c r="G1354" s="488"/>
      <c r="H1354" s="488"/>
      <c r="I1354" s="488"/>
      <c r="J1354" s="488"/>
      <c r="K1354" s="488"/>
      <c r="L1354" s="488"/>
      <c r="M1354" s="488"/>
      <c r="N1354" s="488"/>
      <c r="O1354" s="488"/>
      <c r="P1354" s="488"/>
      <c r="Q1354" s="488"/>
      <c r="R1354" s="488"/>
      <c r="S1354" s="488"/>
      <c r="T1354" s="488"/>
      <c r="U1354" s="488"/>
      <c r="V1354" s="488"/>
      <c r="W1354" s="488"/>
      <c r="X1354" s="488"/>
      <c r="Y1354" s="488"/>
      <c r="Z1354" s="488"/>
      <c r="AA1354" s="488"/>
      <c r="AB1354" s="488"/>
      <c r="AC1354" s="488"/>
      <c r="AD1354" s="488"/>
      <c r="AE1354" s="488"/>
      <c r="AF1354" s="488"/>
      <c r="AG1354" s="488"/>
      <c r="AH1354" s="488"/>
      <c r="AI1354" s="488"/>
      <c r="AJ1354" s="488"/>
    </row>
    <row r="1355" spans="1:36" s="496" customFormat="1">
      <c r="A1355" s="488"/>
      <c r="C1355" s="488"/>
      <c r="D1355" s="488"/>
      <c r="E1355" s="488"/>
      <c r="F1355" s="488"/>
      <c r="G1355" s="488"/>
      <c r="H1355" s="488"/>
      <c r="I1355" s="488"/>
      <c r="J1355" s="488"/>
      <c r="K1355" s="488"/>
      <c r="L1355" s="488"/>
      <c r="M1355" s="488"/>
      <c r="N1355" s="488"/>
      <c r="O1355" s="488"/>
      <c r="P1355" s="488"/>
      <c r="Q1355" s="488"/>
      <c r="R1355" s="488"/>
      <c r="S1355" s="488"/>
      <c r="T1355" s="488"/>
      <c r="U1355" s="488"/>
      <c r="V1355" s="488"/>
      <c r="W1355" s="488"/>
      <c r="X1355" s="488"/>
      <c r="Y1355" s="488"/>
      <c r="Z1355" s="488"/>
      <c r="AA1355" s="488"/>
      <c r="AB1355" s="488"/>
      <c r="AC1355" s="488"/>
      <c r="AD1355" s="488"/>
      <c r="AE1355" s="488"/>
      <c r="AF1355" s="488"/>
      <c r="AG1355" s="488"/>
      <c r="AH1355" s="488"/>
      <c r="AI1355" s="488"/>
      <c r="AJ1355" s="488"/>
    </row>
    <row r="1356" spans="1:36" s="496" customFormat="1">
      <c r="A1356" s="488"/>
      <c r="C1356" s="488"/>
      <c r="D1356" s="488"/>
      <c r="E1356" s="488"/>
      <c r="F1356" s="488"/>
      <c r="G1356" s="488"/>
      <c r="H1356" s="488"/>
      <c r="I1356" s="488"/>
      <c r="J1356" s="488"/>
      <c r="K1356" s="488"/>
      <c r="L1356" s="488"/>
      <c r="M1356" s="488"/>
      <c r="N1356" s="488"/>
      <c r="O1356" s="488"/>
      <c r="P1356" s="488"/>
      <c r="Q1356" s="488"/>
      <c r="R1356" s="488"/>
      <c r="S1356" s="488"/>
      <c r="T1356" s="488"/>
      <c r="U1356" s="488"/>
      <c r="V1356" s="488"/>
      <c r="W1356" s="488"/>
      <c r="X1356" s="488"/>
      <c r="Y1356" s="488"/>
      <c r="Z1356" s="488"/>
      <c r="AA1356" s="488"/>
      <c r="AB1356" s="488"/>
      <c r="AC1356" s="488"/>
      <c r="AD1356" s="488"/>
      <c r="AE1356" s="488"/>
      <c r="AF1356" s="488"/>
      <c r="AG1356" s="488"/>
      <c r="AH1356" s="488"/>
      <c r="AI1356" s="488"/>
      <c r="AJ1356" s="488"/>
    </row>
    <row r="1357" spans="1:36" s="496" customFormat="1">
      <c r="A1357" s="488"/>
      <c r="C1357" s="488"/>
      <c r="D1357" s="488"/>
      <c r="E1357" s="488"/>
      <c r="F1357" s="488"/>
      <c r="G1357" s="488"/>
      <c r="H1357" s="488"/>
      <c r="I1357" s="488"/>
      <c r="J1357" s="488"/>
      <c r="K1357" s="488"/>
      <c r="L1357" s="488"/>
      <c r="M1357" s="488"/>
      <c r="N1357" s="488"/>
      <c r="O1357" s="488"/>
      <c r="P1357" s="488"/>
      <c r="Q1357" s="488"/>
      <c r="R1357" s="488"/>
      <c r="S1357" s="488"/>
      <c r="T1357" s="488"/>
      <c r="U1357" s="488"/>
      <c r="V1357" s="488"/>
      <c r="W1357" s="488"/>
      <c r="X1357" s="488"/>
      <c r="Y1357" s="488"/>
      <c r="Z1357" s="488"/>
      <c r="AA1357" s="488"/>
      <c r="AB1357" s="488"/>
      <c r="AC1357" s="488"/>
      <c r="AD1357" s="488"/>
      <c r="AE1357" s="488"/>
      <c r="AF1357" s="488"/>
      <c r="AG1357" s="488"/>
      <c r="AH1357" s="488"/>
      <c r="AI1357" s="488"/>
      <c r="AJ1357" s="488"/>
    </row>
    <row r="1358" spans="1:36" s="496" customFormat="1">
      <c r="A1358" s="488"/>
      <c r="C1358" s="488"/>
      <c r="D1358" s="488"/>
      <c r="E1358" s="488"/>
      <c r="F1358" s="488"/>
      <c r="G1358" s="488"/>
      <c r="H1358" s="488"/>
      <c r="I1358" s="488"/>
      <c r="J1358" s="488"/>
      <c r="K1358" s="488"/>
      <c r="L1358" s="488"/>
      <c r="M1358" s="488"/>
      <c r="N1358" s="488"/>
      <c r="O1358" s="488"/>
      <c r="P1358" s="488"/>
      <c r="Q1358" s="488"/>
      <c r="R1358" s="488"/>
      <c r="S1358" s="488"/>
      <c r="T1358" s="488"/>
      <c r="U1358" s="488"/>
      <c r="V1358" s="488"/>
      <c r="W1358" s="488"/>
      <c r="X1358" s="488"/>
      <c r="Y1358" s="488"/>
      <c r="Z1358" s="488"/>
      <c r="AA1358" s="488"/>
      <c r="AB1358" s="488"/>
      <c r="AC1358" s="488"/>
      <c r="AD1358" s="488"/>
      <c r="AE1358" s="488"/>
      <c r="AF1358" s="488"/>
      <c r="AG1358" s="488"/>
      <c r="AH1358" s="488"/>
      <c r="AI1358" s="488"/>
      <c r="AJ1358" s="488"/>
    </row>
    <row r="1359" spans="1:36" s="496" customFormat="1">
      <c r="A1359" s="488"/>
      <c r="C1359" s="488"/>
      <c r="D1359" s="488"/>
      <c r="E1359" s="488"/>
      <c r="F1359" s="488"/>
      <c r="G1359" s="488"/>
      <c r="H1359" s="488"/>
      <c r="I1359" s="488"/>
      <c r="J1359" s="488"/>
      <c r="K1359" s="488"/>
      <c r="L1359" s="488"/>
      <c r="M1359" s="488"/>
      <c r="N1359" s="488"/>
      <c r="O1359" s="488"/>
      <c r="P1359" s="488"/>
      <c r="Q1359" s="488"/>
      <c r="R1359" s="488"/>
      <c r="S1359" s="488"/>
      <c r="T1359" s="488"/>
      <c r="U1359" s="488"/>
      <c r="V1359" s="488"/>
      <c r="W1359" s="488"/>
      <c r="X1359" s="488"/>
      <c r="Y1359" s="488"/>
      <c r="Z1359" s="488"/>
      <c r="AA1359" s="488"/>
      <c r="AB1359" s="488"/>
      <c r="AC1359" s="488"/>
      <c r="AD1359" s="488"/>
      <c r="AE1359" s="488"/>
      <c r="AF1359" s="488"/>
      <c r="AG1359" s="488"/>
      <c r="AH1359" s="488"/>
      <c r="AI1359" s="488"/>
      <c r="AJ1359" s="488"/>
    </row>
    <row r="1360" spans="1:36" s="496" customFormat="1">
      <c r="A1360" s="488"/>
      <c r="C1360" s="488"/>
      <c r="D1360" s="488"/>
      <c r="E1360" s="488"/>
      <c r="F1360" s="488"/>
      <c r="G1360" s="488"/>
      <c r="H1360" s="488"/>
      <c r="I1360" s="488"/>
      <c r="J1360" s="488"/>
      <c r="K1360" s="488"/>
      <c r="L1360" s="488"/>
      <c r="M1360" s="488"/>
      <c r="N1360" s="488"/>
      <c r="O1360" s="488"/>
      <c r="P1360" s="488"/>
      <c r="Q1360" s="488"/>
      <c r="R1360" s="488"/>
      <c r="S1360" s="488"/>
      <c r="T1360" s="488"/>
      <c r="U1360" s="488"/>
      <c r="V1360" s="488"/>
      <c r="W1360" s="488"/>
      <c r="X1360" s="488"/>
      <c r="Y1360" s="488"/>
      <c r="Z1360" s="488"/>
      <c r="AA1360" s="488"/>
      <c r="AB1360" s="488"/>
      <c r="AC1360" s="488"/>
      <c r="AD1360" s="488"/>
      <c r="AE1360" s="488"/>
      <c r="AF1360" s="488"/>
      <c r="AG1360" s="488"/>
      <c r="AH1360" s="488"/>
      <c r="AI1360" s="488"/>
      <c r="AJ1360" s="488"/>
    </row>
    <row r="1361" spans="1:36" s="496" customFormat="1">
      <c r="A1361" s="488"/>
      <c r="C1361" s="488"/>
      <c r="D1361" s="488"/>
      <c r="E1361" s="488"/>
      <c r="F1361" s="488"/>
      <c r="G1361" s="488"/>
      <c r="H1361" s="488"/>
      <c r="I1361" s="488"/>
      <c r="J1361" s="488"/>
      <c r="K1361" s="488"/>
      <c r="L1361" s="488"/>
      <c r="M1361" s="488"/>
      <c r="N1361" s="488"/>
      <c r="O1361" s="488"/>
      <c r="P1361" s="488"/>
      <c r="Q1361" s="488"/>
      <c r="R1361" s="488"/>
      <c r="S1361" s="488"/>
      <c r="T1361" s="488"/>
      <c r="U1361" s="488"/>
      <c r="V1361" s="488"/>
      <c r="W1361" s="488"/>
      <c r="X1361" s="488"/>
      <c r="Y1361" s="488"/>
      <c r="Z1361" s="488"/>
      <c r="AA1361" s="488"/>
      <c r="AB1361" s="488"/>
      <c r="AC1361" s="488"/>
      <c r="AD1361" s="488"/>
      <c r="AE1361" s="488"/>
      <c r="AF1361" s="488"/>
      <c r="AG1361" s="488"/>
      <c r="AH1361" s="488"/>
      <c r="AI1361" s="488"/>
      <c r="AJ1361" s="488"/>
    </row>
    <row r="1362" spans="1:36" s="496" customFormat="1">
      <c r="A1362" s="488"/>
      <c r="C1362" s="488"/>
      <c r="D1362" s="488"/>
      <c r="E1362" s="488"/>
      <c r="F1362" s="488"/>
      <c r="G1362" s="488"/>
      <c r="H1362" s="488"/>
      <c r="I1362" s="488"/>
      <c r="J1362" s="488"/>
      <c r="K1362" s="488"/>
      <c r="L1362" s="488"/>
      <c r="M1362" s="488"/>
      <c r="N1362" s="488"/>
      <c r="O1362" s="488"/>
      <c r="P1362" s="488"/>
      <c r="Q1362" s="488"/>
      <c r="R1362" s="488"/>
      <c r="S1362" s="488"/>
      <c r="T1362" s="488"/>
      <c r="U1362" s="488"/>
      <c r="V1362" s="488"/>
      <c r="W1362" s="488"/>
      <c r="X1362" s="488"/>
      <c r="Y1362" s="488"/>
      <c r="Z1362" s="488"/>
      <c r="AA1362" s="488"/>
      <c r="AB1362" s="488"/>
      <c r="AC1362" s="488"/>
      <c r="AD1362" s="488"/>
      <c r="AE1362" s="488"/>
      <c r="AF1362" s="488"/>
      <c r="AG1362" s="488"/>
      <c r="AH1362" s="488"/>
      <c r="AI1362" s="488"/>
      <c r="AJ1362" s="488"/>
    </row>
    <row r="1363" spans="1:36" s="496" customFormat="1">
      <c r="A1363" s="488"/>
      <c r="C1363" s="488"/>
      <c r="D1363" s="488"/>
      <c r="E1363" s="488"/>
      <c r="F1363" s="488"/>
      <c r="G1363" s="488"/>
      <c r="H1363" s="488"/>
      <c r="I1363" s="488"/>
      <c r="J1363" s="488"/>
      <c r="K1363" s="488"/>
      <c r="L1363" s="488"/>
      <c r="M1363" s="488"/>
      <c r="N1363" s="488"/>
      <c r="O1363" s="488"/>
      <c r="P1363" s="488"/>
      <c r="Q1363" s="488"/>
      <c r="R1363" s="488"/>
      <c r="S1363" s="488"/>
      <c r="T1363" s="488"/>
      <c r="U1363" s="488"/>
      <c r="V1363" s="488"/>
      <c r="W1363" s="488"/>
      <c r="X1363" s="488"/>
      <c r="Y1363" s="488"/>
      <c r="Z1363" s="488"/>
      <c r="AA1363" s="488"/>
      <c r="AB1363" s="488"/>
      <c r="AC1363" s="488"/>
      <c r="AD1363" s="488"/>
      <c r="AE1363" s="488"/>
      <c r="AF1363" s="488"/>
      <c r="AG1363" s="488"/>
      <c r="AH1363" s="488"/>
      <c r="AI1363" s="488"/>
      <c r="AJ1363" s="488"/>
    </row>
    <row r="1364" spans="1:36" s="496" customFormat="1">
      <c r="A1364" s="488"/>
      <c r="C1364" s="488"/>
      <c r="D1364" s="488"/>
      <c r="E1364" s="488"/>
      <c r="F1364" s="488"/>
      <c r="G1364" s="488"/>
      <c r="H1364" s="488"/>
      <c r="I1364" s="488"/>
      <c r="J1364" s="488"/>
      <c r="K1364" s="488"/>
      <c r="L1364" s="488"/>
      <c r="M1364" s="488"/>
      <c r="N1364" s="488"/>
      <c r="O1364" s="488"/>
      <c r="P1364" s="488"/>
      <c r="Q1364" s="488"/>
      <c r="R1364" s="488"/>
      <c r="S1364" s="488"/>
      <c r="T1364" s="488"/>
      <c r="U1364" s="488"/>
      <c r="V1364" s="488"/>
      <c r="W1364" s="488"/>
      <c r="X1364" s="488"/>
      <c r="Y1364" s="488"/>
      <c r="Z1364" s="488"/>
      <c r="AA1364" s="488"/>
      <c r="AB1364" s="488"/>
      <c r="AC1364" s="488"/>
      <c r="AD1364" s="488"/>
      <c r="AE1364" s="488"/>
      <c r="AF1364" s="488"/>
      <c r="AG1364" s="488"/>
      <c r="AH1364" s="488"/>
      <c r="AI1364" s="488"/>
      <c r="AJ1364" s="488"/>
    </row>
    <row r="1365" spans="1:36" s="496" customFormat="1">
      <c r="A1365" s="488"/>
      <c r="C1365" s="488"/>
      <c r="D1365" s="488"/>
      <c r="E1365" s="488"/>
      <c r="F1365" s="488"/>
      <c r="G1365" s="488"/>
      <c r="H1365" s="488"/>
      <c r="I1365" s="488"/>
      <c r="J1365" s="488"/>
      <c r="K1365" s="488"/>
      <c r="L1365" s="488"/>
      <c r="M1365" s="488"/>
      <c r="N1365" s="488"/>
      <c r="O1365" s="488"/>
      <c r="P1365" s="488"/>
      <c r="Q1365" s="488"/>
      <c r="R1365" s="488"/>
      <c r="S1365" s="488"/>
      <c r="T1365" s="488"/>
      <c r="U1365" s="488"/>
      <c r="V1365" s="488"/>
      <c r="W1365" s="488"/>
      <c r="X1365" s="488"/>
      <c r="Y1365" s="488"/>
      <c r="Z1365" s="488"/>
      <c r="AA1365" s="488"/>
      <c r="AB1365" s="488"/>
      <c r="AC1365" s="488"/>
      <c r="AD1365" s="488"/>
      <c r="AE1365" s="488"/>
      <c r="AF1365" s="488"/>
      <c r="AG1365" s="488"/>
      <c r="AH1365" s="488"/>
      <c r="AI1365" s="488"/>
      <c r="AJ1365" s="488"/>
    </row>
    <row r="1366" spans="1:36" s="496" customFormat="1">
      <c r="A1366" s="488"/>
      <c r="C1366" s="488"/>
      <c r="D1366" s="488"/>
      <c r="E1366" s="488"/>
      <c r="F1366" s="488"/>
      <c r="G1366" s="488"/>
      <c r="H1366" s="488"/>
      <c r="I1366" s="488"/>
      <c r="J1366" s="488"/>
      <c r="K1366" s="488"/>
      <c r="L1366" s="488"/>
      <c r="M1366" s="488"/>
      <c r="N1366" s="488"/>
      <c r="O1366" s="488"/>
      <c r="P1366" s="488"/>
      <c r="Q1366" s="488"/>
      <c r="R1366" s="488"/>
      <c r="S1366" s="488"/>
      <c r="T1366" s="488"/>
      <c r="U1366" s="488"/>
      <c r="V1366" s="488"/>
      <c r="W1366" s="488"/>
      <c r="X1366" s="488"/>
      <c r="Y1366" s="488"/>
      <c r="Z1366" s="488"/>
      <c r="AA1366" s="488"/>
      <c r="AB1366" s="488"/>
      <c r="AC1366" s="488"/>
      <c r="AD1366" s="488"/>
      <c r="AE1366" s="488"/>
      <c r="AF1366" s="488"/>
      <c r="AG1366" s="488"/>
      <c r="AH1366" s="488"/>
      <c r="AI1366" s="488"/>
      <c r="AJ1366" s="488"/>
    </row>
    <row r="1367" spans="1:36" s="496" customFormat="1">
      <c r="A1367" s="488"/>
      <c r="C1367" s="488"/>
      <c r="D1367" s="488"/>
      <c r="E1367" s="488"/>
      <c r="F1367" s="488"/>
      <c r="G1367" s="488"/>
      <c r="H1367" s="488"/>
      <c r="I1367" s="488"/>
      <c r="J1367" s="488"/>
      <c r="K1367" s="488"/>
      <c r="L1367" s="488"/>
      <c r="M1367" s="488"/>
      <c r="N1367" s="488"/>
      <c r="O1367" s="488"/>
      <c r="P1367" s="488"/>
      <c r="Q1367" s="488"/>
      <c r="R1367" s="488"/>
      <c r="S1367" s="488"/>
      <c r="T1367" s="488"/>
      <c r="U1367" s="488"/>
      <c r="V1367" s="488"/>
      <c r="W1367" s="488"/>
      <c r="X1367" s="488"/>
      <c r="Y1367" s="488"/>
      <c r="Z1367" s="488"/>
      <c r="AA1367" s="488"/>
      <c r="AB1367" s="488"/>
      <c r="AC1367" s="488"/>
      <c r="AD1367" s="488"/>
      <c r="AE1367" s="488"/>
      <c r="AF1367" s="488"/>
      <c r="AG1367" s="488"/>
      <c r="AH1367" s="488"/>
      <c r="AI1367" s="488"/>
      <c r="AJ1367" s="488"/>
    </row>
    <row r="1368" spans="1:36" s="496" customFormat="1">
      <c r="A1368" s="488"/>
      <c r="C1368" s="488"/>
      <c r="D1368" s="488"/>
      <c r="E1368" s="488"/>
      <c r="F1368" s="488"/>
      <c r="G1368" s="488"/>
      <c r="H1368" s="488"/>
      <c r="I1368" s="488"/>
      <c r="J1368" s="488"/>
      <c r="K1368" s="488"/>
      <c r="L1368" s="488"/>
      <c r="M1368" s="488"/>
      <c r="N1368" s="488"/>
      <c r="O1368" s="488"/>
      <c r="P1368" s="488"/>
      <c r="Q1368" s="488"/>
      <c r="R1368" s="488"/>
      <c r="S1368" s="488"/>
      <c r="T1368" s="488"/>
      <c r="U1368" s="488"/>
      <c r="V1368" s="488"/>
      <c r="W1368" s="488"/>
      <c r="X1368" s="488"/>
      <c r="Y1368" s="488"/>
      <c r="Z1368" s="488"/>
      <c r="AA1368" s="488"/>
      <c r="AB1368" s="488"/>
      <c r="AC1368" s="488"/>
      <c r="AD1368" s="488"/>
      <c r="AE1368" s="488"/>
      <c r="AF1368" s="488"/>
      <c r="AG1368" s="488"/>
      <c r="AH1368" s="488"/>
      <c r="AI1368" s="488"/>
      <c r="AJ1368" s="488"/>
    </row>
    <row r="1369" spans="1:36" s="496" customFormat="1">
      <c r="A1369" s="488"/>
      <c r="C1369" s="488"/>
      <c r="D1369" s="488"/>
      <c r="E1369" s="488"/>
      <c r="F1369" s="488"/>
      <c r="G1369" s="488"/>
      <c r="H1369" s="488"/>
      <c r="I1369" s="488"/>
      <c r="J1369" s="488"/>
      <c r="K1369" s="488"/>
      <c r="L1369" s="488"/>
      <c r="M1369" s="488"/>
      <c r="N1369" s="488"/>
      <c r="O1369" s="488"/>
      <c r="P1369" s="488"/>
      <c r="Q1369" s="488"/>
      <c r="R1369" s="488"/>
      <c r="S1369" s="488"/>
      <c r="T1369" s="488"/>
      <c r="U1369" s="488"/>
      <c r="V1369" s="488"/>
      <c r="W1369" s="488"/>
      <c r="X1369" s="488"/>
      <c r="Y1369" s="488"/>
      <c r="Z1369" s="488"/>
      <c r="AA1369" s="488"/>
      <c r="AB1369" s="488"/>
      <c r="AC1369" s="488"/>
      <c r="AD1369" s="488"/>
      <c r="AE1369" s="488"/>
      <c r="AF1369" s="488"/>
      <c r="AG1369" s="488"/>
      <c r="AH1369" s="488"/>
      <c r="AI1369" s="488"/>
      <c r="AJ1369" s="488"/>
    </row>
    <row r="1370" spans="1:36" s="496" customFormat="1">
      <c r="A1370" s="488"/>
      <c r="C1370" s="488"/>
      <c r="D1370" s="488"/>
      <c r="E1370" s="488"/>
      <c r="F1370" s="488"/>
      <c r="G1370" s="488"/>
      <c r="H1370" s="488"/>
      <c r="I1370" s="488"/>
      <c r="J1370" s="488"/>
      <c r="K1370" s="488"/>
      <c r="L1370" s="488"/>
      <c r="M1370" s="488"/>
      <c r="N1370" s="488"/>
      <c r="O1370" s="488"/>
      <c r="P1370" s="488"/>
      <c r="Q1370" s="488"/>
      <c r="R1370" s="488"/>
      <c r="S1370" s="488"/>
      <c r="T1370" s="488"/>
      <c r="U1370" s="488"/>
      <c r="V1370" s="488"/>
      <c r="W1370" s="488"/>
      <c r="X1370" s="488"/>
      <c r="Y1370" s="488"/>
      <c r="Z1370" s="488"/>
      <c r="AA1370" s="488"/>
      <c r="AB1370" s="488"/>
      <c r="AC1370" s="488"/>
      <c r="AD1370" s="488"/>
      <c r="AE1370" s="488"/>
      <c r="AF1370" s="488"/>
      <c r="AG1370" s="488"/>
      <c r="AH1370" s="488"/>
      <c r="AI1370" s="488"/>
      <c r="AJ1370" s="488"/>
    </row>
    <row r="1371" spans="1:36" s="496" customFormat="1">
      <c r="A1371" s="488"/>
      <c r="C1371" s="488"/>
      <c r="D1371" s="488"/>
      <c r="E1371" s="488"/>
      <c r="F1371" s="488"/>
      <c r="G1371" s="488"/>
      <c r="H1371" s="488"/>
      <c r="I1371" s="488"/>
      <c r="J1371" s="488"/>
      <c r="K1371" s="488"/>
      <c r="L1371" s="488"/>
      <c r="M1371" s="488"/>
      <c r="N1371" s="488"/>
      <c r="O1371" s="488"/>
      <c r="P1371" s="488"/>
      <c r="Q1371" s="488"/>
      <c r="R1371" s="488"/>
      <c r="S1371" s="488"/>
      <c r="T1371" s="488"/>
      <c r="U1371" s="488"/>
      <c r="V1371" s="488"/>
      <c r="W1371" s="488"/>
      <c r="X1371" s="488"/>
      <c r="Y1371" s="488"/>
      <c r="Z1371" s="488"/>
      <c r="AA1371" s="488"/>
      <c r="AB1371" s="488"/>
      <c r="AC1371" s="488"/>
      <c r="AD1371" s="488"/>
      <c r="AE1371" s="488"/>
      <c r="AF1371" s="488"/>
      <c r="AG1371" s="488"/>
      <c r="AH1371" s="488"/>
      <c r="AI1371" s="488"/>
      <c r="AJ1371" s="488"/>
    </row>
    <row r="1372" spans="1:36" s="496" customFormat="1">
      <c r="A1372" s="488"/>
      <c r="C1372" s="488"/>
      <c r="D1372" s="488"/>
      <c r="E1372" s="488"/>
      <c r="F1372" s="488"/>
      <c r="G1372" s="488"/>
      <c r="H1372" s="488"/>
      <c r="I1372" s="488"/>
      <c r="J1372" s="488"/>
      <c r="K1372" s="488"/>
      <c r="L1372" s="488"/>
      <c r="M1372" s="488"/>
      <c r="N1372" s="488"/>
      <c r="O1372" s="488"/>
      <c r="P1372" s="488"/>
      <c r="Q1372" s="488"/>
      <c r="R1372" s="488"/>
      <c r="S1372" s="488"/>
      <c r="T1372" s="488"/>
      <c r="U1372" s="488"/>
      <c r="V1372" s="488"/>
      <c r="W1372" s="488"/>
      <c r="X1372" s="488"/>
      <c r="Y1372" s="488"/>
      <c r="Z1372" s="488"/>
      <c r="AA1372" s="488"/>
      <c r="AB1372" s="488"/>
      <c r="AC1372" s="488"/>
      <c r="AD1372" s="488"/>
      <c r="AE1372" s="488"/>
      <c r="AF1372" s="488"/>
      <c r="AG1372" s="488"/>
      <c r="AH1372" s="488"/>
      <c r="AI1372" s="488"/>
      <c r="AJ1372" s="488"/>
    </row>
    <row r="1373" spans="1:36" s="496" customFormat="1">
      <c r="A1373" s="488"/>
      <c r="C1373" s="488"/>
      <c r="D1373" s="488"/>
      <c r="E1373" s="488"/>
      <c r="F1373" s="488"/>
      <c r="G1373" s="488"/>
      <c r="H1373" s="488"/>
      <c r="I1373" s="488"/>
      <c r="J1373" s="488"/>
      <c r="K1373" s="488"/>
      <c r="L1373" s="488"/>
      <c r="M1373" s="488"/>
      <c r="N1373" s="488"/>
      <c r="O1373" s="488"/>
      <c r="P1373" s="488"/>
      <c r="Q1373" s="488"/>
      <c r="R1373" s="488"/>
      <c r="S1373" s="488"/>
      <c r="T1373" s="488"/>
      <c r="U1373" s="488"/>
      <c r="V1373" s="488"/>
      <c r="W1373" s="488"/>
      <c r="X1373" s="488"/>
      <c r="Y1373" s="488"/>
      <c r="Z1373" s="488"/>
      <c r="AA1373" s="488"/>
      <c r="AB1373" s="488"/>
      <c r="AC1373" s="488"/>
      <c r="AD1373" s="488"/>
      <c r="AE1373" s="488"/>
      <c r="AF1373" s="488"/>
      <c r="AG1373" s="488"/>
      <c r="AH1373" s="488"/>
      <c r="AI1373" s="488"/>
      <c r="AJ1373" s="488"/>
    </row>
    <row r="1374" spans="1:36" s="496" customFormat="1">
      <c r="A1374" s="488"/>
      <c r="C1374" s="488"/>
      <c r="D1374" s="488"/>
      <c r="E1374" s="488"/>
      <c r="F1374" s="488"/>
      <c r="G1374" s="488"/>
      <c r="H1374" s="488"/>
      <c r="I1374" s="488"/>
      <c r="J1374" s="488"/>
      <c r="K1374" s="488"/>
      <c r="L1374" s="488"/>
      <c r="M1374" s="488"/>
      <c r="N1374" s="488"/>
      <c r="O1374" s="488"/>
      <c r="P1374" s="488"/>
      <c r="Q1374" s="488"/>
      <c r="R1374" s="488"/>
      <c r="S1374" s="488"/>
      <c r="T1374" s="488"/>
      <c r="U1374" s="488"/>
      <c r="V1374" s="488"/>
      <c r="W1374" s="488"/>
      <c r="X1374" s="488"/>
      <c r="Y1374" s="488"/>
      <c r="Z1374" s="488"/>
      <c r="AA1374" s="488"/>
      <c r="AB1374" s="488"/>
      <c r="AC1374" s="488"/>
      <c r="AD1374" s="488"/>
      <c r="AE1374" s="488"/>
      <c r="AF1374" s="488"/>
      <c r="AG1374" s="488"/>
      <c r="AH1374" s="488"/>
      <c r="AI1374" s="488"/>
      <c r="AJ1374" s="488"/>
    </row>
    <row r="1375" spans="1:36" s="496" customFormat="1">
      <c r="A1375" s="488"/>
      <c r="C1375" s="488"/>
      <c r="D1375" s="488"/>
      <c r="E1375" s="488"/>
      <c r="F1375" s="488"/>
      <c r="G1375" s="488"/>
      <c r="H1375" s="488"/>
      <c r="I1375" s="488"/>
      <c r="J1375" s="488"/>
      <c r="K1375" s="488"/>
      <c r="L1375" s="488"/>
      <c r="M1375" s="488"/>
      <c r="N1375" s="488"/>
      <c r="O1375" s="488"/>
      <c r="P1375" s="488"/>
      <c r="Q1375" s="488"/>
      <c r="R1375" s="488"/>
      <c r="S1375" s="488"/>
      <c r="T1375" s="488"/>
      <c r="U1375" s="488"/>
      <c r="V1375" s="488"/>
      <c r="W1375" s="488"/>
      <c r="X1375" s="488"/>
      <c r="Y1375" s="488"/>
      <c r="Z1375" s="488"/>
      <c r="AA1375" s="488"/>
      <c r="AB1375" s="488"/>
      <c r="AC1375" s="488"/>
      <c r="AD1375" s="488"/>
      <c r="AE1375" s="488"/>
      <c r="AF1375" s="488"/>
      <c r="AG1375" s="488"/>
      <c r="AH1375" s="488"/>
      <c r="AI1375" s="488"/>
      <c r="AJ1375" s="488"/>
    </row>
    <row r="1376" spans="1:36" s="496" customFormat="1">
      <c r="A1376" s="488"/>
      <c r="C1376" s="488"/>
      <c r="D1376" s="488"/>
      <c r="E1376" s="488"/>
      <c r="F1376" s="488"/>
      <c r="G1376" s="488"/>
      <c r="H1376" s="488"/>
      <c r="I1376" s="488"/>
      <c r="J1376" s="488"/>
      <c r="K1376" s="488"/>
      <c r="L1376" s="488"/>
      <c r="M1376" s="488"/>
      <c r="N1376" s="488"/>
      <c r="O1376" s="488"/>
      <c r="P1376" s="488"/>
      <c r="Q1376" s="488"/>
      <c r="R1376" s="488"/>
      <c r="S1376" s="488"/>
      <c r="T1376" s="488"/>
      <c r="U1376" s="488"/>
      <c r="V1376" s="488"/>
      <c r="W1376" s="488"/>
      <c r="X1376" s="488"/>
      <c r="Y1376" s="488"/>
      <c r="Z1376" s="488"/>
      <c r="AA1376" s="488"/>
      <c r="AB1376" s="488"/>
      <c r="AC1376" s="488"/>
      <c r="AD1376" s="488"/>
      <c r="AE1376" s="488"/>
      <c r="AF1376" s="488"/>
      <c r="AG1376" s="488"/>
      <c r="AH1376" s="488"/>
      <c r="AI1376" s="488"/>
      <c r="AJ1376" s="488"/>
    </row>
    <row r="1377" spans="1:36" s="496" customFormat="1">
      <c r="A1377" s="488"/>
      <c r="C1377" s="488"/>
      <c r="D1377" s="488"/>
      <c r="E1377" s="488"/>
      <c r="F1377" s="488"/>
      <c r="G1377" s="488"/>
      <c r="H1377" s="488"/>
      <c r="I1377" s="488"/>
      <c r="J1377" s="488"/>
      <c r="K1377" s="488"/>
      <c r="L1377" s="488"/>
      <c r="M1377" s="488"/>
      <c r="N1377" s="488"/>
      <c r="O1377" s="488"/>
      <c r="P1377" s="488"/>
      <c r="Q1377" s="488"/>
      <c r="R1377" s="488"/>
      <c r="S1377" s="488"/>
      <c r="T1377" s="488"/>
      <c r="U1377" s="488"/>
      <c r="V1377" s="488"/>
      <c r="W1377" s="488"/>
      <c r="X1377" s="488"/>
      <c r="Y1377" s="488"/>
      <c r="Z1377" s="488"/>
      <c r="AA1377" s="488"/>
      <c r="AB1377" s="488"/>
      <c r="AC1377" s="488"/>
      <c r="AD1377" s="488"/>
      <c r="AE1377" s="488"/>
      <c r="AF1377" s="488"/>
      <c r="AG1377" s="488"/>
      <c r="AH1377" s="488"/>
      <c r="AI1377" s="488"/>
      <c r="AJ1377" s="488"/>
    </row>
    <row r="1378" spans="1:36" s="496" customFormat="1">
      <c r="A1378" s="488"/>
      <c r="C1378" s="488"/>
      <c r="D1378" s="488"/>
      <c r="E1378" s="488"/>
      <c r="F1378" s="488"/>
      <c r="G1378" s="488"/>
      <c r="H1378" s="488"/>
      <c r="I1378" s="488"/>
      <c r="J1378" s="488"/>
      <c r="K1378" s="488"/>
      <c r="L1378" s="488"/>
      <c r="M1378" s="488"/>
      <c r="N1378" s="488"/>
      <c r="O1378" s="488"/>
      <c r="P1378" s="488"/>
      <c r="Q1378" s="488"/>
      <c r="R1378" s="488"/>
      <c r="S1378" s="488"/>
      <c r="T1378" s="488"/>
      <c r="U1378" s="488"/>
      <c r="V1378" s="488"/>
      <c r="W1378" s="488"/>
      <c r="X1378" s="488"/>
      <c r="Y1378" s="488"/>
      <c r="Z1378" s="488"/>
      <c r="AA1378" s="488"/>
      <c r="AB1378" s="488"/>
      <c r="AC1378" s="488"/>
      <c r="AD1378" s="488"/>
      <c r="AE1378" s="488"/>
      <c r="AF1378" s="488"/>
      <c r="AG1378" s="488"/>
      <c r="AH1378" s="488"/>
      <c r="AI1378" s="488"/>
      <c r="AJ1378" s="488"/>
    </row>
    <row r="1379" spans="1:36" s="496" customFormat="1">
      <c r="A1379" s="488"/>
      <c r="C1379" s="488"/>
      <c r="D1379" s="488"/>
      <c r="E1379" s="488"/>
      <c r="F1379" s="488"/>
      <c r="G1379" s="488"/>
      <c r="H1379" s="488"/>
      <c r="I1379" s="488"/>
      <c r="J1379" s="488"/>
      <c r="K1379" s="488"/>
      <c r="L1379" s="488"/>
      <c r="M1379" s="488"/>
      <c r="N1379" s="488"/>
      <c r="O1379" s="488"/>
      <c r="P1379" s="488"/>
      <c r="Q1379" s="488"/>
      <c r="R1379" s="488"/>
      <c r="S1379" s="488"/>
      <c r="T1379" s="488"/>
      <c r="U1379" s="488"/>
      <c r="V1379" s="488"/>
      <c r="W1379" s="488"/>
      <c r="X1379" s="488"/>
      <c r="Y1379" s="488"/>
      <c r="Z1379" s="488"/>
      <c r="AA1379" s="488"/>
      <c r="AB1379" s="488"/>
      <c r="AC1379" s="488"/>
      <c r="AD1379" s="488"/>
      <c r="AE1379" s="488"/>
      <c r="AF1379" s="488"/>
      <c r="AG1379" s="488"/>
      <c r="AH1379" s="488"/>
      <c r="AI1379" s="488"/>
      <c r="AJ1379" s="488"/>
    </row>
    <row r="1380" spans="1:36" s="496" customFormat="1">
      <c r="A1380" s="488"/>
      <c r="C1380" s="488"/>
      <c r="D1380" s="488"/>
      <c r="E1380" s="488"/>
      <c r="F1380" s="488"/>
      <c r="G1380" s="488"/>
      <c r="H1380" s="488"/>
      <c r="I1380" s="488"/>
      <c r="J1380" s="488"/>
      <c r="K1380" s="488"/>
      <c r="L1380" s="488"/>
      <c r="M1380" s="488"/>
      <c r="N1380" s="488"/>
      <c r="O1380" s="488"/>
      <c r="P1380" s="488"/>
      <c r="Q1380" s="488"/>
      <c r="R1380" s="488"/>
      <c r="S1380" s="488"/>
      <c r="T1380" s="488"/>
      <c r="U1380" s="488"/>
      <c r="V1380" s="488"/>
      <c r="W1380" s="488"/>
      <c r="X1380" s="488"/>
      <c r="Y1380" s="488"/>
      <c r="Z1380" s="488"/>
      <c r="AA1380" s="488"/>
      <c r="AB1380" s="488"/>
      <c r="AC1380" s="488"/>
      <c r="AD1380" s="488"/>
      <c r="AE1380" s="488"/>
      <c r="AF1380" s="488"/>
      <c r="AG1380" s="488"/>
      <c r="AH1380" s="488"/>
      <c r="AI1380" s="488"/>
      <c r="AJ1380" s="488"/>
    </row>
    <row r="1381" spans="1:36" s="496" customFormat="1">
      <c r="A1381" s="488"/>
      <c r="C1381" s="488"/>
      <c r="D1381" s="488"/>
      <c r="E1381" s="488"/>
      <c r="F1381" s="488"/>
      <c r="G1381" s="488"/>
      <c r="H1381" s="488"/>
      <c r="I1381" s="488"/>
      <c r="J1381" s="488"/>
      <c r="K1381" s="488"/>
      <c r="L1381" s="488"/>
      <c r="M1381" s="488"/>
      <c r="N1381" s="488"/>
      <c r="O1381" s="488"/>
      <c r="P1381" s="488"/>
      <c r="Q1381" s="488"/>
      <c r="R1381" s="488"/>
      <c r="S1381" s="488"/>
      <c r="T1381" s="488"/>
      <c r="U1381" s="488"/>
      <c r="V1381" s="488"/>
      <c r="W1381" s="488"/>
      <c r="X1381" s="488"/>
      <c r="Y1381" s="488"/>
      <c r="Z1381" s="488"/>
      <c r="AA1381" s="488"/>
      <c r="AB1381" s="488"/>
      <c r="AC1381" s="488"/>
      <c r="AD1381" s="488"/>
      <c r="AE1381" s="488"/>
      <c r="AF1381" s="488"/>
      <c r="AG1381" s="488"/>
      <c r="AH1381" s="488"/>
      <c r="AI1381" s="488"/>
      <c r="AJ1381" s="488"/>
    </row>
    <row r="1382" spans="1:36" s="496" customFormat="1">
      <c r="A1382" s="488"/>
      <c r="C1382" s="488"/>
      <c r="D1382" s="488"/>
      <c r="E1382" s="488"/>
      <c r="F1382" s="488"/>
      <c r="G1382" s="488"/>
      <c r="H1382" s="488"/>
      <c r="I1382" s="488"/>
      <c r="J1382" s="488"/>
      <c r="K1382" s="488"/>
      <c r="L1382" s="488"/>
      <c r="M1382" s="488"/>
      <c r="N1382" s="488"/>
      <c r="O1382" s="488"/>
      <c r="P1382" s="488"/>
      <c r="Q1382" s="488"/>
      <c r="R1382" s="488"/>
      <c r="S1382" s="488"/>
      <c r="T1382" s="488"/>
      <c r="U1382" s="488"/>
      <c r="V1382" s="488"/>
      <c r="W1382" s="488"/>
      <c r="X1382" s="488"/>
      <c r="Y1382" s="488"/>
      <c r="Z1382" s="488"/>
      <c r="AA1382" s="488"/>
      <c r="AB1382" s="488"/>
      <c r="AC1382" s="488"/>
      <c r="AD1382" s="488"/>
      <c r="AE1382" s="488"/>
      <c r="AF1382" s="488"/>
      <c r="AG1382" s="488"/>
      <c r="AH1382" s="488"/>
      <c r="AI1382" s="488"/>
      <c r="AJ1382" s="488"/>
    </row>
    <row r="1383" spans="1:36" s="496" customFormat="1">
      <c r="A1383" s="488"/>
      <c r="C1383" s="488"/>
      <c r="D1383" s="488"/>
      <c r="E1383" s="488"/>
      <c r="F1383" s="488"/>
      <c r="G1383" s="488"/>
      <c r="H1383" s="488"/>
      <c r="I1383" s="488"/>
      <c r="J1383" s="488"/>
      <c r="K1383" s="488"/>
      <c r="L1383" s="488"/>
      <c r="M1383" s="488"/>
      <c r="N1383" s="488"/>
      <c r="O1383" s="488"/>
      <c r="P1383" s="488"/>
      <c r="Q1383" s="488"/>
      <c r="R1383" s="488"/>
      <c r="S1383" s="488"/>
      <c r="T1383" s="488"/>
      <c r="U1383" s="488"/>
      <c r="V1383" s="488"/>
      <c r="W1383" s="488"/>
      <c r="X1383" s="488"/>
      <c r="Y1383" s="488"/>
      <c r="Z1383" s="488"/>
      <c r="AA1383" s="488"/>
      <c r="AB1383" s="488"/>
      <c r="AC1383" s="488"/>
      <c r="AD1383" s="488"/>
      <c r="AE1383" s="488"/>
      <c r="AF1383" s="488"/>
      <c r="AG1383" s="488"/>
      <c r="AH1383" s="488"/>
      <c r="AI1383" s="488"/>
      <c r="AJ1383" s="488"/>
    </row>
    <row r="1384" spans="1:36" s="496" customFormat="1">
      <c r="A1384" s="488"/>
      <c r="C1384" s="488"/>
      <c r="D1384" s="488"/>
      <c r="E1384" s="488"/>
      <c r="F1384" s="488"/>
      <c r="G1384" s="488"/>
      <c r="H1384" s="488"/>
      <c r="I1384" s="488"/>
      <c r="J1384" s="488"/>
      <c r="K1384" s="488"/>
      <c r="L1384" s="488"/>
      <c r="M1384" s="488"/>
      <c r="N1384" s="488"/>
      <c r="O1384" s="488"/>
      <c r="P1384" s="488"/>
      <c r="Q1384" s="488"/>
      <c r="R1384" s="488"/>
      <c r="S1384" s="488"/>
      <c r="T1384" s="488"/>
      <c r="U1384" s="488"/>
      <c r="V1384" s="488"/>
      <c r="W1384" s="488"/>
      <c r="X1384" s="488"/>
      <c r="Y1384" s="488"/>
      <c r="Z1384" s="488"/>
      <c r="AA1384" s="488"/>
      <c r="AB1384" s="488"/>
      <c r="AC1384" s="488"/>
      <c r="AD1384" s="488"/>
      <c r="AE1384" s="488"/>
      <c r="AF1384" s="488"/>
      <c r="AG1384" s="488"/>
      <c r="AH1384" s="488"/>
      <c r="AI1384" s="488"/>
      <c r="AJ1384" s="488"/>
    </row>
    <row r="1385" spans="1:36" s="496" customFormat="1">
      <c r="A1385" s="488"/>
      <c r="C1385" s="488"/>
      <c r="D1385" s="488"/>
      <c r="E1385" s="488"/>
      <c r="F1385" s="488"/>
      <c r="G1385" s="488"/>
      <c r="H1385" s="488"/>
      <c r="I1385" s="488"/>
      <c r="J1385" s="488"/>
      <c r="K1385" s="488"/>
      <c r="L1385" s="488"/>
      <c r="M1385" s="488"/>
      <c r="N1385" s="488"/>
      <c r="O1385" s="488"/>
      <c r="P1385" s="488"/>
      <c r="Q1385" s="488"/>
      <c r="R1385" s="488"/>
      <c r="S1385" s="488"/>
      <c r="T1385" s="488"/>
      <c r="U1385" s="488"/>
      <c r="V1385" s="488"/>
      <c r="W1385" s="488"/>
      <c r="X1385" s="488"/>
      <c r="Y1385" s="488"/>
      <c r="Z1385" s="488"/>
      <c r="AA1385" s="488"/>
      <c r="AB1385" s="488"/>
      <c r="AC1385" s="488"/>
      <c r="AD1385" s="488"/>
      <c r="AE1385" s="488"/>
      <c r="AF1385" s="488"/>
      <c r="AG1385" s="488"/>
      <c r="AH1385" s="488"/>
      <c r="AI1385" s="488"/>
      <c r="AJ1385" s="488"/>
    </row>
    <row r="1386" spans="1:36" s="496" customFormat="1">
      <c r="A1386" s="488"/>
      <c r="C1386" s="488"/>
      <c r="D1386" s="488"/>
      <c r="E1386" s="488"/>
      <c r="F1386" s="488"/>
      <c r="G1386" s="488"/>
      <c r="H1386" s="488"/>
      <c r="I1386" s="488"/>
      <c r="J1386" s="488"/>
      <c r="K1386" s="488"/>
      <c r="L1386" s="488"/>
      <c r="M1386" s="488"/>
      <c r="N1386" s="488"/>
      <c r="O1386" s="488"/>
      <c r="P1386" s="488"/>
      <c r="Q1386" s="488"/>
      <c r="R1386" s="488"/>
      <c r="S1386" s="488"/>
      <c r="T1386" s="488"/>
      <c r="U1386" s="488"/>
      <c r="V1386" s="488"/>
      <c r="W1386" s="488"/>
      <c r="X1386" s="488"/>
      <c r="Y1386" s="488"/>
      <c r="Z1386" s="488"/>
      <c r="AA1386" s="488"/>
      <c r="AB1386" s="488"/>
      <c r="AC1386" s="488"/>
      <c r="AD1386" s="488"/>
      <c r="AE1386" s="488"/>
      <c r="AF1386" s="488"/>
      <c r="AG1386" s="488"/>
      <c r="AH1386" s="488"/>
      <c r="AI1386" s="488"/>
      <c r="AJ1386" s="488"/>
    </row>
    <row r="1387" spans="1:36" s="496" customFormat="1">
      <c r="A1387" s="488"/>
      <c r="C1387" s="488"/>
      <c r="D1387" s="488"/>
      <c r="E1387" s="488"/>
      <c r="F1387" s="488"/>
      <c r="G1387" s="488"/>
      <c r="H1387" s="488"/>
      <c r="I1387" s="488"/>
      <c r="J1387" s="488"/>
      <c r="K1387" s="488"/>
      <c r="L1387" s="488"/>
      <c r="M1387" s="488"/>
      <c r="N1387" s="488"/>
      <c r="O1387" s="488"/>
      <c r="P1387" s="488"/>
      <c r="Q1387" s="488"/>
      <c r="R1387" s="488"/>
      <c r="S1387" s="488"/>
      <c r="T1387" s="488"/>
      <c r="U1387" s="488"/>
      <c r="V1387" s="488"/>
      <c r="W1387" s="488"/>
      <c r="X1387" s="488"/>
      <c r="Y1387" s="488"/>
      <c r="Z1387" s="488"/>
      <c r="AA1387" s="488"/>
      <c r="AB1387" s="488"/>
      <c r="AC1387" s="488"/>
      <c r="AD1387" s="488"/>
      <c r="AE1387" s="488"/>
      <c r="AF1387" s="488"/>
      <c r="AG1387" s="488"/>
      <c r="AH1387" s="488"/>
      <c r="AI1387" s="488"/>
      <c r="AJ1387" s="488"/>
    </row>
    <row r="1388" spans="1:36" s="496" customFormat="1">
      <c r="A1388" s="488"/>
      <c r="C1388" s="488"/>
      <c r="D1388" s="488"/>
      <c r="E1388" s="488"/>
      <c r="F1388" s="488"/>
      <c r="G1388" s="488"/>
      <c r="H1388" s="488"/>
      <c r="I1388" s="488"/>
      <c r="J1388" s="488"/>
      <c r="K1388" s="488"/>
      <c r="L1388" s="488"/>
      <c r="M1388" s="488"/>
      <c r="N1388" s="488"/>
      <c r="O1388" s="488"/>
      <c r="P1388" s="488"/>
      <c r="Q1388" s="488"/>
      <c r="R1388" s="488"/>
      <c r="S1388" s="488"/>
      <c r="T1388" s="488"/>
      <c r="U1388" s="488"/>
      <c r="V1388" s="488"/>
      <c r="W1388" s="488"/>
      <c r="X1388" s="488"/>
      <c r="Y1388" s="488"/>
      <c r="Z1388" s="488"/>
      <c r="AA1388" s="488"/>
      <c r="AB1388" s="488"/>
      <c r="AC1388" s="488"/>
      <c r="AD1388" s="488"/>
      <c r="AE1388" s="488"/>
      <c r="AF1388" s="488"/>
      <c r="AG1388" s="488"/>
      <c r="AH1388" s="488"/>
      <c r="AI1388" s="488"/>
      <c r="AJ1388" s="488"/>
    </row>
    <row r="1389" spans="1:36" s="496" customFormat="1">
      <c r="A1389" s="488"/>
      <c r="C1389" s="488"/>
      <c r="D1389" s="488"/>
      <c r="E1389" s="488"/>
      <c r="F1389" s="488"/>
      <c r="G1389" s="488"/>
      <c r="H1389" s="488"/>
      <c r="I1389" s="488"/>
      <c r="J1389" s="488"/>
      <c r="K1389" s="488"/>
      <c r="L1389" s="488"/>
      <c r="M1389" s="488"/>
      <c r="N1389" s="488"/>
      <c r="O1389" s="488"/>
      <c r="P1389" s="488"/>
      <c r="Q1389" s="488"/>
      <c r="R1389" s="488"/>
      <c r="S1389" s="488"/>
      <c r="T1389" s="488"/>
      <c r="U1389" s="488"/>
      <c r="V1389" s="488"/>
      <c r="W1389" s="488"/>
      <c r="X1389" s="488"/>
      <c r="Y1389" s="488"/>
      <c r="Z1389" s="488"/>
      <c r="AA1389" s="488"/>
      <c r="AB1389" s="488"/>
      <c r="AC1389" s="488"/>
      <c r="AD1389" s="488"/>
      <c r="AE1389" s="488"/>
      <c r="AF1389" s="488"/>
      <c r="AG1389" s="488"/>
      <c r="AH1389" s="488"/>
      <c r="AI1389" s="488"/>
      <c r="AJ1389" s="488"/>
    </row>
    <row r="1390" spans="1:36" s="496" customFormat="1">
      <c r="A1390" s="488"/>
      <c r="C1390" s="488"/>
      <c r="D1390" s="488"/>
      <c r="E1390" s="488"/>
      <c r="F1390" s="488"/>
      <c r="G1390" s="488"/>
      <c r="H1390" s="488"/>
      <c r="I1390" s="488"/>
      <c r="J1390" s="488"/>
      <c r="K1390" s="488"/>
      <c r="L1390" s="488"/>
      <c r="M1390" s="488"/>
      <c r="N1390" s="488"/>
      <c r="O1390" s="488"/>
      <c r="P1390" s="488"/>
      <c r="Q1390" s="488"/>
      <c r="R1390" s="488"/>
      <c r="S1390" s="488"/>
      <c r="T1390" s="488"/>
      <c r="U1390" s="488"/>
      <c r="V1390" s="488"/>
      <c r="W1390" s="488"/>
      <c r="X1390" s="488"/>
      <c r="Y1390" s="488"/>
      <c r="Z1390" s="488"/>
      <c r="AA1390" s="488"/>
      <c r="AB1390" s="488"/>
      <c r="AC1390" s="488"/>
      <c r="AD1390" s="488"/>
      <c r="AE1390" s="488"/>
      <c r="AF1390" s="488"/>
      <c r="AG1390" s="488"/>
      <c r="AH1390" s="488"/>
      <c r="AI1390" s="488"/>
      <c r="AJ1390" s="488"/>
    </row>
    <row r="1391" spans="1:36" s="496" customFormat="1">
      <c r="A1391" s="488"/>
      <c r="C1391" s="488"/>
      <c r="D1391" s="488"/>
      <c r="E1391" s="488"/>
      <c r="F1391" s="488"/>
      <c r="G1391" s="488"/>
      <c r="H1391" s="488"/>
      <c r="I1391" s="488"/>
      <c r="J1391" s="488"/>
      <c r="K1391" s="488"/>
      <c r="L1391" s="488"/>
      <c r="M1391" s="488"/>
      <c r="N1391" s="488"/>
      <c r="O1391" s="488"/>
      <c r="P1391" s="488"/>
      <c r="Q1391" s="488"/>
      <c r="R1391" s="488"/>
      <c r="S1391" s="488"/>
      <c r="T1391" s="488"/>
      <c r="U1391" s="488"/>
      <c r="V1391" s="488"/>
      <c r="W1391" s="488"/>
      <c r="X1391" s="488"/>
      <c r="Y1391" s="488"/>
      <c r="Z1391" s="488"/>
      <c r="AA1391" s="488"/>
      <c r="AB1391" s="488"/>
      <c r="AC1391" s="488"/>
      <c r="AD1391" s="488"/>
      <c r="AE1391" s="488"/>
      <c r="AF1391" s="488"/>
      <c r="AG1391" s="488"/>
      <c r="AH1391" s="488"/>
      <c r="AI1391" s="488"/>
      <c r="AJ1391" s="488"/>
    </row>
    <row r="1392" spans="1:36" s="496" customFormat="1">
      <c r="A1392" s="488"/>
      <c r="C1392" s="488"/>
      <c r="D1392" s="488"/>
      <c r="E1392" s="488"/>
      <c r="F1392" s="488"/>
      <c r="G1392" s="488"/>
      <c r="H1392" s="488"/>
      <c r="I1392" s="488"/>
      <c r="J1392" s="488"/>
      <c r="K1392" s="488"/>
      <c r="L1392" s="488"/>
      <c r="M1392" s="488"/>
      <c r="N1392" s="488"/>
      <c r="O1392" s="488"/>
      <c r="P1392" s="488"/>
      <c r="Q1392" s="488"/>
      <c r="R1392" s="488"/>
      <c r="S1392" s="488"/>
      <c r="T1392" s="488"/>
      <c r="U1392" s="488"/>
      <c r="V1392" s="488"/>
      <c r="W1392" s="488"/>
      <c r="X1392" s="488"/>
      <c r="Y1392" s="488"/>
      <c r="Z1392" s="488"/>
      <c r="AA1392" s="488"/>
      <c r="AB1392" s="488"/>
      <c r="AC1392" s="488"/>
      <c r="AD1392" s="488"/>
      <c r="AE1392" s="488"/>
      <c r="AF1392" s="488"/>
      <c r="AG1392" s="488"/>
      <c r="AH1392" s="488"/>
      <c r="AI1392" s="488"/>
      <c r="AJ1392" s="488"/>
    </row>
    <row r="1393" spans="1:36" s="496" customFormat="1">
      <c r="A1393" s="488"/>
      <c r="C1393" s="488"/>
      <c r="D1393" s="488"/>
      <c r="E1393" s="488"/>
      <c r="F1393" s="488"/>
      <c r="G1393" s="488"/>
      <c r="H1393" s="488"/>
      <c r="I1393" s="488"/>
      <c r="J1393" s="488"/>
      <c r="K1393" s="488"/>
      <c r="L1393" s="488"/>
      <c r="M1393" s="488"/>
      <c r="N1393" s="488"/>
      <c r="O1393" s="488"/>
      <c r="P1393" s="488"/>
      <c r="Q1393" s="488"/>
      <c r="R1393" s="488"/>
      <c r="S1393" s="488"/>
      <c r="T1393" s="488"/>
      <c r="U1393" s="488"/>
      <c r="V1393" s="488"/>
      <c r="W1393" s="488"/>
      <c r="X1393" s="488"/>
      <c r="Y1393" s="488"/>
      <c r="Z1393" s="488"/>
      <c r="AA1393" s="488"/>
      <c r="AB1393" s="488"/>
      <c r="AC1393" s="488"/>
      <c r="AD1393" s="488"/>
      <c r="AE1393" s="488"/>
      <c r="AF1393" s="488"/>
      <c r="AG1393" s="488"/>
      <c r="AH1393" s="488"/>
      <c r="AI1393" s="488"/>
      <c r="AJ1393" s="488"/>
    </row>
    <row r="1394" spans="1:36" s="496" customFormat="1">
      <c r="A1394" s="488"/>
      <c r="C1394" s="488"/>
      <c r="D1394" s="488"/>
      <c r="E1394" s="488"/>
      <c r="F1394" s="488"/>
      <c r="G1394" s="488"/>
      <c r="H1394" s="488"/>
      <c r="I1394" s="488"/>
      <c r="J1394" s="488"/>
      <c r="K1394" s="488"/>
      <c r="L1394" s="488"/>
      <c r="M1394" s="488"/>
      <c r="N1394" s="488"/>
      <c r="O1394" s="488"/>
      <c r="P1394" s="488"/>
      <c r="Q1394" s="488"/>
      <c r="R1394" s="488"/>
      <c r="S1394" s="488"/>
      <c r="T1394" s="488"/>
      <c r="U1394" s="488"/>
      <c r="V1394" s="488"/>
      <c r="W1394" s="488"/>
      <c r="X1394" s="488"/>
      <c r="Y1394" s="488"/>
      <c r="Z1394" s="488"/>
      <c r="AA1394" s="488"/>
      <c r="AB1394" s="488"/>
      <c r="AC1394" s="488"/>
      <c r="AD1394" s="488"/>
      <c r="AE1394" s="488"/>
      <c r="AF1394" s="488"/>
      <c r="AG1394" s="488"/>
      <c r="AH1394" s="488"/>
      <c r="AI1394" s="488"/>
      <c r="AJ1394" s="488"/>
    </row>
    <row r="1395" spans="1:36" s="496" customFormat="1">
      <c r="A1395" s="488"/>
      <c r="C1395" s="488"/>
      <c r="D1395" s="488"/>
      <c r="E1395" s="488"/>
      <c r="F1395" s="488"/>
      <c r="G1395" s="488"/>
      <c r="H1395" s="488"/>
      <c r="I1395" s="488"/>
      <c r="J1395" s="488"/>
      <c r="K1395" s="488"/>
      <c r="L1395" s="488"/>
      <c r="M1395" s="488"/>
      <c r="N1395" s="488"/>
      <c r="O1395" s="488"/>
      <c r="P1395" s="488"/>
      <c r="Q1395" s="488"/>
      <c r="R1395" s="488"/>
      <c r="S1395" s="488"/>
      <c r="T1395" s="488"/>
      <c r="U1395" s="488"/>
      <c r="V1395" s="488"/>
      <c r="W1395" s="488"/>
      <c r="X1395" s="488"/>
      <c r="Y1395" s="488"/>
      <c r="Z1395" s="488"/>
      <c r="AA1395" s="488"/>
      <c r="AB1395" s="488"/>
      <c r="AC1395" s="488"/>
      <c r="AD1395" s="488"/>
      <c r="AE1395" s="488"/>
      <c r="AF1395" s="488"/>
      <c r="AG1395" s="488"/>
      <c r="AH1395" s="488"/>
      <c r="AI1395" s="488"/>
      <c r="AJ1395" s="488"/>
    </row>
    <row r="1396" spans="1:36" s="496" customFormat="1">
      <c r="A1396" s="488"/>
      <c r="C1396" s="488"/>
      <c r="D1396" s="488"/>
      <c r="E1396" s="488"/>
      <c r="F1396" s="488"/>
      <c r="G1396" s="488"/>
      <c r="H1396" s="488"/>
      <c r="I1396" s="488"/>
      <c r="J1396" s="488"/>
      <c r="K1396" s="488"/>
      <c r="L1396" s="488"/>
      <c r="M1396" s="488"/>
      <c r="N1396" s="488"/>
      <c r="O1396" s="488"/>
      <c r="P1396" s="488"/>
      <c r="Q1396" s="488"/>
      <c r="R1396" s="488"/>
      <c r="S1396" s="488"/>
      <c r="T1396" s="488"/>
      <c r="U1396" s="488"/>
      <c r="V1396" s="488"/>
      <c r="W1396" s="488"/>
      <c r="X1396" s="488"/>
      <c r="Y1396" s="488"/>
      <c r="Z1396" s="488"/>
      <c r="AA1396" s="488"/>
      <c r="AB1396" s="488"/>
      <c r="AC1396" s="488"/>
      <c r="AD1396" s="488"/>
      <c r="AE1396" s="488"/>
      <c r="AF1396" s="488"/>
      <c r="AG1396" s="488"/>
      <c r="AH1396" s="488"/>
      <c r="AI1396" s="488"/>
      <c r="AJ1396" s="488"/>
    </row>
    <row r="1397" spans="1:36" s="496" customFormat="1">
      <c r="A1397" s="488"/>
      <c r="C1397" s="488"/>
      <c r="D1397" s="488"/>
      <c r="E1397" s="488"/>
      <c r="F1397" s="488"/>
      <c r="G1397" s="488"/>
      <c r="H1397" s="488"/>
      <c r="I1397" s="488"/>
      <c r="J1397" s="488"/>
      <c r="K1397" s="488"/>
      <c r="L1397" s="488"/>
      <c r="M1397" s="488"/>
      <c r="N1397" s="488"/>
      <c r="O1397" s="488"/>
      <c r="P1397" s="488"/>
      <c r="Q1397" s="488"/>
      <c r="R1397" s="488"/>
      <c r="S1397" s="488"/>
      <c r="T1397" s="488"/>
      <c r="U1397" s="488"/>
      <c r="V1397" s="488"/>
      <c r="W1397" s="488"/>
      <c r="X1397" s="488"/>
      <c r="Y1397" s="488"/>
      <c r="Z1397" s="488"/>
      <c r="AA1397" s="488"/>
      <c r="AB1397" s="488"/>
      <c r="AC1397" s="488"/>
      <c r="AD1397" s="488"/>
      <c r="AE1397" s="488"/>
      <c r="AF1397" s="488"/>
      <c r="AG1397" s="488"/>
      <c r="AH1397" s="488"/>
      <c r="AI1397" s="488"/>
      <c r="AJ1397" s="488"/>
    </row>
    <row r="1398" spans="1:36" s="496" customFormat="1">
      <c r="A1398" s="488"/>
      <c r="C1398" s="488"/>
      <c r="D1398" s="488"/>
      <c r="E1398" s="488"/>
      <c r="F1398" s="488"/>
      <c r="G1398" s="488"/>
      <c r="H1398" s="488"/>
      <c r="I1398" s="488"/>
      <c r="J1398" s="488"/>
      <c r="K1398" s="488"/>
      <c r="L1398" s="488"/>
      <c r="M1398" s="488"/>
      <c r="N1398" s="488"/>
      <c r="O1398" s="488"/>
      <c r="P1398" s="488"/>
      <c r="Q1398" s="488"/>
      <c r="R1398" s="488"/>
      <c r="S1398" s="488"/>
      <c r="T1398" s="488"/>
      <c r="U1398" s="488"/>
      <c r="V1398" s="488"/>
      <c r="W1398" s="488"/>
      <c r="X1398" s="488"/>
      <c r="Y1398" s="488"/>
      <c r="Z1398" s="488"/>
      <c r="AA1398" s="488"/>
      <c r="AB1398" s="488"/>
      <c r="AC1398" s="488"/>
      <c r="AD1398" s="488"/>
      <c r="AE1398" s="488"/>
      <c r="AF1398" s="488"/>
      <c r="AG1398" s="488"/>
      <c r="AH1398" s="488"/>
      <c r="AI1398" s="488"/>
      <c r="AJ1398" s="488"/>
    </row>
    <row r="1399" spans="1:36" s="496" customFormat="1">
      <c r="A1399" s="488"/>
      <c r="C1399" s="488"/>
      <c r="D1399" s="488"/>
      <c r="E1399" s="488"/>
      <c r="F1399" s="488"/>
      <c r="G1399" s="488"/>
      <c r="H1399" s="488"/>
      <c r="I1399" s="488"/>
      <c r="J1399" s="488"/>
      <c r="K1399" s="488"/>
      <c r="L1399" s="488"/>
      <c r="M1399" s="488"/>
      <c r="N1399" s="488"/>
      <c r="O1399" s="488"/>
      <c r="P1399" s="488"/>
      <c r="Q1399" s="488"/>
      <c r="R1399" s="488"/>
      <c r="S1399" s="488"/>
      <c r="T1399" s="488"/>
      <c r="U1399" s="488"/>
      <c r="V1399" s="488"/>
      <c r="W1399" s="488"/>
      <c r="X1399" s="488"/>
      <c r="Y1399" s="488"/>
      <c r="Z1399" s="488"/>
      <c r="AA1399" s="488"/>
      <c r="AB1399" s="488"/>
      <c r="AC1399" s="488"/>
      <c r="AD1399" s="488"/>
      <c r="AE1399" s="488"/>
      <c r="AF1399" s="488"/>
      <c r="AG1399" s="488"/>
      <c r="AH1399" s="488"/>
      <c r="AI1399" s="488"/>
      <c r="AJ1399" s="488"/>
    </row>
    <row r="1400" spans="1:36" s="496" customFormat="1">
      <c r="A1400" s="488"/>
      <c r="C1400" s="488"/>
      <c r="D1400" s="488"/>
      <c r="E1400" s="488"/>
      <c r="F1400" s="488"/>
      <c r="G1400" s="488"/>
      <c r="H1400" s="488"/>
      <c r="I1400" s="488"/>
      <c r="J1400" s="488"/>
      <c r="K1400" s="488"/>
      <c r="L1400" s="488"/>
      <c r="M1400" s="488"/>
      <c r="N1400" s="488"/>
      <c r="O1400" s="488"/>
      <c r="P1400" s="488"/>
      <c r="Q1400" s="488"/>
      <c r="R1400" s="488"/>
      <c r="S1400" s="488"/>
      <c r="T1400" s="488"/>
      <c r="U1400" s="488"/>
      <c r="V1400" s="488"/>
      <c r="W1400" s="488"/>
      <c r="X1400" s="488"/>
      <c r="Y1400" s="488"/>
      <c r="Z1400" s="488"/>
      <c r="AA1400" s="488"/>
      <c r="AB1400" s="488"/>
      <c r="AC1400" s="488"/>
      <c r="AD1400" s="488"/>
      <c r="AE1400" s="488"/>
      <c r="AF1400" s="488"/>
      <c r="AG1400" s="488"/>
      <c r="AH1400" s="488"/>
      <c r="AI1400" s="488"/>
      <c r="AJ1400" s="488"/>
    </row>
    <row r="1401" spans="1:36" s="496" customFormat="1">
      <c r="A1401" s="488"/>
      <c r="C1401" s="488"/>
      <c r="D1401" s="488"/>
      <c r="E1401" s="488"/>
      <c r="F1401" s="488"/>
      <c r="G1401" s="488"/>
      <c r="H1401" s="488"/>
      <c r="I1401" s="488"/>
      <c r="J1401" s="488"/>
      <c r="K1401" s="488"/>
      <c r="L1401" s="488"/>
      <c r="M1401" s="488"/>
      <c r="N1401" s="488"/>
      <c r="O1401" s="488"/>
      <c r="P1401" s="488"/>
      <c r="Q1401" s="488"/>
      <c r="R1401" s="488"/>
      <c r="S1401" s="488"/>
      <c r="T1401" s="488"/>
      <c r="U1401" s="488"/>
      <c r="V1401" s="488"/>
      <c r="W1401" s="488"/>
      <c r="X1401" s="488"/>
      <c r="Y1401" s="488"/>
      <c r="Z1401" s="488"/>
      <c r="AA1401" s="488"/>
      <c r="AB1401" s="488"/>
      <c r="AC1401" s="488"/>
      <c r="AD1401" s="488"/>
      <c r="AE1401" s="488"/>
      <c r="AF1401" s="488"/>
      <c r="AG1401" s="488"/>
      <c r="AH1401" s="488"/>
      <c r="AI1401" s="488"/>
      <c r="AJ1401" s="488"/>
    </row>
    <row r="1402" spans="1:36" s="496" customFormat="1">
      <c r="A1402" s="488"/>
      <c r="C1402" s="488"/>
      <c r="D1402" s="488"/>
      <c r="E1402" s="488"/>
      <c r="F1402" s="488"/>
      <c r="G1402" s="488"/>
      <c r="H1402" s="488"/>
      <c r="I1402" s="488"/>
      <c r="J1402" s="488"/>
      <c r="K1402" s="488"/>
      <c r="L1402" s="488"/>
      <c r="M1402" s="488"/>
      <c r="N1402" s="488"/>
      <c r="O1402" s="488"/>
      <c r="P1402" s="488"/>
      <c r="Q1402" s="488"/>
      <c r="R1402" s="488"/>
      <c r="S1402" s="488"/>
      <c r="T1402" s="488"/>
      <c r="U1402" s="488"/>
      <c r="V1402" s="488"/>
      <c r="W1402" s="488"/>
      <c r="X1402" s="488"/>
      <c r="Y1402" s="488"/>
      <c r="Z1402" s="488"/>
      <c r="AA1402" s="488"/>
      <c r="AB1402" s="488"/>
      <c r="AC1402" s="488"/>
      <c r="AD1402" s="488"/>
      <c r="AE1402" s="488"/>
      <c r="AF1402" s="488"/>
      <c r="AG1402" s="488"/>
      <c r="AH1402" s="488"/>
      <c r="AI1402" s="488"/>
      <c r="AJ1402" s="488"/>
    </row>
    <row r="1403" spans="1:36" s="496" customFormat="1">
      <c r="A1403" s="488"/>
      <c r="C1403" s="488"/>
      <c r="D1403" s="488"/>
      <c r="E1403" s="488"/>
      <c r="F1403" s="488"/>
      <c r="G1403" s="488"/>
      <c r="H1403" s="488"/>
      <c r="I1403" s="488"/>
      <c r="J1403" s="488"/>
      <c r="K1403" s="488"/>
      <c r="L1403" s="488"/>
      <c r="M1403" s="488"/>
      <c r="N1403" s="488"/>
      <c r="O1403" s="488"/>
      <c r="P1403" s="488"/>
      <c r="Q1403" s="488"/>
      <c r="R1403" s="488"/>
      <c r="S1403" s="488"/>
      <c r="T1403" s="488"/>
      <c r="U1403" s="488"/>
      <c r="V1403" s="488"/>
      <c r="W1403" s="488"/>
      <c r="X1403" s="488"/>
      <c r="Y1403" s="488"/>
      <c r="Z1403" s="488"/>
      <c r="AA1403" s="488"/>
      <c r="AB1403" s="488"/>
      <c r="AC1403" s="488"/>
      <c r="AD1403" s="488"/>
      <c r="AE1403" s="488"/>
      <c r="AF1403" s="488"/>
      <c r="AG1403" s="488"/>
      <c r="AH1403" s="488"/>
      <c r="AI1403" s="488"/>
      <c r="AJ1403" s="488"/>
    </row>
    <row r="1404" spans="1:36" s="496" customFormat="1">
      <c r="A1404" s="488"/>
      <c r="C1404" s="488"/>
      <c r="D1404" s="488"/>
      <c r="E1404" s="488"/>
      <c r="F1404" s="488"/>
      <c r="G1404" s="488"/>
      <c r="H1404" s="488"/>
      <c r="I1404" s="488"/>
      <c r="J1404" s="488"/>
      <c r="K1404" s="488"/>
      <c r="L1404" s="488"/>
      <c r="M1404" s="488"/>
      <c r="N1404" s="488"/>
      <c r="O1404" s="488"/>
      <c r="P1404" s="488"/>
      <c r="Q1404" s="488"/>
      <c r="R1404" s="488"/>
      <c r="S1404" s="488"/>
      <c r="T1404" s="488"/>
      <c r="U1404" s="488"/>
      <c r="V1404" s="488"/>
      <c r="W1404" s="488"/>
      <c r="X1404" s="488"/>
      <c r="Y1404" s="488"/>
      <c r="Z1404" s="488"/>
      <c r="AA1404" s="488"/>
      <c r="AB1404" s="488"/>
      <c r="AC1404" s="488"/>
      <c r="AD1404" s="488"/>
      <c r="AE1404" s="488"/>
      <c r="AF1404" s="488"/>
      <c r="AG1404" s="488"/>
      <c r="AH1404" s="488"/>
      <c r="AI1404" s="488"/>
      <c r="AJ1404" s="488"/>
    </row>
    <row r="1405" spans="1:36" s="496" customFormat="1">
      <c r="A1405" s="488"/>
      <c r="C1405" s="488"/>
      <c r="D1405" s="488"/>
      <c r="E1405" s="488"/>
      <c r="F1405" s="488"/>
      <c r="G1405" s="488"/>
      <c r="H1405" s="488"/>
      <c r="I1405" s="488"/>
      <c r="J1405" s="488"/>
      <c r="K1405" s="488"/>
      <c r="L1405" s="488"/>
      <c r="M1405" s="488"/>
      <c r="N1405" s="488"/>
      <c r="O1405" s="488"/>
      <c r="P1405" s="488"/>
      <c r="Q1405" s="488"/>
      <c r="R1405" s="488"/>
      <c r="S1405" s="488"/>
      <c r="T1405" s="488"/>
      <c r="U1405" s="488"/>
      <c r="V1405" s="488"/>
      <c r="W1405" s="488"/>
      <c r="X1405" s="488"/>
      <c r="Y1405" s="488"/>
      <c r="Z1405" s="488"/>
      <c r="AA1405" s="488"/>
      <c r="AB1405" s="488"/>
      <c r="AC1405" s="488"/>
      <c r="AD1405" s="488"/>
      <c r="AE1405" s="488"/>
      <c r="AF1405" s="488"/>
      <c r="AG1405" s="488"/>
      <c r="AH1405" s="488"/>
      <c r="AI1405" s="488"/>
      <c r="AJ1405" s="488"/>
    </row>
    <row r="1406" spans="1:36" s="496" customFormat="1">
      <c r="A1406" s="488"/>
      <c r="C1406" s="488"/>
      <c r="D1406" s="488"/>
      <c r="E1406" s="488"/>
      <c r="F1406" s="488"/>
      <c r="G1406" s="488"/>
      <c r="H1406" s="488"/>
      <c r="I1406" s="488"/>
      <c r="J1406" s="488"/>
      <c r="K1406" s="488"/>
      <c r="L1406" s="488"/>
      <c r="M1406" s="488"/>
      <c r="N1406" s="488"/>
      <c r="O1406" s="488"/>
      <c r="P1406" s="488"/>
      <c r="Q1406" s="488"/>
      <c r="R1406" s="488"/>
      <c r="S1406" s="488"/>
      <c r="T1406" s="488"/>
      <c r="U1406" s="488"/>
      <c r="V1406" s="488"/>
      <c r="W1406" s="488"/>
      <c r="X1406" s="488"/>
      <c r="Y1406" s="488"/>
      <c r="Z1406" s="488"/>
      <c r="AA1406" s="488"/>
      <c r="AB1406" s="488"/>
      <c r="AC1406" s="488"/>
      <c r="AD1406" s="488"/>
      <c r="AE1406" s="488"/>
      <c r="AF1406" s="488"/>
      <c r="AG1406" s="488"/>
      <c r="AH1406" s="488"/>
      <c r="AI1406" s="488"/>
      <c r="AJ1406" s="488"/>
    </row>
    <row r="1407" spans="1:36" s="496" customFormat="1">
      <c r="A1407" s="488"/>
      <c r="C1407" s="488"/>
      <c r="D1407" s="488"/>
      <c r="E1407" s="488"/>
      <c r="F1407" s="488"/>
      <c r="G1407" s="488"/>
      <c r="H1407" s="488"/>
      <c r="I1407" s="488"/>
      <c r="J1407" s="488"/>
      <c r="K1407" s="488"/>
      <c r="L1407" s="488"/>
      <c r="M1407" s="488"/>
      <c r="N1407" s="488"/>
      <c r="O1407" s="488"/>
      <c r="P1407" s="488"/>
      <c r="Q1407" s="488"/>
      <c r="R1407" s="488"/>
      <c r="S1407" s="488"/>
      <c r="T1407" s="488"/>
      <c r="U1407" s="488"/>
      <c r="V1407" s="488"/>
      <c r="W1407" s="488"/>
      <c r="X1407" s="488"/>
      <c r="Y1407" s="488"/>
      <c r="Z1407" s="488"/>
      <c r="AA1407" s="488"/>
      <c r="AB1407" s="488"/>
      <c r="AC1407" s="488"/>
      <c r="AD1407" s="488"/>
      <c r="AE1407" s="488"/>
      <c r="AF1407" s="488"/>
      <c r="AG1407" s="488"/>
      <c r="AH1407" s="488"/>
      <c r="AI1407" s="488"/>
      <c r="AJ1407" s="488"/>
    </row>
    <row r="1408" spans="1:36" s="496" customFormat="1">
      <c r="A1408" s="488"/>
      <c r="C1408" s="488"/>
      <c r="D1408" s="488"/>
      <c r="E1408" s="488"/>
      <c r="F1408" s="488"/>
      <c r="G1408" s="488"/>
      <c r="H1408" s="488"/>
      <c r="I1408" s="488"/>
      <c r="J1408" s="488"/>
      <c r="K1408" s="488"/>
      <c r="L1408" s="488"/>
      <c r="M1408" s="488"/>
      <c r="N1408" s="488"/>
      <c r="O1408" s="488"/>
      <c r="P1408" s="488"/>
      <c r="Q1408" s="488"/>
      <c r="R1408" s="488"/>
      <c r="S1408" s="488"/>
      <c r="T1408" s="488"/>
      <c r="U1408" s="488"/>
      <c r="V1408" s="488"/>
      <c r="W1408" s="488"/>
      <c r="X1408" s="488"/>
      <c r="Y1408" s="488"/>
      <c r="Z1408" s="488"/>
      <c r="AA1408" s="488"/>
      <c r="AB1408" s="488"/>
      <c r="AC1408" s="488"/>
      <c r="AD1408" s="488"/>
      <c r="AE1408" s="488"/>
      <c r="AF1408" s="488"/>
      <c r="AG1408" s="488"/>
      <c r="AH1408" s="488"/>
      <c r="AI1408" s="488"/>
      <c r="AJ1408" s="488"/>
    </row>
    <row r="1409" spans="1:36" s="496" customFormat="1">
      <c r="A1409" s="488"/>
      <c r="C1409" s="488"/>
      <c r="D1409" s="488"/>
      <c r="E1409" s="488"/>
      <c r="F1409" s="488"/>
      <c r="G1409" s="488"/>
      <c r="H1409" s="488"/>
      <c r="I1409" s="488"/>
      <c r="J1409" s="488"/>
      <c r="K1409" s="488"/>
      <c r="L1409" s="488"/>
      <c r="M1409" s="488"/>
      <c r="N1409" s="488"/>
      <c r="O1409" s="488"/>
      <c r="P1409" s="488"/>
      <c r="Q1409" s="488"/>
      <c r="R1409" s="488"/>
      <c r="S1409" s="488"/>
      <c r="T1409" s="488"/>
      <c r="U1409" s="488"/>
      <c r="V1409" s="488"/>
      <c r="W1409" s="488"/>
      <c r="X1409" s="488"/>
      <c r="Y1409" s="488"/>
      <c r="Z1409" s="488"/>
      <c r="AA1409" s="488"/>
      <c r="AB1409" s="488"/>
      <c r="AC1409" s="488"/>
      <c r="AD1409" s="488"/>
      <c r="AE1409" s="488"/>
      <c r="AF1409" s="488"/>
      <c r="AG1409" s="488"/>
      <c r="AH1409" s="488"/>
      <c r="AI1409" s="488"/>
      <c r="AJ1409" s="488"/>
    </row>
    <row r="1410" spans="1:36" s="496" customFormat="1">
      <c r="A1410" s="488"/>
      <c r="C1410" s="488"/>
      <c r="D1410" s="488"/>
      <c r="E1410" s="488"/>
      <c r="F1410" s="488"/>
      <c r="G1410" s="488"/>
      <c r="H1410" s="488"/>
      <c r="I1410" s="488"/>
      <c r="J1410" s="488"/>
      <c r="K1410" s="488"/>
      <c r="L1410" s="488"/>
      <c r="M1410" s="488"/>
      <c r="N1410" s="488"/>
      <c r="O1410" s="488"/>
      <c r="P1410" s="488"/>
      <c r="Q1410" s="488"/>
      <c r="R1410" s="488"/>
      <c r="S1410" s="488"/>
      <c r="T1410" s="488"/>
      <c r="U1410" s="488"/>
      <c r="V1410" s="488"/>
      <c r="W1410" s="488"/>
      <c r="X1410" s="488"/>
      <c r="Y1410" s="488"/>
      <c r="Z1410" s="488"/>
      <c r="AA1410" s="488"/>
      <c r="AB1410" s="488"/>
      <c r="AC1410" s="488"/>
      <c r="AD1410" s="488"/>
      <c r="AE1410" s="488"/>
      <c r="AF1410" s="488"/>
      <c r="AG1410" s="488"/>
      <c r="AH1410" s="488"/>
      <c r="AI1410" s="488"/>
      <c r="AJ1410" s="488"/>
    </row>
    <row r="1411" spans="1:36" s="496" customFormat="1">
      <c r="A1411" s="488"/>
      <c r="C1411" s="488"/>
      <c r="D1411" s="488"/>
      <c r="E1411" s="488"/>
      <c r="F1411" s="488"/>
      <c r="G1411" s="488"/>
      <c r="H1411" s="488"/>
      <c r="I1411" s="488"/>
      <c r="J1411" s="488"/>
      <c r="K1411" s="488"/>
      <c r="L1411" s="488"/>
      <c r="M1411" s="488"/>
      <c r="N1411" s="488"/>
      <c r="O1411" s="488"/>
      <c r="P1411" s="488"/>
      <c r="Q1411" s="488"/>
      <c r="R1411" s="488"/>
      <c r="S1411" s="488"/>
      <c r="T1411" s="488"/>
      <c r="U1411" s="488"/>
      <c r="V1411" s="488"/>
      <c r="W1411" s="488"/>
      <c r="X1411" s="488"/>
      <c r="Y1411" s="488"/>
      <c r="Z1411" s="488"/>
      <c r="AA1411" s="488"/>
      <c r="AB1411" s="488"/>
      <c r="AC1411" s="488"/>
      <c r="AD1411" s="488"/>
      <c r="AE1411" s="488"/>
      <c r="AF1411" s="488"/>
      <c r="AG1411" s="488"/>
      <c r="AH1411" s="488"/>
      <c r="AI1411" s="488"/>
      <c r="AJ1411" s="488"/>
    </row>
    <row r="1412" spans="1:36" s="496" customFormat="1">
      <c r="A1412" s="488"/>
      <c r="C1412" s="488"/>
      <c r="D1412" s="488"/>
      <c r="E1412" s="488"/>
      <c r="F1412" s="488"/>
      <c r="G1412" s="488"/>
      <c r="H1412" s="488"/>
      <c r="I1412" s="488"/>
      <c r="J1412" s="488"/>
      <c r="K1412" s="488"/>
      <c r="L1412" s="488"/>
      <c r="M1412" s="488"/>
      <c r="N1412" s="488"/>
      <c r="O1412" s="488"/>
      <c r="P1412" s="488"/>
      <c r="Q1412" s="488"/>
      <c r="R1412" s="488"/>
      <c r="S1412" s="488"/>
      <c r="T1412" s="488"/>
      <c r="U1412" s="488"/>
      <c r="V1412" s="488"/>
      <c r="W1412" s="488"/>
      <c r="X1412" s="488"/>
      <c r="Y1412" s="488"/>
      <c r="Z1412" s="488"/>
      <c r="AA1412" s="488"/>
      <c r="AB1412" s="488"/>
      <c r="AC1412" s="488"/>
      <c r="AD1412" s="488"/>
      <c r="AE1412" s="488"/>
      <c r="AF1412" s="488"/>
      <c r="AG1412" s="488"/>
      <c r="AH1412" s="488"/>
      <c r="AI1412" s="488"/>
      <c r="AJ1412" s="488"/>
    </row>
    <row r="1413" spans="1:36" s="496" customFormat="1">
      <c r="A1413" s="488"/>
      <c r="C1413" s="488"/>
      <c r="D1413" s="488"/>
      <c r="E1413" s="488"/>
      <c r="F1413" s="488"/>
      <c r="G1413" s="488"/>
      <c r="H1413" s="488"/>
      <c r="I1413" s="488"/>
      <c r="J1413" s="488"/>
      <c r="K1413" s="488"/>
      <c r="L1413" s="488"/>
      <c r="M1413" s="488"/>
      <c r="N1413" s="488"/>
      <c r="O1413" s="488"/>
      <c r="P1413" s="488"/>
      <c r="Q1413" s="488"/>
      <c r="R1413" s="488"/>
      <c r="S1413" s="488"/>
      <c r="T1413" s="488"/>
      <c r="U1413" s="488"/>
      <c r="V1413" s="488"/>
      <c r="W1413" s="488"/>
      <c r="X1413" s="488"/>
      <c r="Y1413" s="488"/>
      <c r="Z1413" s="488"/>
      <c r="AA1413" s="488"/>
      <c r="AB1413" s="488"/>
      <c r="AC1413" s="488"/>
      <c r="AD1413" s="488"/>
      <c r="AE1413" s="488"/>
      <c r="AF1413" s="488"/>
      <c r="AG1413" s="488"/>
      <c r="AH1413" s="488"/>
      <c r="AI1413" s="488"/>
      <c r="AJ1413" s="488"/>
    </row>
    <row r="1414" spans="1:36" s="496" customFormat="1">
      <c r="A1414" s="488"/>
      <c r="C1414" s="488"/>
      <c r="D1414" s="488"/>
      <c r="E1414" s="488"/>
      <c r="F1414" s="488"/>
      <c r="G1414" s="488"/>
      <c r="H1414" s="488"/>
      <c r="I1414" s="488"/>
      <c r="J1414" s="488"/>
      <c r="K1414" s="488"/>
      <c r="L1414" s="488"/>
      <c r="M1414" s="488"/>
      <c r="N1414" s="488"/>
      <c r="O1414" s="488"/>
      <c r="P1414" s="488"/>
      <c r="Q1414" s="488"/>
      <c r="R1414" s="488"/>
      <c r="S1414" s="488"/>
      <c r="T1414" s="488"/>
      <c r="U1414" s="488"/>
      <c r="V1414" s="488"/>
      <c r="W1414" s="488"/>
      <c r="X1414" s="488"/>
      <c r="Y1414" s="488"/>
      <c r="Z1414" s="488"/>
      <c r="AA1414" s="488"/>
      <c r="AB1414" s="488"/>
      <c r="AC1414" s="488"/>
      <c r="AD1414" s="488"/>
      <c r="AE1414" s="488"/>
      <c r="AF1414" s="488"/>
      <c r="AG1414" s="488"/>
      <c r="AH1414" s="488"/>
      <c r="AI1414" s="488"/>
      <c r="AJ1414" s="488"/>
    </row>
    <row r="1415" spans="1:36" s="496" customFormat="1">
      <c r="A1415" s="488"/>
      <c r="C1415" s="488"/>
      <c r="D1415" s="488"/>
      <c r="E1415" s="488"/>
      <c r="F1415" s="488"/>
      <c r="G1415" s="488"/>
      <c r="H1415" s="488"/>
      <c r="I1415" s="488"/>
      <c r="J1415" s="488"/>
      <c r="K1415" s="488"/>
      <c r="L1415" s="488"/>
      <c r="M1415" s="488"/>
      <c r="N1415" s="488"/>
      <c r="O1415" s="488"/>
      <c r="P1415" s="488"/>
      <c r="Q1415" s="488"/>
      <c r="R1415" s="488"/>
      <c r="S1415" s="488"/>
      <c r="T1415" s="488"/>
      <c r="U1415" s="488"/>
      <c r="V1415" s="488"/>
      <c r="W1415" s="488"/>
      <c r="X1415" s="488"/>
      <c r="Y1415" s="488"/>
      <c r="Z1415" s="488"/>
      <c r="AA1415" s="488"/>
      <c r="AB1415" s="488"/>
      <c r="AC1415" s="488"/>
      <c r="AD1415" s="488"/>
      <c r="AE1415" s="488"/>
      <c r="AF1415" s="488"/>
      <c r="AG1415" s="488"/>
      <c r="AH1415" s="488"/>
      <c r="AI1415" s="488"/>
      <c r="AJ1415" s="488"/>
    </row>
    <row r="1416" spans="1:36" s="496" customFormat="1">
      <c r="A1416" s="488"/>
      <c r="C1416" s="488"/>
      <c r="D1416" s="488"/>
      <c r="E1416" s="488"/>
      <c r="F1416" s="488"/>
      <c r="G1416" s="488"/>
      <c r="H1416" s="488"/>
      <c r="I1416" s="488"/>
      <c r="J1416" s="488"/>
      <c r="K1416" s="488"/>
      <c r="L1416" s="488"/>
      <c r="M1416" s="488"/>
      <c r="N1416" s="488"/>
      <c r="O1416" s="488"/>
      <c r="P1416" s="488"/>
      <c r="Q1416" s="488"/>
      <c r="R1416" s="488"/>
      <c r="S1416" s="488"/>
      <c r="T1416" s="488"/>
      <c r="U1416" s="488"/>
      <c r="V1416" s="488"/>
      <c r="W1416" s="488"/>
      <c r="X1416" s="488"/>
      <c r="Y1416" s="488"/>
      <c r="Z1416" s="488"/>
      <c r="AA1416" s="488"/>
      <c r="AB1416" s="488"/>
      <c r="AC1416" s="488"/>
      <c r="AD1416" s="488"/>
      <c r="AE1416" s="488"/>
      <c r="AF1416" s="488"/>
      <c r="AG1416" s="488"/>
      <c r="AH1416" s="488"/>
      <c r="AI1416" s="488"/>
      <c r="AJ1416" s="488"/>
    </row>
    <row r="1417" spans="1:36" s="496" customFormat="1">
      <c r="A1417" s="488"/>
      <c r="C1417" s="488"/>
      <c r="D1417" s="488"/>
      <c r="E1417" s="488"/>
      <c r="F1417" s="488"/>
      <c r="G1417" s="488"/>
      <c r="H1417" s="488"/>
      <c r="I1417" s="488"/>
      <c r="J1417" s="488"/>
      <c r="K1417" s="488"/>
      <c r="L1417" s="488"/>
      <c r="M1417" s="488"/>
      <c r="N1417" s="488"/>
      <c r="O1417" s="488"/>
      <c r="P1417" s="488"/>
      <c r="Q1417" s="488"/>
      <c r="R1417" s="488"/>
      <c r="S1417" s="488"/>
      <c r="T1417" s="488"/>
      <c r="U1417" s="488"/>
      <c r="V1417" s="488"/>
      <c r="W1417" s="488"/>
      <c r="X1417" s="488"/>
      <c r="Y1417" s="488"/>
      <c r="Z1417" s="488"/>
      <c r="AA1417" s="488"/>
      <c r="AB1417" s="488"/>
      <c r="AC1417" s="488"/>
      <c r="AD1417" s="488"/>
      <c r="AE1417" s="488"/>
      <c r="AF1417" s="488"/>
      <c r="AG1417" s="488"/>
      <c r="AH1417" s="488"/>
      <c r="AI1417" s="488"/>
      <c r="AJ1417" s="488"/>
    </row>
    <row r="1418" spans="1:36" s="496" customFormat="1">
      <c r="A1418" s="488"/>
      <c r="C1418" s="488"/>
      <c r="D1418" s="488"/>
      <c r="E1418" s="488"/>
      <c r="F1418" s="488"/>
      <c r="G1418" s="488"/>
      <c r="H1418" s="488"/>
      <c r="I1418" s="488"/>
      <c r="J1418" s="488"/>
      <c r="K1418" s="488"/>
      <c r="L1418" s="488"/>
      <c r="M1418" s="488"/>
      <c r="N1418" s="488"/>
      <c r="O1418" s="488"/>
      <c r="P1418" s="488"/>
      <c r="Q1418" s="488"/>
      <c r="R1418" s="488"/>
      <c r="S1418" s="488"/>
      <c r="T1418" s="488"/>
      <c r="U1418" s="488"/>
      <c r="V1418" s="488"/>
      <c r="W1418" s="488"/>
      <c r="X1418" s="488"/>
      <c r="Y1418" s="488"/>
      <c r="Z1418" s="488"/>
      <c r="AA1418" s="488"/>
      <c r="AB1418" s="488"/>
      <c r="AC1418" s="488"/>
      <c r="AD1418" s="488"/>
      <c r="AE1418" s="488"/>
      <c r="AF1418" s="488"/>
      <c r="AG1418" s="488"/>
      <c r="AH1418" s="488"/>
      <c r="AI1418" s="488"/>
      <c r="AJ1418" s="488"/>
    </row>
    <row r="1419" spans="1:36" s="496" customFormat="1">
      <c r="A1419" s="488"/>
      <c r="C1419" s="488"/>
      <c r="D1419" s="488"/>
      <c r="E1419" s="488"/>
      <c r="F1419" s="488"/>
      <c r="G1419" s="488"/>
      <c r="H1419" s="488"/>
      <c r="I1419" s="488"/>
      <c r="J1419" s="488"/>
      <c r="K1419" s="488"/>
      <c r="L1419" s="488"/>
      <c r="M1419" s="488"/>
      <c r="N1419" s="488"/>
      <c r="O1419" s="488"/>
      <c r="P1419" s="488"/>
      <c r="Q1419" s="488"/>
      <c r="R1419" s="488"/>
      <c r="S1419" s="488"/>
      <c r="T1419" s="488"/>
      <c r="U1419" s="488"/>
      <c r="V1419" s="488"/>
      <c r="W1419" s="488"/>
      <c r="X1419" s="488"/>
      <c r="Y1419" s="488"/>
      <c r="Z1419" s="488"/>
      <c r="AA1419" s="488"/>
      <c r="AB1419" s="488"/>
      <c r="AC1419" s="488"/>
      <c r="AD1419" s="488"/>
      <c r="AE1419" s="488"/>
      <c r="AF1419" s="488"/>
      <c r="AG1419" s="488"/>
      <c r="AH1419" s="488"/>
      <c r="AI1419" s="488"/>
      <c r="AJ1419" s="488"/>
    </row>
    <row r="1420" spans="1:36" s="496" customFormat="1">
      <c r="A1420" s="488"/>
      <c r="C1420" s="488"/>
      <c r="D1420" s="488"/>
      <c r="E1420" s="488"/>
      <c r="F1420" s="488"/>
      <c r="G1420" s="488"/>
      <c r="H1420" s="488"/>
      <c r="I1420" s="488"/>
      <c r="J1420" s="488"/>
      <c r="K1420" s="488"/>
      <c r="L1420" s="488"/>
      <c r="M1420" s="488"/>
      <c r="N1420" s="488"/>
      <c r="O1420" s="488"/>
      <c r="P1420" s="488"/>
      <c r="Q1420" s="488"/>
      <c r="R1420" s="488"/>
      <c r="S1420" s="488"/>
      <c r="T1420" s="488"/>
      <c r="U1420" s="488"/>
      <c r="V1420" s="488"/>
      <c r="W1420" s="488"/>
      <c r="X1420" s="488"/>
      <c r="Y1420" s="488"/>
      <c r="Z1420" s="488"/>
      <c r="AA1420" s="488"/>
      <c r="AB1420" s="488"/>
      <c r="AC1420" s="488"/>
      <c r="AD1420" s="488"/>
      <c r="AE1420" s="488"/>
      <c r="AF1420" s="488"/>
      <c r="AG1420" s="488"/>
      <c r="AH1420" s="488"/>
      <c r="AI1420" s="488"/>
      <c r="AJ1420" s="488"/>
    </row>
    <row r="1421" spans="1:36" s="496" customFormat="1">
      <c r="A1421" s="488"/>
      <c r="C1421" s="488"/>
      <c r="D1421" s="488"/>
      <c r="E1421" s="488"/>
      <c r="F1421" s="488"/>
      <c r="G1421" s="488"/>
      <c r="H1421" s="488"/>
      <c r="I1421" s="488"/>
      <c r="J1421" s="488"/>
      <c r="K1421" s="488"/>
      <c r="L1421" s="488"/>
      <c r="M1421" s="488"/>
      <c r="N1421" s="488"/>
      <c r="O1421" s="488"/>
      <c r="P1421" s="488"/>
      <c r="Q1421" s="488"/>
      <c r="R1421" s="488"/>
      <c r="S1421" s="488"/>
      <c r="T1421" s="488"/>
      <c r="U1421" s="488"/>
      <c r="V1421" s="488"/>
      <c r="W1421" s="488"/>
      <c r="X1421" s="488"/>
      <c r="Y1421" s="488"/>
      <c r="Z1421" s="488"/>
      <c r="AA1421" s="488"/>
      <c r="AB1421" s="488"/>
      <c r="AC1421" s="488"/>
      <c r="AD1421" s="488"/>
      <c r="AE1421" s="488"/>
      <c r="AF1421" s="488"/>
      <c r="AG1421" s="488"/>
      <c r="AH1421" s="488"/>
      <c r="AI1421" s="488"/>
      <c r="AJ1421" s="488"/>
    </row>
    <row r="1422" spans="1:36" s="496" customFormat="1">
      <c r="A1422" s="488"/>
      <c r="C1422" s="488"/>
      <c r="D1422" s="488"/>
      <c r="E1422" s="488"/>
      <c r="F1422" s="488"/>
      <c r="G1422" s="488"/>
      <c r="H1422" s="488"/>
      <c r="I1422" s="488"/>
      <c r="J1422" s="488"/>
      <c r="K1422" s="488"/>
      <c r="L1422" s="488"/>
      <c r="M1422" s="488"/>
      <c r="N1422" s="488"/>
      <c r="O1422" s="488"/>
      <c r="P1422" s="488"/>
      <c r="Q1422" s="488"/>
      <c r="R1422" s="488"/>
      <c r="S1422" s="488"/>
      <c r="T1422" s="488"/>
      <c r="U1422" s="488"/>
      <c r="V1422" s="488"/>
      <c r="W1422" s="488"/>
      <c r="X1422" s="488"/>
      <c r="Y1422" s="488"/>
      <c r="Z1422" s="488"/>
      <c r="AA1422" s="488"/>
      <c r="AB1422" s="488"/>
      <c r="AC1422" s="488"/>
      <c r="AD1422" s="488"/>
      <c r="AE1422" s="488"/>
      <c r="AF1422" s="488"/>
      <c r="AG1422" s="488"/>
      <c r="AH1422" s="488"/>
      <c r="AI1422" s="488"/>
      <c r="AJ1422" s="488"/>
    </row>
    <row r="1423" spans="1:36" s="496" customFormat="1">
      <c r="A1423" s="488"/>
      <c r="C1423" s="488"/>
      <c r="D1423" s="488"/>
      <c r="E1423" s="488"/>
      <c r="F1423" s="488"/>
      <c r="G1423" s="488"/>
      <c r="H1423" s="488"/>
      <c r="I1423" s="488"/>
      <c r="J1423" s="488"/>
      <c r="K1423" s="488"/>
      <c r="L1423" s="488"/>
      <c r="M1423" s="488"/>
      <c r="N1423" s="488"/>
      <c r="O1423" s="488"/>
      <c r="P1423" s="488"/>
      <c r="Q1423" s="488"/>
      <c r="R1423" s="488"/>
      <c r="S1423" s="488"/>
      <c r="T1423" s="488"/>
      <c r="U1423" s="488"/>
      <c r="V1423" s="488"/>
      <c r="W1423" s="488"/>
      <c r="X1423" s="488"/>
      <c r="Y1423" s="488"/>
      <c r="Z1423" s="488"/>
      <c r="AA1423" s="488"/>
      <c r="AB1423" s="488"/>
      <c r="AC1423" s="488"/>
      <c r="AD1423" s="488"/>
      <c r="AE1423" s="488"/>
      <c r="AF1423" s="488"/>
      <c r="AG1423" s="488"/>
      <c r="AH1423" s="488"/>
      <c r="AI1423" s="488"/>
      <c r="AJ1423" s="488"/>
    </row>
    <row r="1424" spans="1:36" s="496" customFormat="1">
      <c r="A1424" s="488"/>
      <c r="C1424" s="488"/>
      <c r="D1424" s="488"/>
      <c r="E1424" s="488"/>
      <c r="F1424" s="488"/>
      <c r="G1424" s="488"/>
      <c r="H1424" s="488"/>
      <c r="I1424" s="488"/>
      <c r="J1424" s="488"/>
      <c r="K1424" s="488"/>
      <c r="L1424" s="488"/>
      <c r="M1424" s="488"/>
      <c r="N1424" s="488"/>
      <c r="O1424" s="488"/>
      <c r="P1424" s="488"/>
      <c r="Q1424" s="488"/>
      <c r="R1424" s="488"/>
      <c r="S1424" s="488"/>
      <c r="T1424" s="488"/>
      <c r="U1424" s="488"/>
      <c r="V1424" s="488"/>
      <c r="W1424" s="488"/>
      <c r="X1424" s="488"/>
      <c r="Y1424" s="488"/>
      <c r="Z1424" s="488"/>
      <c r="AA1424" s="488"/>
      <c r="AB1424" s="488"/>
      <c r="AC1424" s="488"/>
      <c r="AD1424" s="488"/>
      <c r="AE1424" s="488"/>
      <c r="AF1424" s="488"/>
      <c r="AG1424" s="488"/>
      <c r="AH1424" s="488"/>
      <c r="AI1424" s="488"/>
      <c r="AJ1424" s="488"/>
    </row>
    <row r="1425" spans="1:36" s="496" customFormat="1">
      <c r="A1425" s="488"/>
      <c r="C1425" s="488"/>
      <c r="D1425" s="488"/>
      <c r="E1425" s="488"/>
      <c r="F1425" s="488"/>
      <c r="G1425" s="488"/>
      <c r="H1425" s="488"/>
      <c r="I1425" s="488"/>
      <c r="J1425" s="488"/>
      <c r="K1425" s="488"/>
      <c r="L1425" s="488"/>
      <c r="M1425" s="488"/>
      <c r="N1425" s="488"/>
      <c r="O1425" s="488"/>
      <c r="P1425" s="488"/>
      <c r="Q1425" s="488"/>
      <c r="R1425" s="488"/>
      <c r="S1425" s="488"/>
      <c r="T1425" s="488"/>
      <c r="U1425" s="488"/>
      <c r="V1425" s="488"/>
      <c r="W1425" s="488"/>
      <c r="X1425" s="488"/>
      <c r="Y1425" s="488"/>
      <c r="Z1425" s="488"/>
      <c r="AA1425" s="488"/>
      <c r="AB1425" s="488"/>
      <c r="AC1425" s="488"/>
      <c r="AD1425" s="488"/>
      <c r="AE1425" s="488"/>
      <c r="AF1425" s="488"/>
      <c r="AG1425" s="488"/>
      <c r="AH1425" s="488"/>
      <c r="AI1425" s="488"/>
      <c r="AJ1425" s="488"/>
    </row>
    <row r="1426" spans="1:36" s="496" customFormat="1">
      <c r="A1426" s="488"/>
      <c r="C1426" s="488"/>
      <c r="D1426" s="488"/>
      <c r="E1426" s="488"/>
      <c r="F1426" s="488"/>
      <c r="G1426" s="488"/>
      <c r="H1426" s="488"/>
      <c r="I1426" s="488"/>
      <c r="J1426" s="488"/>
      <c r="K1426" s="488"/>
      <c r="L1426" s="488"/>
      <c r="M1426" s="488"/>
      <c r="N1426" s="488"/>
      <c r="O1426" s="488"/>
      <c r="P1426" s="488"/>
      <c r="Q1426" s="488"/>
      <c r="R1426" s="488"/>
      <c r="S1426" s="488"/>
      <c r="T1426" s="488"/>
      <c r="U1426" s="488"/>
      <c r="V1426" s="488"/>
      <c r="W1426" s="488"/>
      <c r="X1426" s="488"/>
      <c r="Y1426" s="488"/>
      <c r="Z1426" s="488"/>
      <c r="AA1426" s="488"/>
      <c r="AB1426" s="488"/>
      <c r="AC1426" s="488"/>
      <c r="AD1426" s="488"/>
      <c r="AE1426" s="488"/>
      <c r="AF1426" s="488"/>
      <c r="AG1426" s="488"/>
      <c r="AH1426" s="488"/>
      <c r="AI1426" s="488"/>
      <c r="AJ1426" s="488"/>
    </row>
    <row r="1427" spans="1:36" s="496" customFormat="1">
      <c r="A1427" s="488"/>
      <c r="C1427" s="488"/>
      <c r="D1427" s="488"/>
      <c r="E1427" s="488"/>
      <c r="F1427" s="488"/>
      <c r="G1427" s="488"/>
      <c r="H1427" s="488"/>
      <c r="I1427" s="488"/>
      <c r="J1427" s="488"/>
      <c r="K1427" s="488"/>
      <c r="L1427" s="488"/>
      <c r="M1427" s="488"/>
      <c r="N1427" s="488"/>
      <c r="O1427" s="488"/>
      <c r="P1427" s="488"/>
      <c r="Q1427" s="488"/>
      <c r="R1427" s="488"/>
      <c r="S1427" s="488"/>
      <c r="T1427" s="488"/>
      <c r="U1427" s="488"/>
      <c r="V1427" s="488"/>
      <c r="W1427" s="488"/>
      <c r="X1427" s="488"/>
      <c r="Y1427" s="488"/>
      <c r="Z1427" s="488"/>
      <c r="AA1427" s="488"/>
      <c r="AB1427" s="488"/>
      <c r="AC1427" s="488"/>
      <c r="AD1427" s="488"/>
      <c r="AE1427" s="488"/>
      <c r="AF1427" s="488"/>
      <c r="AG1427" s="488"/>
      <c r="AH1427" s="488"/>
      <c r="AI1427" s="488"/>
      <c r="AJ1427" s="488"/>
    </row>
    <row r="1428" spans="1:36" s="496" customFormat="1">
      <c r="A1428" s="488"/>
      <c r="C1428" s="488"/>
      <c r="D1428" s="488"/>
      <c r="E1428" s="488"/>
      <c r="F1428" s="488"/>
      <c r="G1428" s="488"/>
      <c r="H1428" s="488"/>
      <c r="I1428" s="488"/>
      <c r="J1428" s="488"/>
      <c r="K1428" s="488"/>
      <c r="L1428" s="488"/>
      <c r="M1428" s="488"/>
      <c r="N1428" s="488"/>
      <c r="O1428" s="488"/>
      <c r="P1428" s="488"/>
      <c r="Q1428" s="488"/>
      <c r="R1428" s="488"/>
      <c r="S1428" s="488"/>
      <c r="T1428" s="488"/>
      <c r="U1428" s="488"/>
      <c r="V1428" s="488"/>
      <c r="W1428" s="488"/>
      <c r="X1428" s="488"/>
      <c r="Y1428" s="488"/>
      <c r="Z1428" s="488"/>
      <c r="AA1428" s="488"/>
      <c r="AB1428" s="488"/>
      <c r="AC1428" s="488"/>
      <c r="AD1428" s="488"/>
      <c r="AE1428" s="488"/>
      <c r="AF1428" s="488"/>
      <c r="AG1428" s="488"/>
      <c r="AH1428" s="488"/>
      <c r="AI1428" s="488"/>
      <c r="AJ1428" s="488"/>
    </row>
    <row r="1429" spans="1:36" s="496" customFormat="1">
      <c r="A1429" s="488"/>
      <c r="C1429" s="488"/>
      <c r="D1429" s="488"/>
      <c r="E1429" s="488"/>
      <c r="F1429" s="488"/>
      <c r="G1429" s="488"/>
      <c r="H1429" s="488"/>
      <c r="I1429" s="488"/>
      <c r="J1429" s="488"/>
      <c r="K1429" s="488"/>
      <c r="L1429" s="488"/>
      <c r="M1429" s="488"/>
      <c r="N1429" s="488"/>
      <c r="O1429" s="488"/>
      <c r="P1429" s="488"/>
      <c r="Q1429" s="488"/>
      <c r="R1429" s="488"/>
      <c r="S1429" s="488"/>
      <c r="T1429" s="488"/>
      <c r="U1429" s="488"/>
      <c r="V1429" s="488"/>
      <c r="W1429" s="488"/>
      <c r="X1429" s="488"/>
      <c r="Y1429" s="488"/>
      <c r="Z1429" s="488"/>
      <c r="AA1429" s="488"/>
      <c r="AB1429" s="488"/>
      <c r="AC1429" s="488"/>
      <c r="AD1429" s="488"/>
      <c r="AE1429" s="488"/>
      <c r="AF1429" s="488"/>
      <c r="AG1429" s="488"/>
      <c r="AH1429" s="488"/>
      <c r="AI1429" s="488"/>
      <c r="AJ1429" s="488"/>
    </row>
    <row r="1430" spans="1:36" s="496" customFormat="1">
      <c r="A1430" s="488"/>
      <c r="C1430" s="488"/>
      <c r="D1430" s="488"/>
      <c r="E1430" s="488"/>
      <c r="F1430" s="488"/>
      <c r="G1430" s="488"/>
      <c r="H1430" s="488"/>
      <c r="I1430" s="488"/>
      <c r="J1430" s="488"/>
      <c r="K1430" s="488"/>
      <c r="L1430" s="488"/>
      <c r="M1430" s="488"/>
      <c r="N1430" s="488"/>
      <c r="O1430" s="488"/>
      <c r="P1430" s="488"/>
      <c r="Q1430" s="488"/>
      <c r="R1430" s="488"/>
      <c r="S1430" s="488"/>
      <c r="T1430" s="488"/>
      <c r="U1430" s="488"/>
      <c r="V1430" s="488"/>
      <c r="W1430" s="488"/>
      <c r="X1430" s="488"/>
      <c r="Y1430" s="488"/>
      <c r="Z1430" s="488"/>
      <c r="AA1430" s="488"/>
      <c r="AB1430" s="488"/>
      <c r="AC1430" s="488"/>
      <c r="AD1430" s="488"/>
      <c r="AE1430" s="488"/>
      <c r="AF1430" s="488"/>
      <c r="AG1430" s="488"/>
      <c r="AH1430" s="488"/>
      <c r="AI1430" s="488"/>
      <c r="AJ1430" s="488"/>
    </row>
    <row r="1431" spans="1:36" s="496" customFormat="1">
      <c r="A1431" s="488"/>
      <c r="C1431" s="488"/>
      <c r="D1431" s="488"/>
      <c r="E1431" s="488"/>
      <c r="F1431" s="488"/>
      <c r="G1431" s="488"/>
      <c r="H1431" s="488"/>
      <c r="I1431" s="488"/>
      <c r="J1431" s="488"/>
      <c r="K1431" s="488"/>
      <c r="L1431" s="488"/>
      <c r="M1431" s="488"/>
      <c r="N1431" s="488"/>
      <c r="O1431" s="488"/>
      <c r="P1431" s="488"/>
      <c r="Q1431" s="488"/>
      <c r="R1431" s="488"/>
      <c r="S1431" s="488"/>
      <c r="T1431" s="488"/>
      <c r="U1431" s="488"/>
      <c r="V1431" s="488"/>
      <c r="W1431" s="488"/>
      <c r="X1431" s="488"/>
      <c r="Y1431" s="488"/>
      <c r="Z1431" s="488"/>
      <c r="AA1431" s="488"/>
      <c r="AB1431" s="488"/>
      <c r="AC1431" s="488"/>
      <c r="AD1431" s="488"/>
      <c r="AE1431" s="488"/>
      <c r="AF1431" s="488"/>
      <c r="AG1431" s="488"/>
      <c r="AH1431" s="488"/>
      <c r="AI1431" s="488"/>
      <c r="AJ1431" s="488"/>
    </row>
    <row r="1432" spans="1:36" s="496" customFormat="1">
      <c r="A1432" s="488"/>
      <c r="C1432" s="488"/>
      <c r="D1432" s="488"/>
      <c r="E1432" s="488"/>
      <c r="F1432" s="488"/>
      <c r="G1432" s="488"/>
      <c r="H1432" s="488"/>
      <c r="I1432" s="488"/>
      <c r="J1432" s="488"/>
      <c r="K1432" s="488"/>
      <c r="L1432" s="488"/>
      <c r="M1432" s="488"/>
      <c r="N1432" s="488"/>
      <c r="O1432" s="488"/>
      <c r="P1432" s="488"/>
      <c r="Q1432" s="488"/>
      <c r="R1432" s="488"/>
      <c r="S1432" s="488"/>
      <c r="T1432" s="488"/>
      <c r="U1432" s="488"/>
      <c r="V1432" s="488"/>
      <c r="W1432" s="488"/>
      <c r="X1432" s="488"/>
      <c r="Y1432" s="488"/>
      <c r="Z1432" s="488"/>
      <c r="AA1432" s="488"/>
      <c r="AB1432" s="488"/>
      <c r="AC1432" s="488"/>
      <c r="AD1432" s="488"/>
      <c r="AE1432" s="488"/>
      <c r="AF1432" s="488"/>
      <c r="AG1432" s="488"/>
      <c r="AH1432" s="488"/>
      <c r="AI1432" s="488"/>
      <c r="AJ1432" s="488"/>
    </row>
    <row r="1433" spans="1:36" s="496" customFormat="1">
      <c r="A1433" s="488"/>
      <c r="C1433" s="488"/>
      <c r="D1433" s="488"/>
      <c r="E1433" s="488"/>
      <c r="F1433" s="488"/>
      <c r="G1433" s="488"/>
      <c r="H1433" s="488"/>
      <c r="I1433" s="488"/>
      <c r="J1433" s="488"/>
      <c r="K1433" s="488"/>
      <c r="L1433" s="488"/>
      <c r="M1433" s="488"/>
      <c r="N1433" s="488"/>
      <c r="O1433" s="488"/>
      <c r="P1433" s="488"/>
      <c r="Q1433" s="488"/>
      <c r="R1433" s="488"/>
      <c r="S1433" s="488"/>
      <c r="T1433" s="488"/>
      <c r="U1433" s="488"/>
      <c r="V1433" s="488"/>
      <c r="W1433" s="488"/>
      <c r="X1433" s="488"/>
      <c r="Y1433" s="488"/>
      <c r="Z1433" s="488"/>
      <c r="AA1433" s="488"/>
      <c r="AB1433" s="488"/>
      <c r="AC1433" s="488"/>
      <c r="AD1433" s="488"/>
      <c r="AE1433" s="488"/>
      <c r="AF1433" s="488"/>
      <c r="AG1433" s="488"/>
      <c r="AH1433" s="488"/>
      <c r="AI1433" s="488"/>
      <c r="AJ1433" s="488"/>
    </row>
    <row r="1434" spans="1:36" s="496" customFormat="1">
      <c r="A1434" s="488"/>
      <c r="C1434" s="488"/>
      <c r="D1434" s="488"/>
      <c r="E1434" s="488"/>
      <c r="F1434" s="488"/>
      <c r="G1434" s="488"/>
      <c r="H1434" s="488"/>
      <c r="I1434" s="488"/>
      <c r="J1434" s="488"/>
      <c r="K1434" s="488"/>
      <c r="L1434" s="488"/>
      <c r="M1434" s="488"/>
      <c r="N1434" s="488"/>
      <c r="O1434" s="488"/>
      <c r="P1434" s="488"/>
      <c r="Q1434" s="488"/>
      <c r="R1434" s="488"/>
      <c r="S1434" s="488"/>
      <c r="T1434" s="488"/>
      <c r="U1434" s="488"/>
      <c r="V1434" s="488"/>
      <c r="W1434" s="488"/>
      <c r="X1434" s="488"/>
      <c r="Y1434" s="488"/>
      <c r="Z1434" s="488"/>
      <c r="AA1434" s="488"/>
      <c r="AB1434" s="488"/>
      <c r="AC1434" s="488"/>
      <c r="AD1434" s="488"/>
      <c r="AE1434" s="488"/>
      <c r="AF1434" s="488"/>
      <c r="AG1434" s="488"/>
      <c r="AH1434" s="488"/>
      <c r="AI1434" s="488"/>
      <c r="AJ1434" s="488"/>
    </row>
    <row r="1435" spans="1:36" s="496" customFormat="1">
      <c r="A1435" s="488"/>
      <c r="C1435" s="488"/>
      <c r="D1435" s="488"/>
      <c r="E1435" s="488"/>
      <c r="F1435" s="488"/>
      <c r="G1435" s="488"/>
      <c r="H1435" s="488"/>
      <c r="I1435" s="488"/>
      <c r="J1435" s="488"/>
      <c r="K1435" s="488"/>
      <c r="L1435" s="488"/>
      <c r="M1435" s="488"/>
      <c r="N1435" s="488"/>
      <c r="O1435" s="488"/>
      <c r="P1435" s="488"/>
      <c r="Q1435" s="488"/>
      <c r="R1435" s="488"/>
      <c r="S1435" s="488"/>
      <c r="T1435" s="488"/>
      <c r="U1435" s="488"/>
      <c r="V1435" s="488"/>
      <c r="W1435" s="488"/>
      <c r="X1435" s="488"/>
      <c r="Y1435" s="488"/>
      <c r="Z1435" s="488"/>
      <c r="AA1435" s="488"/>
      <c r="AB1435" s="488"/>
      <c r="AC1435" s="488"/>
      <c r="AD1435" s="488"/>
      <c r="AE1435" s="488"/>
      <c r="AF1435" s="488"/>
      <c r="AG1435" s="488"/>
      <c r="AH1435" s="488"/>
      <c r="AI1435" s="488"/>
      <c r="AJ1435" s="488"/>
    </row>
  </sheetData>
  <mergeCells count="19">
    <mergeCell ref="A83:H83"/>
    <mergeCell ref="B84:D84"/>
    <mergeCell ref="I85:L85"/>
    <mergeCell ref="I104:M104"/>
    <mergeCell ref="I113:O114"/>
    <mergeCell ref="A79:H79"/>
    <mergeCell ref="A81:H81"/>
    <mergeCell ref="A3:H3"/>
    <mergeCell ref="A5:H5"/>
    <mergeCell ref="A32:H32"/>
    <mergeCell ref="B7:D7"/>
    <mergeCell ref="B38:D38"/>
    <mergeCell ref="A34:H34"/>
    <mergeCell ref="A36:H36"/>
    <mergeCell ref="K6:N6"/>
    <mergeCell ref="I39:L39"/>
    <mergeCell ref="J8:O8"/>
    <mergeCell ref="I66:M66"/>
    <mergeCell ref="A1:H1"/>
  </mergeCells>
  <printOptions horizontalCentered="1"/>
  <pageMargins left="0.9" right="0.7" top="0.75" bottom="0.5" header="0" footer="0.25"/>
  <pageSetup scale="65" fitToHeight="20" orientation="landscape" horizontalDpi="300" verticalDpi="300" r:id="rId1"/>
  <headerFooter alignWithMargins="0"/>
  <rowBreaks count="2" manualBreakCount="2">
    <brk id="31" max="14" man="1"/>
    <brk id="78"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zoomScaleNormal="100" workbookViewId="0"/>
  </sheetViews>
  <sheetFormatPr defaultRowHeight="15"/>
  <cols>
    <col min="1" max="1" width="43.5546875" bestFit="1" customWidth="1"/>
    <col min="2" max="2" width="12.88671875" customWidth="1"/>
    <col min="3" max="3" width="8.33203125" customWidth="1"/>
    <col min="4" max="4" width="8.44140625" customWidth="1"/>
  </cols>
  <sheetData>
    <row r="1" spans="1:8" ht="37.5" customHeight="1">
      <c r="A1" s="1039" t="s">
        <v>1190</v>
      </c>
      <c r="B1" t="s">
        <v>1191</v>
      </c>
      <c r="C1" s="1364" t="s">
        <v>1192</v>
      </c>
      <c r="D1" s="1366" t="s">
        <v>1193</v>
      </c>
      <c r="E1" s="1366" t="s">
        <v>1256</v>
      </c>
      <c r="F1" s="1366" t="s">
        <v>1256</v>
      </c>
      <c r="G1" s="1366" t="s">
        <v>1194</v>
      </c>
      <c r="H1" s="1366" t="s">
        <v>1195</v>
      </c>
    </row>
    <row r="2" spans="1:8" ht="15.75">
      <c r="A2" s="1040" t="s">
        <v>1196</v>
      </c>
      <c r="C2" s="1364"/>
      <c r="D2" s="1366"/>
      <c r="E2" s="1366"/>
      <c r="F2" s="1366"/>
      <c r="G2" s="1366"/>
      <c r="H2" s="1366"/>
    </row>
    <row r="3" spans="1:8">
      <c r="B3" s="365" t="s">
        <v>358</v>
      </c>
      <c r="C3" s="1365"/>
      <c r="D3" s="1367"/>
      <c r="E3" s="1367"/>
      <c r="F3" s="1367"/>
      <c r="G3" s="1367"/>
      <c r="H3" s="1367"/>
    </row>
    <row r="4" spans="1:8">
      <c r="A4" s="1041" t="s">
        <v>1197</v>
      </c>
      <c r="B4" s="1032">
        <v>3</v>
      </c>
      <c r="H4">
        <f>+B4</f>
        <v>3</v>
      </c>
    </row>
    <row r="5" spans="1:8" ht="15.75">
      <c r="A5" s="1041" t="s">
        <v>1198</v>
      </c>
      <c r="B5" s="1042">
        <v>970</v>
      </c>
    </row>
    <row r="6" spans="1:8">
      <c r="A6" s="1041" t="s">
        <v>1199</v>
      </c>
      <c r="B6" s="1032">
        <v>1</v>
      </c>
      <c r="H6">
        <f>+B6</f>
        <v>1</v>
      </c>
    </row>
    <row r="7" spans="1:8">
      <c r="A7" s="1041" t="s">
        <v>1200</v>
      </c>
      <c r="B7" s="1032">
        <v>108</v>
      </c>
      <c r="H7">
        <f>+B7</f>
        <v>108</v>
      </c>
    </row>
    <row r="8" spans="1:8">
      <c r="A8" s="1041" t="s">
        <v>1201</v>
      </c>
      <c r="B8" s="1032">
        <v>63</v>
      </c>
      <c r="H8">
        <f t="shared" ref="H8:H9" si="0">+B8</f>
        <v>63</v>
      </c>
    </row>
    <row r="9" spans="1:8">
      <c r="A9" s="1041" t="s">
        <v>1202</v>
      </c>
      <c r="B9" s="1032">
        <v>82</v>
      </c>
      <c r="H9">
        <f t="shared" si="0"/>
        <v>82</v>
      </c>
    </row>
    <row r="10" spans="1:8">
      <c r="A10" s="1041" t="s">
        <v>1203</v>
      </c>
      <c r="B10" s="1081">
        <v>7</v>
      </c>
    </row>
    <row r="11" spans="1:8" ht="15.75">
      <c r="A11" s="1043" t="s">
        <v>1204</v>
      </c>
      <c r="B11" s="1081">
        <v>140</v>
      </c>
    </row>
    <row r="12" spans="1:8">
      <c r="A12" s="1041" t="s">
        <v>1205</v>
      </c>
      <c r="B12" s="1032">
        <v>319</v>
      </c>
      <c r="C12" s="1032">
        <f>+B12</f>
        <v>319</v>
      </c>
      <c r="D12" s="1044">
        <f>+(C12+C13)/12</f>
        <v>28.083333333333332</v>
      </c>
    </row>
    <row r="13" spans="1:8">
      <c r="A13" s="1041" t="s">
        <v>1206</v>
      </c>
      <c r="B13" s="1032">
        <v>9</v>
      </c>
      <c r="C13" s="1032">
        <f>+B13*2</f>
        <v>18</v>
      </c>
    </row>
    <row r="14" spans="1:8">
      <c r="A14" s="1041" t="s">
        <v>1207</v>
      </c>
      <c r="B14" s="1032">
        <v>321</v>
      </c>
      <c r="C14" s="1032">
        <f>+B14</f>
        <v>321</v>
      </c>
      <c r="D14" s="1044">
        <f>+(C14+C15)/12</f>
        <v>27.083333333333332</v>
      </c>
    </row>
    <row r="15" spans="1:8">
      <c r="A15" s="1041" t="s">
        <v>1208</v>
      </c>
      <c r="B15" s="1032">
        <v>2</v>
      </c>
      <c r="C15" s="1032">
        <f>+B15*2</f>
        <v>4</v>
      </c>
      <c r="D15" s="1044"/>
    </row>
    <row r="16" spans="1:8">
      <c r="A16" s="1041" t="s">
        <v>1209</v>
      </c>
      <c r="B16" s="1032">
        <v>1</v>
      </c>
      <c r="C16" s="1032">
        <f>+B16</f>
        <v>1</v>
      </c>
      <c r="D16" s="1044">
        <f>+C16/12</f>
        <v>8.3333333333333329E-2</v>
      </c>
    </row>
    <row r="17" spans="1:8">
      <c r="A17" s="1041" t="s">
        <v>1210</v>
      </c>
      <c r="B17" s="1032">
        <v>168</v>
      </c>
      <c r="C17" s="1032">
        <f>+B17</f>
        <v>168</v>
      </c>
      <c r="D17" s="1044">
        <f>+(C17+C18)/12</f>
        <v>15.333333333333334</v>
      </c>
    </row>
    <row r="18" spans="1:8">
      <c r="A18" s="1041" t="s">
        <v>1211</v>
      </c>
      <c r="B18" s="1032">
        <v>8</v>
      </c>
      <c r="C18" s="1032">
        <f>+B18*2</f>
        <v>16</v>
      </c>
      <c r="D18" s="1044"/>
    </row>
    <row r="19" spans="1:8">
      <c r="A19" s="1041" t="s">
        <v>1212</v>
      </c>
      <c r="B19" s="1032">
        <v>48</v>
      </c>
      <c r="C19" s="1032">
        <f>+B19</f>
        <v>48</v>
      </c>
      <c r="D19" s="1044">
        <f>+(C19+C20)/12</f>
        <v>5.5</v>
      </c>
    </row>
    <row r="20" spans="1:8">
      <c r="A20" s="1041" t="s">
        <v>1213</v>
      </c>
      <c r="B20" s="1032">
        <v>9</v>
      </c>
      <c r="C20" s="1032">
        <f>+B20*2</f>
        <v>18</v>
      </c>
      <c r="D20" s="1044"/>
    </row>
    <row r="21" spans="1:8">
      <c r="A21" s="1041" t="s">
        <v>1214</v>
      </c>
      <c r="B21" s="1032">
        <v>140</v>
      </c>
      <c r="C21" s="1032">
        <f>+B21</f>
        <v>140</v>
      </c>
      <c r="D21" s="1044">
        <f>+(C21+C22+C23)/12</f>
        <v>14.083333333333334</v>
      </c>
    </row>
    <row r="22" spans="1:8">
      <c r="A22" s="1041" t="s">
        <v>1215</v>
      </c>
      <c r="B22" s="1032">
        <v>14</v>
      </c>
      <c r="C22" s="1032">
        <f>+B22*2</f>
        <v>28</v>
      </c>
      <c r="D22" s="1044"/>
    </row>
    <row r="23" spans="1:8">
      <c r="A23" s="1041" t="s">
        <v>1216</v>
      </c>
      <c r="B23" s="1032">
        <v>1</v>
      </c>
      <c r="C23" s="1032">
        <v>1</v>
      </c>
      <c r="D23" s="1044"/>
    </row>
    <row r="24" spans="1:8">
      <c r="A24" s="1041" t="s">
        <v>1217</v>
      </c>
      <c r="B24" s="1032">
        <v>126</v>
      </c>
      <c r="C24" s="1032">
        <f>+B24</f>
        <v>126</v>
      </c>
      <c r="D24" s="1044">
        <f>+(C24+C25)/12</f>
        <v>11.666666666666666</v>
      </c>
    </row>
    <row r="25" spans="1:8">
      <c r="A25" s="1041" t="s">
        <v>1218</v>
      </c>
      <c r="B25" s="1032">
        <v>7</v>
      </c>
      <c r="C25" s="1032">
        <f>+B25*2</f>
        <v>14</v>
      </c>
      <c r="D25" s="1044"/>
    </row>
    <row r="26" spans="1:8">
      <c r="A26" s="1045" t="s">
        <v>1219</v>
      </c>
      <c r="B26" s="1065">
        <v>2</v>
      </c>
      <c r="D26" s="1044"/>
      <c r="H26">
        <f>+B26</f>
        <v>2</v>
      </c>
    </row>
    <row r="27" spans="1:8">
      <c r="A27" s="1045" t="s">
        <v>1220</v>
      </c>
      <c r="B27" s="1065">
        <v>13</v>
      </c>
      <c r="D27" s="1044"/>
      <c r="H27">
        <f>+B27</f>
        <v>13</v>
      </c>
    </row>
    <row r="28" spans="1:8">
      <c r="A28" s="1041" t="s">
        <v>1221</v>
      </c>
      <c r="B28" s="1032">
        <v>256</v>
      </c>
      <c r="C28" s="1032">
        <f>+B28</f>
        <v>256</v>
      </c>
      <c r="D28" s="1044">
        <f>+(C28+C29)/12</f>
        <v>22.333333333333332</v>
      </c>
    </row>
    <row r="29" spans="1:8">
      <c r="A29" s="1041" t="s">
        <v>1222</v>
      </c>
      <c r="B29" s="1032">
        <v>6</v>
      </c>
      <c r="C29" s="1032">
        <f>+B29*2</f>
        <v>12</v>
      </c>
      <c r="D29" s="1044"/>
    </row>
    <row r="30" spans="1:8" ht="15.75">
      <c r="A30" s="1041" t="s">
        <v>1223</v>
      </c>
      <c r="B30" s="1042">
        <v>3</v>
      </c>
      <c r="C30" s="1032"/>
      <c r="D30" s="1044"/>
    </row>
    <row r="31" spans="1:8">
      <c r="A31" s="1041" t="s">
        <v>1224</v>
      </c>
      <c r="B31" s="1081">
        <v>2</v>
      </c>
      <c r="D31" s="1044"/>
    </row>
    <row r="32" spans="1:8">
      <c r="A32" s="1041" t="s">
        <v>1225</v>
      </c>
      <c r="B32" s="1032">
        <v>23</v>
      </c>
      <c r="C32" s="1032"/>
      <c r="D32" s="1044"/>
      <c r="E32">
        <f>+B32</f>
        <v>23</v>
      </c>
    </row>
    <row r="33" spans="1:7">
      <c r="A33" s="1041" t="s">
        <v>1226</v>
      </c>
      <c r="B33" s="1032">
        <v>2</v>
      </c>
      <c r="C33" s="1032"/>
      <c r="D33" s="1044"/>
      <c r="E33">
        <f>+B33</f>
        <v>2</v>
      </c>
    </row>
    <row r="34" spans="1:7" ht="15.75">
      <c r="A34" s="1041" t="s">
        <v>1227</v>
      </c>
      <c r="B34" s="1042">
        <v>76</v>
      </c>
      <c r="C34" s="1032"/>
      <c r="D34" s="1044"/>
    </row>
    <row r="35" spans="1:7">
      <c r="A35" s="1041" t="s">
        <v>1228</v>
      </c>
      <c r="B35" s="1032">
        <v>11</v>
      </c>
      <c r="C35" s="1032"/>
      <c r="D35" s="1044">
        <f>+B35/12</f>
        <v>0.91666666666666663</v>
      </c>
    </row>
    <row r="36" spans="1:7">
      <c r="A36" s="1041" t="s">
        <v>1229</v>
      </c>
      <c r="B36" s="1032">
        <v>5</v>
      </c>
      <c r="C36" s="1032"/>
      <c r="D36" s="1044">
        <f>+B36/12</f>
        <v>0.41666666666666669</v>
      </c>
    </row>
    <row r="37" spans="1:7" ht="15.75">
      <c r="A37" s="1041" t="s">
        <v>1230</v>
      </c>
      <c r="B37" s="1042">
        <v>1</v>
      </c>
      <c r="C37" s="1032"/>
      <c r="D37" s="1044"/>
    </row>
    <row r="38" spans="1:7">
      <c r="B38" s="1032"/>
      <c r="C38" s="1032"/>
      <c r="D38" s="1032"/>
    </row>
    <row r="39" spans="1:7" ht="18.75">
      <c r="A39" s="1046" t="s">
        <v>1083</v>
      </c>
    </row>
    <row r="40" spans="1:7">
      <c r="A40" s="1047" t="s">
        <v>1231</v>
      </c>
      <c r="B40" s="1032">
        <v>8</v>
      </c>
      <c r="C40" s="1032"/>
      <c r="D40" s="1032"/>
      <c r="E40">
        <f>+B40</f>
        <v>8</v>
      </c>
    </row>
    <row r="41" spans="1:7">
      <c r="A41" s="1047" t="s">
        <v>1232</v>
      </c>
      <c r="B41" s="1032">
        <v>14</v>
      </c>
      <c r="C41" s="1032">
        <f>+B41</f>
        <v>14</v>
      </c>
      <c r="D41" s="1044">
        <f>+(C41+C42)/12</f>
        <v>2.0833333333333335</v>
      </c>
    </row>
    <row r="42" spans="1:7">
      <c r="A42" s="1047" t="s">
        <v>1233</v>
      </c>
      <c r="B42" s="1032">
        <v>11</v>
      </c>
      <c r="C42" s="1032">
        <f>+B42</f>
        <v>11</v>
      </c>
      <c r="D42" s="1044"/>
    </row>
    <row r="43" spans="1:7">
      <c r="A43" s="1047" t="s">
        <v>1234</v>
      </c>
      <c r="B43" s="1032">
        <v>223</v>
      </c>
      <c r="C43" s="1032"/>
      <c r="D43" s="1032"/>
      <c r="F43">
        <f>+B43</f>
        <v>223</v>
      </c>
    </row>
    <row r="44" spans="1:7">
      <c r="A44" s="1047" t="s">
        <v>1235</v>
      </c>
      <c r="B44" s="1032">
        <v>135</v>
      </c>
      <c r="C44" s="1032"/>
      <c r="D44" s="1032"/>
      <c r="G44">
        <f>+B44</f>
        <v>135</v>
      </c>
    </row>
    <row r="45" spans="1:7">
      <c r="A45" s="1047" t="s">
        <v>1236</v>
      </c>
      <c r="B45" s="1032">
        <v>301</v>
      </c>
      <c r="C45" s="1032"/>
      <c r="D45" s="1032"/>
      <c r="F45">
        <f>+B45</f>
        <v>301</v>
      </c>
    </row>
    <row r="46" spans="1:7">
      <c r="A46" s="1047" t="s">
        <v>1237</v>
      </c>
      <c r="B46" s="1032">
        <v>24</v>
      </c>
      <c r="C46" s="1032"/>
      <c r="D46" s="1032"/>
      <c r="E46">
        <f>+B46</f>
        <v>24</v>
      </c>
    </row>
    <row r="47" spans="1:7">
      <c r="A47" s="1047" t="s">
        <v>1238</v>
      </c>
      <c r="B47" s="1032">
        <v>10</v>
      </c>
      <c r="C47" s="1032"/>
      <c r="D47" s="1032"/>
      <c r="F47">
        <f>+B47</f>
        <v>10</v>
      </c>
    </row>
    <row r="48" spans="1:7">
      <c r="A48" s="1047" t="s">
        <v>1239</v>
      </c>
      <c r="B48" s="1032">
        <v>190</v>
      </c>
      <c r="C48" s="1032"/>
      <c r="D48" s="1032"/>
      <c r="G48">
        <f>+B48</f>
        <v>190</v>
      </c>
    </row>
    <row r="49" spans="1:9">
      <c r="A49" s="1047" t="s">
        <v>1240</v>
      </c>
      <c r="B49" s="1032">
        <v>2</v>
      </c>
      <c r="C49" s="1032"/>
      <c r="D49" s="1032"/>
      <c r="E49">
        <f>+B49</f>
        <v>2</v>
      </c>
    </row>
    <row r="50" spans="1:9">
      <c r="C50" s="365"/>
      <c r="D50" s="365"/>
      <c r="E50" s="365">
        <f>SUM(E32:E49)</f>
        <v>59</v>
      </c>
      <c r="F50" s="365">
        <f>SUM(F32:F49)</f>
        <v>534</v>
      </c>
      <c r="G50" s="365">
        <f>SUM(G44:G49)</f>
        <v>325</v>
      </c>
      <c r="H50" s="365"/>
    </row>
    <row r="51" spans="1:9">
      <c r="A51" s="1048" t="s">
        <v>1241</v>
      </c>
      <c r="B51" s="1049">
        <v>60.470000000000255</v>
      </c>
      <c r="E51" s="1044">
        <f>+E50/12</f>
        <v>4.916666666666667</v>
      </c>
      <c r="F51" s="1044">
        <f>+F50/12</f>
        <v>44.5</v>
      </c>
      <c r="G51" s="1044">
        <f>+G50/12</f>
        <v>27.083333333333332</v>
      </c>
      <c r="H51" s="1044">
        <f>SUM(H4:H37)</f>
        <v>272</v>
      </c>
      <c r="I51" t="s">
        <v>1242</v>
      </c>
    </row>
    <row r="52" spans="1:9">
      <c r="B52" s="1049"/>
    </row>
    <row r="53" spans="1:9">
      <c r="B53" s="1049"/>
    </row>
    <row r="54" spans="1:9">
      <c r="A54" s="1050" t="s">
        <v>1243</v>
      </c>
      <c r="B54" s="1049">
        <v>112.77</v>
      </c>
    </row>
    <row r="55" spans="1:9">
      <c r="A55" s="1051" t="s">
        <v>1244</v>
      </c>
      <c r="B55" s="1049">
        <v>2682.95</v>
      </c>
    </row>
    <row r="56" spans="1:9">
      <c r="A56" s="1051" t="s">
        <v>1245</v>
      </c>
      <c r="B56" s="1049">
        <v>-2155.52</v>
      </c>
    </row>
    <row r="57" spans="1:9">
      <c r="A57" s="1050" t="s">
        <v>1246</v>
      </c>
      <c r="B57" s="1049">
        <v>551.09</v>
      </c>
    </row>
    <row r="58" spans="1:9">
      <c r="A58" s="1052"/>
      <c r="B58" s="1049"/>
    </row>
    <row r="59" spans="1:9">
      <c r="A59" s="1050" t="s">
        <v>1247</v>
      </c>
      <c r="B59" s="1049">
        <v>705.1400000000001</v>
      </c>
    </row>
    <row r="60" spans="1:9">
      <c r="A60" s="1051" t="s">
        <v>1248</v>
      </c>
      <c r="B60" s="1049">
        <v>685.33</v>
      </c>
    </row>
    <row r="61" spans="1:9">
      <c r="A61" s="1050" t="s">
        <v>1249</v>
      </c>
      <c r="B61" s="1049">
        <v>52.88</v>
      </c>
    </row>
  </sheetData>
  <mergeCells count="6">
    <mergeCell ref="C1:C3"/>
    <mergeCell ref="D1:D3"/>
    <mergeCell ref="E1:E3"/>
    <mergeCell ref="G1:G3"/>
    <mergeCell ref="H1:H3"/>
    <mergeCell ref="F1:F3"/>
  </mergeCells>
  <pageMargins left="0.7" right="0.7" top="0.75" bottom="0.75" header="0.3" footer="0.3"/>
  <pageSetup scale="69" orientation="portrait" r:id="rId1"/>
  <colBreaks count="1" manualBreakCount="1">
    <brk id="8"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L40"/>
  <sheetViews>
    <sheetView zoomScaleNormal="100" workbookViewId="0">
      <selection sqref="A1:G1"/>
    </sheetView>
  </sheetViews>
  <sheetFormatPr defaultRowHeight="15.75"/>
  <cols>
    <col min="1" max="1" width="23.33203125" style="241" customWidth="1"/>
    <col min="2" max="2" width="3.5546875" style="241" customWidth="1"/>
    <col min="3" max="3" width="10.5546875" style="241" customWidth="1"/>
    <col min="4" max="4" width="1.77734375" style="265" customWidth="1"/>
    <col min="5" max="5" width="15.44140625" style="241" customWidth="1"/>
    <col min="6" max="6" width="1.44140625" style="241" customWidth="1"/>
    <col min="7" max="7" width="11" style="241" bestFit="1" customWidth="1"/>
    <col min="8" max="8" width="10.44140625" style="241" customWidth="1"/>
    <col min="9" max="9" width="8.88671875" style="322"/>
    <col min="10" max="16384" width="8.88671875" style="241"/>
  </cols>
  <sheetData>
    <row r="1" spans="1:11">
      <c r="A1" s="1371" t="str">
        <f>+'WP-5 - Capital Structure'!A1:H1</f>
        <v>WASTE CONTROL, INC.</v>
      </c>
      <c r="B1" s="1372"/>
      <c r="C1" s="1372"/>
      <c r="D1" s="1372"/>
      <c r="E1" s="1372"/>
      <c r="F1" s="1372"/>
      <c r="G1" s="1372"/>
    </row>
    <row r="2" spans="1:11">
      <c r="A2" s="51"/>
      <c r="B2" s="52"/>
      <c r="C2" s="52"/>
      <c r="D2" s="52"/>
      <c r="E2" s="50"/>
      <c r="F2" s="52"/>
      <c r="G2" s="50"/>
    </row>
    <row r="3" spans="1:11">
      <c r="A3" s="1372" t="s">
        <v>1008</v>
      </c>
      <c r="B3" s="1372"/>
      <c r="C3" s="1372"/>
      <c r="D3" s="1372"/>
      <c r="E3" s="1372"/>
      <c r="F3" s="1372"/>
      <c r="G3" s="1372"/>
    </row>
    <row r="4" spans="1:11">
      <c r="A4" s="56"/>
      <c r="B4" s="56"/>
      <c r="C4" s="56"/>
      <c r="D4" s="55"/>
      <c r="E4" s="56"/>
      <c r="F4" s="56"/>
      <c r="G4" s="56"/>
    </row>
    <row r="5" spans="1:11">
      <c r="A5" s="1373" t="str">
        <f>'WP-6 - Affiliated '!A5:G5</f>
        <v>In Support of Tariff 19 effective September 7, 2018</v>
      </c>
      <c r="B5" s="1373"/>
      <c r="C5" s="1373"/>
      <c r="D5" s="1373"/>
      <c r="E5" s="1373"/>
      <c r="F5" s="1373"/>
      <c r="G5" s="1373"/>
    </row>
    <row r="6" spans="1:11">
      <c r="I6" s="744"/>
    </row>
    <row r="7" spans="1:11">
      <c r="K7" s="744"/>
    </row>
    <row r="8" spans="1:11">
      <c r="A8" s="242"/>
      <c r="B8" s="242"/>
      <c r="C8" s="270" t="s">
        <v>464</v>
      </c>
      <c r="D8" s="271"/>
      <c r="E8" s="272"/>
      <c r="F8" s="273"/>
      <c r="G8" s="1368" t="s">
        <v>944</v>
      </c>
      <c r="H8" s="1368"/>
    </row>
    <row r="9" spans="1:11">
      <c r="A9" s="242"/>
      <c r="B9" s="242"/>
      <c r="C9" s="270" t="s">
        <v>70</v>
      </c>
      <c r="D9" s="271"/>
      <c r="E9" s="274" t="s">
        <v>70</v>
      </c>
      <c r="F9" s="273"/>
      <c r="G9" s="1369" t="s">
        <v>394</v>
      </c>
      <c r="H9" s="1369"/>
      <c r="I9" s="607"/>
    </row>
    <row r="10" spans="1:11">
      <c r="A10" s="242"/>
      <c r="B10" s="242"/>
      <c r="C10" s="275" t="s">
        <v>200</v>
      </c>
      <c r="D10" s="276"/>
      <c r="E10" s="277" t="s">
        <v>395</v>
      </c>
      <c r="F10" s="278"/>
      <c r="G10" s="1370" t="s">
        <v>995</v>
      </c>
      <c r="H10" s="1370"/>
      <c r="I10" s="612"/>
    </row>
    <row r="11" spans="1:11">
      <c r="A11" s="611">
        <v>42826</v>
      </c>
      <c r="B11" s="242"/>
      <c r="C11" s="772">
        <v>5640.85</v>
      </c>
      <c r="D11" s="266"/>
      <c r="E11" s="244">
        <v>16965.78</v>
      </c>
      <c r="F11" s="245"/>
      <c r="G11" s="246">
        <f t="shared" ref="G11:G25" si="0">+E11/C11</f>
        <v>3.0076637386209519</v>
      </c>
      <c r="H11" s="243" t="s">
        <v>396</v>
      </c>
      <c r="I11" s="744"/>
    </row>
    <row r="12" spans="1:11">
      <c r="A12" s="611">
        <v>42856</v>
      </c>
      <c r="B12" s="242"/>
      <c r="C12" s="772">
        <v>6574.42</v>
      </c>
      <c r="D12" s="266"/>
      <c r="E12" s="244">
        <v>19697.11</v>
      </c>
      <c r="F12" s="245"/>
      <c r="G12" s="246">
        <f t="shared" si="0"/>
        <v>2.9960224628180128</v>
      </c>
      <c r="H12" s="243" t="s">
        <v>396</v>
      </c>
      <c r="I12" s="744"/>
    </row>
    <row r="13" spans="1:11">
      <c r="A13" s="611">
        <v>42887</v>
      </c>
      <c r="B13" s="242"/>
      <c r="C13" s="772">
        <v>6446.1</v>
      </c>
      <c r="D13" s="266"/>
      <c r="E13" s="244">
        <v>19173.97</v>
      </c>
      <c r="F13" s="245"/>
      <c r="G13" s="246">
        <f t="shared" si="0"/>
        <v>2.9745070662881434</v>
      </c>
      <c r="H13" s="243" t="s">
        <v>396</v>
      </c>
      <c r="I13" s="605"/>
    </row>
    <row r="14" spans="1:11">
      <c r="A14" s="611">
        <v>42917</v>
      </c>
      <c r="B14" s="242"/>
      <c r="C14" s="772">
        <v>6242.04</v>
      </c>
      <c r="D14" s="266"/>
      <c r="E14" s="244">
        <v>18179.57</v>
      </c>
      <c r="F14" s="245"/>
      <c r="G14" s="246">
        <f t="shared" si="0"/>
        <v>2.9124404842006779</v>
      </c>
      <c r="H14" s="243" t="s">
        <v>396</v>
      </c>
      <c r="I14" s="605"/>
    </row>
    <row r="15" spans="1:11">
      <c r="A15" s="611">
        <v>42948</v>
      </c>
      <c r="B15" s="242"/>
      <c r="C15" s="772">
        <v>6656.39</v>
      </c>
      <c r="D15" s="266"/>
      <c r="E15" s="244">
        <v>20648.11</v>
      </c>
      <c r="F15" s="245"/>
      <c r="G15" s="246">
        <f t="shared" si="0"/>
        <v>3.1019982302719642</v>
      </c>
      <c r="H15" s="243" t="s">
        <v>396</v>
      </c>
      <c r="I15" s="605"/>
    </row>
    <row r="16" spans="1:11">
      <c r="A16" s="611">
        <v>42979</v>
      </c>
      <c r="B16" s="242"/>
      <c r="C16" s="772">
        <v>5749.48</v>
      </c>
      <c r="D16" s="266"/>
      <c r="E16" s="244">
        <v>18979.18</v>
      </c>
      <c r="F16" s="245"/>
      <c r="G16" s="246">
        <f t="shared" si="0"/>
        <v>3.3010254840437745</v>
      </c>
      <c r="H16" s="243" t="s">
        <v>396</v>
      </c>
      <c r="I16" s="605"/>
    </row>
    <row r="17" spans="1:12">
      <c r="A17" s="611">
        <v>43009</v>
      </c>
      <c r="B17" s="242"/>
      <c r="C17" s="772">
        <v>6352.16</v>
      </c>
      <c r="D17" s="266"/>
      <c r="E17" s="244">
        <v>20462.32</v>
      </c>
      <c r="F17" s="245"/>
      <c r="G17" s="246">
        <f t="shared" si="0"/>
        <v>3.2213168434044483</v>
      </c>
      <c r="H17" s="243" t="s">
        <v>396</v>
      </c>
      <c r="I17" s="605"/>
    </row>
    <row r="18" spans="1:12">
      <c r="A18" s="611">
        <v>43040</v>
      </c>
      <c r="B18" s="242"/>
      <c r="C18" s="772">
        <v>6362.68</v>
      </c>
      <c r="D18" s="266"/>
      <c r="E18" s="244">
        <v>21982.91</v>
      </c>
      <c r="F18" s="245"/>
      <c r="G18" s="246">
        <f t="shared" si="0"/>
        <v>3.4549765193283331</v>
      </c>
      <c r="H18" s="243" t="s">
        <v>396</v>
      </c>
      <c r="I18" s="605"/>
    </row>
    <row r="19" spans="1:12">
      <c r="A19" s="611">
        <v>43070</v>
      </c>
      <c r="B19" s="242"/>
      <c r="C19" s="772">
        <v>5443.96</v>
      </c>
      <c r="D19" s="266"/>
      <c r="E19" s="244">
        <v>19544.52</v>
      </c>
      <c r="F19" s="245"/>
      <c r="G19" s="246">
        <f t="shared" si="0"/>
        <v>3.5901292441531534</v>
      </c>
      <c r="H19" s="243" t="s">
        <v>396</v>
      </c>
      <c r="I19" s="605"/>
    </row>
    <row r="20" spans="1:12">
      <c r="A20" s="611">
        <v>43101</v>
      </c>
      <c r="B20" s="242"/>
      <c r="C20" s="773">
        <v>5803.88</v>
      </c>
      <c r="D20" s="267"/>
      <c r="E20" s="244">
        <v>19694.23</v>
      </c>
      <c r="F20" s="245"/>
      <c r="G20" s="246">
        <f t="shared" si="0"/>
        <v>3.3932869046224248</v>
      </c>
      <c r="H20" s="243" t="s">
        <v>396</v>
      </c>
      <c r="I20" s="605"/>
    </row>
    <row r="21" spans="1:12">
      <c r="A21" s="741">
        <v>43132</v>
      </c>
      <c r="B21" s="242"/>
      <c r="C21" s="773">
        <v>5484.31</v>
      </c>
      <c r="D21" s="267"/>
      <c r="E21" s="244">
        <v>18385.759999999998</v>
      </c>
      <c r="F21" s="245"/>
      <c r="G21" s="246">
        <f t="shared" si="0"/>
        <v>3.3524290202413791</v>
      </c>
      <c r="H21" s="243" t="s">
        <v>396</v>
      </c>
      <c r="I21" s="605"/>
    </row>
    <row r="22" spans="1:12" ht="18" customHeight="1">
      <c r="A22" s="741">
        <v>43160</v>
      </c>
      <c r="B22" s="266"/>
      <c r="C22" s="774">
        <v>5127.3999999999996</v>
      </c>
      <c r="D22" s="268"/>
      <c r="E22" s="608">
        <v>18368.02</v>
      </c>
      <c r="F22" s="745"/>
      <c r="G22" s="246">
        <f t="shared" si="0"/>
        <v>3.5823263252330619</v>
      </c>
      <c r="H22" s="609" t="s">
        <v>396</v>
      </c>
      <c r="I22" s="610"/>
    </row>
    <row r="23" spans="1:12" ht="18" customHeight="1">
      <c r="A23" s="741">
        <v>43191</v>
      </c>
      <c r="B23" s="266"/>
      <c r="C23" s="774">
        <v>5248.82</v>
      </c>
      <c r="D23" s="268"/>
      <c r="E23" s="608">
        <v>19836.03</v>
      </c>
      <c r="F23" s="745"/>
      <c r="G23" s="246">
        <f t="shared" si="0"/>
        <v>3.7791408354639708</v>
      </c>
      <c r="H23" s="609" t="s">
        <v>396</v>
      </c>
      <c r="I23" s="790"/>
    </row>
    <row r="24" spans="1:12" ht="18" customHeight="1">
      <c r="A24" s="741">
        <v>43221</v>
      </c>
      <c r="B24" s="266"/>
      <c r="C24" s="774">
        <v>5888.04</v>
      </c>
      <c r="D24" s="268"/>
      <c r="E24" s="608">
        <v>23651.01</v>
      </c>
      <c r="F24" s="745"/>
      <c r="G24" s="246">
        <f t="shared" si="0"/>
        <v>4.0167882691014327</v>
      </c>
      <c r="H24" s="609" t="s">
        <v>396</v>
      </c>
      <c r="I24" s="744"/>
    </row>
    <row r="25" spans="1:12" ht="18" customHeight="1">
      <c r="A25" s="736">
        <v>43252</v>
      </c>
      <c r="B25" s="737"/>
      <c r="C25" s="831">
        <v>6168.47</v>
      </c>
      <c r="D25" s="738"/>
      <c r="E25" s="247">
        <v>24303.69</v>
      </c>
      <c r="F25" s="739"/>
      <c r="G25" s="830">
        <f t="shared" si="0"/>
        <v>3.9399867390130776</v>
      </c>
      <c r="H25" s="740" t="s">
        <v>396</v>
      </c>
      <c r="I25" s="610"/>
    </row>
    <row r="26" spans="1:12" ht="6" customHeight="1">
      <c r="A26" s="242"/>
      <c r="B26" s="242"/>
      <c r="C26" s="268"/>
      <c r="D26" s="268"/>
      <c r="E26" s="608"/>
      <c r="F26" s="245"/>
      <c r="G26" s="246"/>
      <c r="H26" s="243"/>
      <c r="I26" s="604"/>
    </row>
    <row r="27" spans="1:12" ht="16.5" thickBot="1">
      <c r="C27" s="775">
        <f>SUM(C14:C25)</f>
        <v>70527.62999999999</v>
      </c>
      <c r="E27" s="248"/>
      <c r="F27" s="243"/>
      <c r="I27" s="606"/>
    </row>
    <row r="28" spans="1:12" ht="16.5" thickTop="1">
      <c r="A28" s="242" t="s">
        <v>397</v>
      </c>
      <c r="B28" s="242"/>
      <c r="C28" s="242"/>
      <c r="D28" s="266"/>
      <c r="E28" s="244">
        <f>+G28*C27</f>
        <v>244765.22833996158</v>
      </c>
      <c r="F28" s="245"/>
      <c r="G28" s="829">
        <f>AVERAGE(G14:G25)</f>
        <v>3.4704870749231418</v>
      </c>
      <c r="H28" s="325" t="s">
        <v>721</v>
      </c>
      <c r="I28" s="324"/>
      <c r="J28" s="323"/>
      <c r="K28" s="323"/>
      <c r="L28" s="323"/>
    </row>
    <row r="29" spans="1:12">
      <c r="A29" s="242" t="s">
        <v>652</v>
      </c>
      <c r="B29" s="242"/>
      <c r="C29" s="242"/>
      <c r="D29" s="266"/>
      <c r="E29" s="247">
        <v>27610.39</v>
      </c>
      <c r="F29" s="789"/>
      <c r="G29" s="245"/>
      <c r="H29" s="243"/>
      <c r="I29" s="324"/>
      <c r="J29" s="323"/>
      <c r="K29" s="327"/>
      <c r="L29" s="327"/>
    </row>
    <row r="30" spans="1:12">
      <c r="A30" s="242" t="s">
        <v>398</v>
      </c>
      <c r="B30" s="242"/>
      <c r="C30" s="242"/>
      <c r="D30" s="266"/>
      <c r="E30" s="244">
        <f>SUM(E28:E29)</f>
        <v>272375.61833996157</v>
      </c>
      <c r="F30" s="245"/>
      <c r="G30" s="245"/>
      <c r="H30" s="243"/>
      <c r="I30" s="324"/>
      <c r="J30" s="323"/>
      <c r="K30" s="323"/>
      <c r="L30" s="327"/>
    </row>
    <row r="31" spans="1:12">
      <c r="E31" s="248"/>
      <c r="F31" s="243"/>
      <c r="G31" s="243"/>
      <c r="H31" s="243"/>
      <c r="I31" s="324"/>
      <c r="J31" s="323"/>
      <c r="K31" s="323"/>
      <c r="L31" s="375"/>
    </row>
    <row r="32" spans="1:12">
      <c r="A32" s="242" t="s">
        <v>94</v>
      </c>
      <c r="B32" s="242"/>
      <c r="C32" s="242"/>
      <c r="D32" s="266"/>
      <c r="E32" s="247">
        <f>-Operations!C36</f>
        <v>-232235.77999999997</v>
      </c>
      <c r="F32" s="245"/>
      <c r="G32" s="245"/>
      <c r="H32" s="243"/>
      <c r="I32" s="324"/>
      <c r="J32" s="323"/>
      <c r="K32" s="323"/>
      <c r="L32" s="323"/>
    </row>
    <row r="33" spans="1:12">
      <c r="J33" s="328"/>
      <c r="K33" s="328"/>
      <c r="L33" s="376"/>
    </row>
    <row r="34" spans="1:12" ht="16.5" thickBot="1">
      <c r="A34" s="249" t="s">
        <v>399</v>
      </c>
      <c r="B34" s="249"/>
      <c r="C34" s="249"/>
      <c r="D34" s="269"/>
      <c r="E34" s="250">
        <f>+E30+E32</f>
        <v>40139.8383399616</v>
      </c>
      <c r="F34" s="242"/>
      <c r="G34" s="242"/>
      <c r="J34" s="323"/>
      <c r="K34" s="323"/>
      <c r="L34" s="323"/>
    </row>
    <row r="35" spans="1:12" ht="16.5" thickTop="1">
      <c r="A35" s="329"/>
      <c r="B35" s="330"/>
      <c r="C35" s="330"/>
      <c r="D35" s="331"/>
      <c r="E35" s="330"/>
      <c r="F35" s="330"/>
      <c r="G35" s="330"/>
      <c r="J35" s="323"/>
      <c r="K35" s="323"/>
      <c r="L35" s="323"/>
    </row>
    <row r="36" spans="1:12" s="322" customFormat="1">
      <c r="A36" s="330"/>
      <c r="B36" s="330"/>
      <c r="C36" s="332"/>
      <c r="D36" s="330"/>
      <c r="E36" s="332"/>
      <c r="F36" s="330"/>
      <c r="G36" s="333"/>
      <c r="J36" s="323"/>
      <c r="K36" s="323"/>
      <c r="L36" s="323"/>
    </row>
    <row r="37" spans="1:12" s="322" customFormat="1">
      <c r="A37" s="330"/>
      <c r="B37" s="330"/>
      <c r="C37" s="332"/>
      <c r="D37" s="330"/>
      <c r="E37" s="332"/>
      <c r="F37" s="330"/>
      <c r="G37" s="333"/>
      <c r="J37" s="323"/>
      <c r="K37" s="323"/>
      <c r="L37" s="323"/>
    </row>
    <row r="38" spans="1:12" s="322" customFormat="1">
      <c r="A38" s="330"/>
      <c r="B38" s="330"/>
      <c r="C38" s="332"/>
      <c r="D38" s="330"/>
      <c r="E38" s="332"/>
      <c r="F38" s="330"/>
      <c r="G38" s="333"/>
      <c r="I38" s="326"/>
      <c r="J38" s="323"/>
      <c r="K38" s="323"/>
      <c r="L38" s="323"/>
    </row>
    <row r="39" spans="1:12" s="322" customFormat="1">
      <c r="A39" s="330"/>
      <c r="B39" s="330"/>
      <c r="C39" s="330"/>
      <c r="D39" s="331"/>
      <c r="E39" s="330"/>
      <c r="F39" s="330"/>
      <c r="G39" s="330"/>
    </row>
    <row r="40" spans="1:12">
      <c r="J40" s="322"/>
      <c r="K40" s="322"/>
      <c r="L40" s="322"/>
    </row>
  </sheetData>
  <mergeCells count="6">
    <mergeCell ref="G8:H8"/>
    <mergeCell ref="G9:H9"/>
    <mergeCell ref="G10:H10"/>
    <mergeCell ref="A1:G1"/>
    <mergeCell ref="A3:G3"/>
    <mergeCell ref="A5:G5"/>
  </mergeCells>
  <printOptions horizontalCentered="1"/>
  <pageMargins left="0.7" right="0.7" top="0.75" bottom="0.75" header="0.3" footer="0.3"/>
  <pageSetup scale="99"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30"/>
  <sheetViews>
    <sheetView zoomScaleNormal="100" workbookViewId="0">
      <selection sqref="A1:H1"/>
    </sheetView>
  </sheetViews>
  <sheetFormatPr defaultRowHeight="24.95" customHeight="1"/>
  <cols>
    <col min="1" max="1" width="14.77734375" style="340" customWidth="1"/>
    <col min="2" max="2" width="9.109375" style="340" customWidth="1"/>
    <col min="3" max="3" width="10.109375" style="340" bestFit="1" customWidth="1"/>
    <col min="4" max="4" width="8.5546875" style="340" bestFit="1" customWidth="1"/>
    <col min="5" max="5" width="7" style="340" bestFit="1" customWidth="1"/>
    <col min="6" max="7" width="8.5546875" style="340" bestFit="1" customWidth="1"/>
    <col min="8" max="9" width="9" style="340" bestFit="1" customWidth="1"/>
    <col min="10" max="10" width="7.44140625" style="340" bestFit="1" customWidth="1"/>
    <col min="11" max="11" width="7.88671875" style="340" bestFit="1" customWidth="1"/>
    <col min="12" max="12" width="8.77734375" style="340" bestFit="1" customWidth="1"/>
    <col min="13" max="13" width="7.44140625" style="340" bestFit="1" customWidth="1"/>
    <col min="14" max="16384" width="8.88671875" style="340"/>
  </cols>
  <sheetData>
    <row r="1" spans="1:15" ht="24.95" customHeight="1">
      <c r="A1" s="1371" t="str">
        <f>'WP-8 - Fuel'!A1:G1</f>
        <v>WASTE CONTROL, INC.</v>
      </c>
      <c r="B1" s="1371"/>
      <c r="C1" s="1371"/>
      <c r="D1" s="1371"/>
      <c r="E1" s="1371"/>
      <c r="F1" s="1371"/>
      <c r="G1" s="1371"/>
      <c r="H1" s="1371"/>
    </row>
    <row r="2" spans="1:15" ht="5.0999999999999996" customHeight="1">
      <c r="A2" s="51"/>
      <c r="B2" s="52"/>
      <c r="C2" s="52"/>
      <c r="D2" s="52"/>
      <c r="E2" s="50"/>
      <c r="F2" s="52"/>
      <c r="G2" s="50"/>
      <c r="H2" s="373"/>
      <c r="I2" s="373"/>
      <c r="J2" s="373"/>
      <c r="K2" s="366"/>
      <c r="L2" s="366"/>
      <c r="M2" s="366"/>
    </row>
    <row r="3" spans="1:15" ht="24.95" customHeight="1">
      <c r="A3" s="1372" t="s">
        <v>1009</v>
      </c>
      <c r="B3" s="1372"/>
      <c r="C3" s="1372"/>
      <c r="D3" s="1372"/>
      <c r="E3" s="1372"/>
      <c r="F3" s="1372"/>
      <c r="G3" s="1372"/>
      <c r="H3" s="1372"/>
      <c r="I3" s="367"/>
      <c r="J3" s="367"/>
      <c r="K3" s="367"/>
      <c r="L3" s="367"/>
      <c r="M3" s="367"/>
    </row>
    <row r="4" spans="1:15" ht="5.0999999999999996" customHeight="1">
      <c r="A4" s="56"/>
      <c r="B4" s="56"/>
      <c r="C4" s="56"/>
      <c r="D4" s="55"/>
      <c r="E4" s="56"/>
      <c r="F4" s="56"/>
      <c r="G4" s="56"/>
      <c r="H4" s="368"/>
      <c r="I4" s="368"/>
      <c r="J4" s="368"/>
      <c r="K4" s="368"/>
      <c r="L4" s="367"/>
      <c r="M4" s="367"/>
    </row>
    <row r="5" spans="1:15" ht="24.95" customHeight="1">
      <c r="A5" s="1373" t="str">
        <f>'WP-8 - Fuel'!$A$5</f>
        <v>In Support of Tariff 19 effective September 7, 2018</v>
      </c>
      <c r="B5" s="1373"/>
      <c r="C5" s="1373"/>
      <c r="D5" s="1373"/>
      <c r="E5" s="1373"/>
      <c r="F5" s="1373"/>
      <c r="G5" s="1373"/>
      <c r="H5" s="1373"/>
      <c r="I5" s="368"/>
      <c r="J5" s="368"/>
      <c r="K5" s="368"/>
      <c r="L5" s="367"/>
      <c r="M5" s="367"/>
    </row>
    <row r="6" spans="1:15" ht="87" customHeight="1">
      <c r="A6" s="1374" t="s">
        <v>1041</v>
      </c>
      <c r="B6" s="1374"/>
      <c r="C6" s="1374"/>
      <c r="D6" s="1374"/>
      <c r="E6" s="1374"/>
      <c r="F6" s="1374"/>
      <c r="G6" s="1374"/>
      <c r="H6" s="1374"/>
      <c r="I6" s="370"/>
      <c r="J6" s="370"/>
      <c r="K6" s="370"/>
      <c r="L6" s="370"/>
      <c r="M6" s="370"/>
      <c r="N6" s="355"/>
      <c r="O6" s="355"/>
    </row>
    <row r="7" spans="1:15" ht="20.100000000000001" customHeight="1">
      <c r="A7" s="1375"/>
      <c r="B7" s="1376" t="s">
        <v>1040</v>
      </c>
      <c r="C7" s="1376"/>
      <c r="D7" s="367"/>
      <c r="E7" s="367"/>
      <c r="F7" s="367"/>
      <c r="G7" s="367"/>
      <c r="H7" s="370"/>
      <c r="I7" s="370"/>
      <c r="J7" s="370"/>
      <c r="K7" s="370"/>
      <c r="L7" s="370"/>
      <c r="M7" s="370"/>
      <c r="N7" s="355"/>
      <c r="O7" s="355"/>
    </row>
    <row r="8" spans="1:15" ht="20.100000000000001" customHeight="1">
      <c r="A8" s="1375"/>
      <c r="B8" s="1376"/>
      <c r="C8" s="1376"/>
      <c r="D8" s="368"/>
      <c r="E8" s="368"/>
      <c r="F8" s="368"/>
      <c r="G8" s="368"/>
      <c r="H8" s="370"/>
      <c r="I8" s="370"/>
      <c r="J8" s="370"/>
      <c r="K8" s="370"/>
      <c r="L8" s="370"/>
      <c r="M8" s="370"/>
      <c r="N8" s="355"/>
      <c r="O8" s="355"/>
    </row>
    <row r="9" spans="1:15" ht="24.95" customHeight="1">
      <c r="A9" s="803" t="s">
        <v>1016</v>
      </c>
      <c r="B9" s="1377">
        <v>8624.4599999999991</v>
      </c>
      <c r="C9" s="1377"/>
      <c r="D9" s="370"/>
      <c r="E9" s="370"/>
      <c r="F9" s="370"/>
      <c r="G9" s="370"/>
      <c r="H9" s="370"/>
      <c r="I9" s="370"/>
      <c r="J9" s="370"/>
      <c r="K9" s="370"/>
      <c r="L9" s="370"/>
      <c r="M9" s="370"/>
      <c r="N9" s="355"/>
      <c r="O9" s="355"/>
    </row>
    <row r="10" spans="1:15" ht="24.95" customHeight="1">
      <c r="A10" s="804" t="s">
        <v>1017</v>
      </c>
      <c r="B10" s="1377">
        <v>6920.98</v>
      </c>
      <c r="C10" s="1377"/>
      <c r="D10" s="370"/>
      <c r="E10" s="370"/>
      <c r="F10" s="370"/>
      <c r="G10" s="370"/>
      <c r="H10" s="370"/>
      <c r="I10" s="370"/>
      <c r="J10" s="370"/>
      <c r="K10" s="370"/>
      <c r="L10" s="370"/>
      <c r="M10" s="370"/>
      <c r="N10" s="355"/>
      <c r="O10" s="355"/>
    </row>
    <row r="11" spans="1:15" ht="24.95" customHeight="1">
      <c r="A11" s="804" t="s">
        <v>1018</v>
      </c>
      <c r="B11" s="1377">
        <v>3301.51</v>
      </c>
      <c r="C11" s="1377"/>
      <c r="D11" s="370"/>
      <c r="E11" s="370"/>
      <c r="F11" s="370"/>
      <c r="G11" s="370"/>
      <c r="H11" s="370"/>
      <c r="I11" s="370"/>
      <c r="J11" s="370"/>
      <c r="K11" s="370"/>
      <c r="L11" s="370"/>
      <c r="M11" s="370"/>
      <c r="N11" s="355"/>
      <c r="O11" s="355"/>
    </row>
    <row r="12" spans="1:15" ht="24.95" customHeight="1">
      <c r="A12" s="804" t="s">
        <v>1019</v>
      </c>
      <c r="B12" s="1377">
        <v>2808.25</v>
      </c>
      <c r="C12" s="1377"/>
      <c r="D12" s="370"/>
      <c r="E12" s="370"/>
      <c r="F12" s="370"/>
      <c r="G12" s="370"/>
      <c r="H12" s="370"/>
      <c r="I12" s="370"/>
      <c r="J12" s="370"/>
      <c r="K12" s="370"/>
      <c r="L12" s="370"/>
      <c r="M12" s="370"/>
      <c r="N12" s="355"/>
      <c r="O12" s="355"/>
    </row>
    <row r="13" spans="1:15" ht="24.95" customHeight="1">
      <c r="A13" s="804" t="s">
        <v>1020</v>
      </c>
      <c r="B13" s="1377">
        <v>2004.21</v>
      </c>
      <c r="C13" s="1377"/>
      <c r="D13" s="370"/>
      <c r="E13" s="370"/>
      <c r="F13" s="370"/>
      <c r="G13" s="370"/>
      <c r="H13" s="370"/>
      <c r="I13" s="370"/>
      <c r="J13" s="370"/>
      <c r="K13" s="370"/>
      <c r="L13" s="370"/>
      <c r="M13" s="370"/>
      <c r="N13" s="355"/>
      <c r="O13" s="355"/>
    </row>
    <row r="14" spans="1:15" ht="24.95" customHeight="1">
      <c r="A14" s="804" t="s">
        <v>1022</v>
      </c>
      <c r="B14" s="1377">
        <v>4885.46</v>
      </c>
      <c r="C14" s="1377"/>
      <c r="D14" s="370"/>
      <c r="E14" s="370"/>
      <c r="F14" s="370"/>
      <c r="G14" s="370"/>
      <c r="H14" s="370"/>
      <c r="I14" s="370"/>
      <c r="J14" s="370"/>
      <c r="K14" s="370"/>
      <c r="L14" s="370"/>
      <c r="M14" s="370"/>
      <c r="N14" s="355"/>
      <c r="O14" s="355"/>
    </row>
    <row r="15" spans="1:15" ht="24.95" customHeight="1">
      <c r="A15" s="804" t="s">
        <v>1021</v>
      </c>
      <c r="B15" s="1377">
        <v>8550.16</v>
      </c>
      <c r="C15" s="1377"/>
      <c r="D15" s="370"/>
      <c r="E15" s="370"/>
      <c r="F15" s="370"/>
      <c r="G15" s="370"/>
      <c r="H15" s="370"/>
      <c r="I15" s="370"/>
      <c r="J15" s="370"/>
      <c r="K15" s="370"/>
      <c r="L15" s="370"/>
      <c r="M15" s="370"/>
      <c r="N15" s="355"/>
      <c r="O15" s="355"/>
    </row>
    <row r="16" spans="1:15" ht="24.95" customHeight="1">
      <c r="A16" s="804" t="s">
        <v>1023</v>
      </c>
      <c r="B16" s="1377">
        <v>3304.54</v>
      </c>
      <c r="C16" s="1377"/>
      <c r="D16" s="370"/>
      <c r="E16" s="370"/>
      <c r="F16" s="370"/>
      <c r="G16" s="370"/>
      <c r="H16" s="370"/>
      <c r="I16" s="370"/>
      <c r="J16" s="370"/>
      <c r="K16" s="370"/>
      <c r="L16" s="370"/>
      <c r="M16" s="370"/>
      <c r="N16" s="355"/>
      <c r="O16" s="355"/>
    </row>
    <row r="17" spans="1:15" ht="24.95" customHeight="1">
      <c r="A17" s="804" t="s">
        <v>1024</v>
      </c>
      <c r="B17" s="1377">
        <v>3309.51</v>
      </c>
      <c r="C17" s="1377"/>
      <c r="D17" s="370"/>
      <c r="E17" s="370"/>
      <c r="F17" s="370"/>
      <c r="G17" s="370"/>
      <c r="H17" s="369"/>
      <c r="I17" s="369"/>
      <c r="J17" s="369"/>
      <c r="K17" s="369"/>
      <c r="L17" s="369"/>
      <c r="M17" s="369"/>
      <c r="N17" s="355"/>
      <c r="O17" s="355"/>
    </row>
    <row r="18" spans="1:15" ht="24.95" customHeight="1">
      <c r="A18" s="804" t="s">
        <v>1025</v>
      </c>
      <c r="B18" s="1377">
        <v>2051.66</v>
      </c>
      <c r="C18" s="1377"/>
      <c r="D18" s="370"/>
      <c r="E18" s="370"/>
      <c r="F18" s="370"/>
      <c r="G18" s="370"/>
      <c r="H18" s="374"/>
      <c r="I18" s="374"/>
      <c r="J18" s="374"/>
      <c r="K18" s="369"/>
      <c r="L18" s="369"/>
      <c r="M18" s="355"/>
      <c r="N18" s="355"/>
      <c r="O18" s="355"/>
    </row>
    <row r="19" spans="1:15" ht="24.95" customHeight="1">
      <c r="A19" s="804" t="s">
        <v>1026</v>
      </c>
      <c r="B19" s="1377">
        <v>1060.49</v>
      </c>
      <c r="C19" s="1377"/>
      <c r="D19" s="370"/>
      <c r="E19" s="370"/>
      <c r="F19" s="370"/>
      <c r="G19" s="370"/>
      <c r="H19" s="355"/>
      <c r="I19" s="355"/>
      <c r="J19" s="355"/>
      <c r="K19" s="355"/>
      <c r="L19" s="355"/>
      <c r="M19" s="355"/>
      <c r="N19" s="355"/>
      <c r="O19" s="355"/>
    </row>
    <row r="20" spans="1:15" ht="24.95" customHeight="1">
      <c r="A20" s="804" t="s">
        <v>1027</v>
      </c>
      <c r="B20" s="1381">
        <v>4684.0600000000004</v>
      </c>
      <c r="C20" s="1381"/>
      <c r="D20" s="370"/>
      <c r="E20" s="370"/>
      <c r="F20" s="370"/>
      <c r="G20" s="370"/>
      <c r="H20" s="355"/>
      <c r="I20" s="355"/>
      <c r="J20" s="355"/>
      <c r="K20" s="355"/>
      <c r="L20" s="355"/>
      <c r="M20" s="355"/>
      <c r="N20" s="355"/>
      <c r="O20" s="355"/>
    </row>
    <row r="21" spans="1:15" ht="5.0999999999999996" customHeight="1">
      <c r="A21" s="366"/>
      <c r="B21" s="1387"/>
      <c r="C21" s="1387"/>
      <c r="D21" s="369"/>
      <c r="E21" s="369"/>
      <c r="F21" s="369"/>
      <c r="G21" s="369"/>
      <c r="H21" s="355"/>
      <c r="I21" s="355"/>
      <c r="J21" s="355"/>
      <c r="K21" s="355"/>
      <c r="L21" s="355"/>
      <c r="M21" s="355"/>
      <c r="N21" s="355"/>
      <c r="O21" s="355"/>
    </row>
    <row r="22" spans="1:15" ht="24.95" customHeight="1">
      <c r="A22" s="340" t="s">
        <v>0</v>
      </c>
      <c r="B22" s="1384">
        <f>SUM(B9:C20)</f>
        <v>51505.29</v>
      </c>
      <c r="C22" s="1384"/>
      <c r="D22" s="847" t="s">
        <v>1044</v>
      </c>
      <c r="E22" s="695"/>
      <c r="F22" s="695"/>
      <c r="G22" s="695"/>
    </row>
    <row r="23" spans="1:15" ht="24.95" customHeight="1">
      <c r="A23" s="340" t="s">
        <v>94</v>
      </c>
      <c r="B23" s="1385">
        <f>Operations!C47</f>
        <v>49515.26999999999</v>
      </c>
      <c r="C23" s="1385"/>
      <c r="D23" s="847" t="s">
        <v>1045</v>
      </c>
      <c r="E23" s="355"/>
      <c r="F23" s="355"/>
      <c r="G23" s="355"/>
    </row>
    <row r="24" spans="1:15" ht="24.95" customHeight="1" thickBot="1">
      <c r="A24" s="340" t="s">
        <v>1042</v>
      </c>
      <c r="B24" s="1386">
        <f>+B22-B23</f>
        <v>1990.0200000000114</v>
      </c>
      <c r="C24" s="1386"/>
      <c r="D24" s="832"/>
      <c r="E24" s="355"/>
      <c r="F24" s="355"/>
      <c r="G24" s="355"/>
    </row>
    <row r="25" spans="1:15" ht="24.95" customHeight="1" thickTop="1">
      <c r="A25" s="1378" t="s">
        <v>1043</v>
      </c>
      <c r="B25" s="1379">
        <v>1865.34</v>
      </c>
      <c r="C25" s="1379"/>
      <c r="D25" s="847" t="s">
        <v>1106</v>
      </c>
      <c r="E25" s="355"/>
      <c r="F25" s="355"/>
      <c r="G25" s="355"/>
    </row>
    <row r="26" spans="1:15" ht="24.95" customHeight="1">
      <c r="A26" s="1378"/>
      <c r="B26" s="1380"/>
      <c r="C26" s="1380"/>
      <c r="D26" s="848" t="s">
        <v>1047</v>
      </c>
    </row>
    <row r="27" spans="1:15" ht="24.95" customHeight="1">
      <c r="B27" s="1382">
        <f>+B24-B25</f>
        <v>124.68000000001143</v>
      </c>
      <c r="C27" s="1383"/>
      <c r="D27" s="742" t="s">
        <v>1046</v>
      </c>
    </row>
    <row r="29" spans="1:15" ht="24.95" customHeight="1">
      <c r="A29" s="340" t="s">
        <v>1140</v>
      </c>
      <c r="C29" s="346">
        <f>+Operations!C20</f>
        <v>4390095.18</v>
      </c>
    </row>
    <row r="30" spans="1:15" ht="24.95" customHeight="1">
      <c r="A30" s="340" t="s">
        <v>1141</v>
      </c>
      <c r="C30" s="944">
        <f>+B22/C29</f>
        <v>1.1732157934671477E-2</v>
      </c>
    </row>
  </sheetData>
  <mergeCells count="25">
    <mergeCell ref="A25:A26"/>
    <mergeCell ref="B25:C26"/>
    <mergeCell ref="B19:C19"/>
    <mergeCell ref="B20:C20"/>
    <mergeCell ref="B27:C27"/>
    <mergeCell ref="B22:C22"/>
    <mergeCell ref="B23:C23"/>
    <mergeCell ref="B24:C24"/>
    <mergeCell ref="B21:C21"/>
    <mergeCell ref="B14:C14"/>
    <mergeCell ref="B15:C15"/>
    <mergeCell ref="B16:C16"/>
    <mergeCell ref="B17:C17"/>
    <mergeCell ref="B18:C18"/>
    <mergeCell ref="B9:C9"/>
    <mergeCell ref="B10:C10"/>
    <mergeCell ref="B11:C11"/>
    <mergeCell ref="B12:C12"/>
    <mergeCell ref="B13:C13"/>
    <mergeCell ref="A6:H6"/>
    <mergeCell ref="A5:H5"/>
    <mergeCell ref="A3:H3"/>
    <mergeCell ref="A1:H1"/>
    <mergeCell ref="A7:A8"/>
    <mergeCell ref="B7:C8"/>
  </mergeCells>
  <printOptions horizontalCentered="1"/>
  <pageMargins left="0.7" right="0.7" top="0.75" bottom="0.75" header="0.3" footer="0.3"/>
  <pageSetup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Q31"/>
  <sheetViews>
    <sheetView zoomScaleNormal="100" workbookViewId="0">
      <selection sqref="A1:D1"/>
    </sheetView>
  </sheetViews>
  <sheetFormatPr defaultRowHeight="20.100000000000001" customHeight="1"/>
  <cols>
    <col min="1" max="1" width="25.77734375" style="291" customWidth="1"/>
    <col min="2" max="2" width="30.77734375" style="291" customWidth="1"/>
    <col min="3" max="4" width="12.77734375" style="920" customWidth="1"/>
    <col min="5" max="14" width="5.77734375" style="920" customWidth="1"/>
    <col min="15" max="16" width="10.77734375" style="291" customWidth="1"/>
    <col min="17" max="16384" width="8.88671875" style="291"/>
  </cols>
  <sheetData>
    <row r="1" spans="1:17" s="907" customFormat="1" ht="20.100000000000001" customHeight="1">
      <c r="A1" s="1388" t="str">
        <f>+'WP-9 Bad Debts'!A1:G1</f>
        <v>WASTE CONTROL, INC.</v>
      </c>
      <c r="B1" s="1388"/>
      <c r="C1" s="1388"/>
      <c r="D1" s="1388"/>
      <c r="E1" s="908"/>
      <c r="F1" s="908"/>
      <c r="G1" s="906"/>
      <c r="H1" s="906"/>
      <c r="I1" s="906"/>
      <c r="J1" s="906"/>
      <c r="K1" s="906"/>
      <c r="L1" s="906"/>
      <c r="M1" s="906"/>
      <c r="N1" s="906"/>
    </row>
    <row r="2" spans="1:17" s="907" customFormat="1" ht="20.100000000000001" customHeight="1">
      <c r="A2" s="908"/>
      <c r="B2" s="909"/>
      <c r="C2" s="910"/>
      <c r="D2" s="911"/>
      <c r="E2" s="910"/>
      <c r="F2" s="911"/>
      <c r="G2" s="553"/>
      <c r="H2" s="553"/>
      <c r="I2" s="553"/>
      <c r="J2" s="912"/>
      <c r="K2" s="912"/>
      <c r="L2" s="912"/>
      <c r="M2" s="906"/>
      <c r="N2" s="906"/>
    </row>
    <row r="3" spans="1:17" s="907" customFormat="1" ht="20.100000000000001" customHeight="1">
      <c r="A3" s="1389" t="s">
        <v>1010</v>
      </c>
      <c r="B3" s="1389"/>
      <c r="C3" s="1389"/>
      <c r="D3" s="1389"/>
      <c r="E3" s="908"/>
      <c r="F3" s="908"/>
      <c r="G3" s="913"/>
      <c r="H3" s="913"/>
      <c r="I3" s="913"/>
      <c r="J3" s="913"/>
      <c r="K3" s="913"/>
      <c r="L3" s="913"/>
      <c r="M3" s="906"/>
      <c r="N3" s="906"/>
    </row>
    <row r="4" spans="1:17" s="907" customFormat="1" ht="20.100000000000001" customHeight="1">
      <c r="A4" s="914"/>
      <c r="B4" s="914"/>
      <c r="C4" s="915"/>
      <c r="D4" s="916"/>
      <c r="E4" s="916"/>
      <c r="F4" s="916"/>
      <c r="G4" s="917"/>
      <c r="H4" s="917"/>
      <c r="I4" s="917"/>
      <c r="J4" s="917"/>
      <c r="K4" s="913"/>
      <c r="L4" s="913"/>
      <c r="M4" s="906"/>
      <c r="N4" s="906"/>
    </row>
    <row r="5" spans="1:17" s="907" customFormat="1" ht="20.100000000000001" customHeight="1">
      <c r="A5" s="1390" t="str">
        <f>'WP-9 Bad Debts'!$A$5</f>
        <v>In Support of Tariff 19 effective September 7, 2018</v>
      </c>
      <c r="B5" s="1390"/>
      <c r="C5" s="1390"/>
      <c r="D5" s="1390"/>
      <c r="E5" s="1069"/>
      <c r="F5" s="1069"/>
      <c r="G5" s="917"/>
      <c r="H5" s="917"/>
      <c r="I5" s="917"/>
      <c r="J5" s="917"/>
      <c r="K5" s="913"/>
      <c r="L5" s="913"/>
      <c r="M5" s="906"/>
      <c r="N5" s="906"/>
    </row>
    <row r="6" spans="1:17" s="907" customFormat="1" ht="20.100000000000001" customHeight="1">
      <c r="A6" s="918"/>
      <c r="B6" s="918"/>
      <c r="C6" s="918"/>
      <c r="D6" s="918"/>
      <c r="E6" s="918"/>
      <c r="F6" s="918"/>
      <c r="G6" s="917"/>
      <c r="H6" s="917"/>
      <c r="I6" s="917"/>
      <c r="J6" s="917"/>
      <c r="K6" s="913"/>
      <c r="L6" s="913"/>
      <c r="M6" s="906"/>
      <c r="N6" s="906"/>
    </row>
    <row r="7" spans="1:17" ht="20.100000000000001" customHeight="1">
      <c r="A7" s="1394" t="s">
        <v>760</v>
      </c>
      <c r="B7" s="1394"/>
      <c r="C7" s="1394"/>
      <c r="D7" s="1394"/>
    </row>
    <row r="8" spans="1:17" ht="6" customHeight="1" thickBot="1">
      <c r="A8" s="921"/>
      <c r="B8" s="921"/>
      <c r="C8" s="929"/>
      <c r="D8" s="929"/>
      <c r="E8" s="919"/>
      <c r="F8" s="291"/>
      <c r="G8" s="291"/>
      <c r="H8" s="291"/>
      <c r="I8" s="291"/>
      <c r="J8" s="291"/>
      <c r="K8" s="291"/>
      <c r="L8" s="291"/>
      <c r="M8" s="291"/>
      <c r="N8" s="291"/>
    </row>
    <row r="9" spans="1:17" ht="5.0999999999999996" customHeight="1">
      <c r="M9" s="930"/>
      <c r="N9" s="931"/>
      <c r="O9" s="932"/>
      <c r="P9" s="933"/>
      <c r="Q9" s="924"/>
    </row>
    <row r="10" spans="1:17" ht="20.100000000000001" customHeight="1">
      <c r="A10" s="925"/>
      <c r="B10" s="922" t="s">
        <v>1107</v>
      </c>
      <c r="C10" s="1392">
        <v>114453.92</v>
      </c>
      <c r="D10" s="1392"/>
      <c r="O10" s="923"/>
      <c r="P10" s="923"/>
      <c r="Q10" s="924"/>
    </row>
    <row r="11" spans="1:17" ht="20.100000000000001" customHeight="1">
      <c r="A11" s="925"/>
      <c r="B11" s="922" t="s">
        <v>1108</v>
      </c>
      <c r="C11" s="1393">
        <v>12457.43</v>
      </c>
      <c r="D11" s="1393"/>
    </row>
    <row r="12" spans="1:17" ht="20.100000000000001" customHeight="1" thickBot="1">
      <c r="A12" s="925"/>
      <c r="B12" s="922" t="s">
        <v>1109</v>
      </c>
      <c r="C12" s="1395">
        <f>+C10+C11</f>
        <v>126911.35</v>
      </c>
      <c r="D12" s="1395"/>
    </row>
    <row r="13" spans="1:17" ht="5.0999999999999996" customHeight="1" thickTop="1">
      <c r="A13" s="925"/>
      <c r="B13" s="922"/>
      <c r="C13" s="934"/>
      <c r="D13" s="934"/>
    </row>
    <row r="14" spans="1:17" ht="20.100000000000001" customHeight="1" thickBot="1">
      <c r="A14" s="925"/>
      <c r="B14" s="922"/>
      <c r="C14" s="922" t="s">
        <v>1178</v>
      </c>
      <c r="D14" s="976">
        <v>0.24299999999999999</v>
      </c>
    </row>
    <row r="15" spans="1:17" ht="20.100000000000001" customHeight="1" thickBot="1">
      <c r="B15" s="1391" t="s">
        <v>1110</v>
      </c>
      <c r="C15" s="1391"/>
      <c r="D15" s="935">
        <f>+C12*D14</f>
        <v>30839.458050000001</v>
      </c>
      <c r="E15" s="925"/>
    </row>
    <row r="16" spans="1:17" ht="5.0999999999999996" customHeight="1">
      <c r="A16" s="927"/>
      <c r="C16" s="925"/>
    </row>
    <row r="17" spans="1:6" ht="20.100000000000001" customHeight="1">
      <c r="A17" s="936"/>
      <c r="B17" s="924"/>
      <c r="C17" s="994" t="s">
        <v>1180</v>
      </c>
      <c r="D17" s="920">
        <f>+Operations!C58</f>
        <v>12519.800000000001</v>
      </c>
    </row>
    <row r="18" spans="1:6" ht="20.100000000000001" customHeight="1">
      <c r="B18" s="924"/>
      <c r="C18" s="994" t="s">
        <v>1179</v>
      </c>
      <c r="D18" s="926">
        <f>+D15-D17</f>
        <v>18319.658049999998</v>
      </c>
    </row>
    <row r="19" spans="1:6" ht="20.100000000000001" customHeight="1">
      <c r="B19" s="924"/>
    </row>
    <row r="20" spans="1:6" ht="20.100000000000001" customHeight="1">
      <c r="B20" s="924"/>
    </row>
    <row r="21" spans="1:6" ht="20.100000000000001" customHeight="1">
      <c r="B21" s="924"/>
    </row>
    <row r="22" spans="1:6" ht="20.100000000000001" customHeight="1">
      <c r="B22" s="924"/>
    </row>
    <row r="24" spans="1:6" ht="20.100000000000001" customHeight="1">
      <c r="B24" s="924"/>
    </row>
    <row r="25" spans="1:6" ht="20.100000000000001" customHeight="1">
      <c r="C25" s="925"/>
    </row>
    <row r="26" spans="1:6" ht="20.100000000000001" customHeight="1">
      <c r="B26" s="924"/>
      <c r="C26" s="925"/>
      <c r="D26" s="925"/>
      <c r="E26" s="925"/>
      <c r="F26" s="925"/>
    </row>
    <row r="27" spans="1:6" ht="20.100000000000001" customHeight="1">
      <c r="B27" s="924"/>
      <c r="C27" s="925"/>
      <c r="D27" s="925"/>
      <c r="E27" s="925"/>
      <c r="F27" s="925"/>
    </row>
    <row r="28" spans="1:6" ht="20.100000000000001" customHeight="1">
      <c r="B28" s="924"/>
      <c r="C28" s="925"/>
      <c r="D28" s="925"/>
      <c r="E28" s="925"/>
      <c r="F28" s="925"/>
    </row>
    <row r="29" spans="1:6" ht="20.100000000000001" customHeight="1">
      <c r="C29" s="925"/>
      <c r="D29" s="925"/>
      <c r="E29" s="925"/>
      <c r="F29" s="925"/>
    </row>
    <row r="30" spans="1:6" ht="20.100000000000001" customHeight="1">
      <c r="B30" s="928"/>
      <c r="C30" s="925"/>
      <c r="D30" s="925"/>
      <c r="E30" s="925"/>
      <c r="F30" s="925"/>
    </row>
    <row r="31" spans="1:6" ht="20.100000000000001" customHeight="1">
      <c r="C31" s="925"/>
      <c r="D31" s="925"/>
      <c r="E31" s="925"/>
      <c r="F31" s="925"/>
    </row>
  </sheetData>
  <mergeCells count="8">
    <mergeCell ref="A1:D1"/>
    <mergeCell ref="A3:D3"/>
    <mergeCell ref="A5:D5"/>
    <mergeCell ref="B15:C15"/>
    <mergeCell ref="C10:D10"/>
    <mergeCell ref="C11:D11"/>
    <mergeCell ref="A7:D7"/>
    <mergeCell ref="C12:D12"/>
  </mergeCells>
  <printOptions horizontalCentered="1"/>
  <pageMargins left="0.7" right="0.7" top="0.75" bottom="0.75" header="0.3" footer="0.3"/>
  <pageSetup scale="80"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18"/>
  <sheetViews>
    <sheetView zoomScaleNormal="100" workbookViewId="0">
      <pane xSplit="1" ySplit="5" topLeftCell="B6" activePane="bottomRight" state="frozen"/>
      <selection activeCell="D12" sqref="D12"/>
      <selection pane="topRight" activeCell="D12" sqref="D12"/>
      <selection pane="bottomLeft" activeCell="D12" sqref="D12"/>
      <selection pane="bottomRight" activeCell="B6" sqref="B6"/>
    </sheetView>
  </sheetViews>
  <sheetFormatPr defaultRowHeight="15"/>
  <cols>
    <col min="1" max="1" width="30.44140625" style="371" customWidth="1"/>
    <col min="2" max="2" width="5" style="371" customWidth="1"/>
    <col min="3" max="3" width="19.6640625" style="372" customWidth="1"/>
    <col min="4" max="4" width="4.88671875" style="371" customWidth="1"/>
    <col min="5" max="16384" width="8.88671875" style="371"/>
  </cols>
  <sheetData>
    <row r="1" spans="1:13" s="340" customFormat="1" ht="15.75">
      <c r="A1" s="1371" t="str">
        <f>+'WP-10 Utilities'!A1:F1</f>
        <v>WASTE CONTROL, INC.</v>
      </c>
      <c r="B1" s="1371"/>
      <c r="C1" s="1371"/>
      <c r="D1" s="1071"/>
      <c r="E1" s="1071"/>
      <c r="F1" s="1071"/>
      <c r="G1" s="1071"/>
    </row>
    <row r="2" spans="1:13" s="340" customFormat="1" ht="18" customHeight="1">
      <c r="A2" s="51"/>
      <c r="B2" s="52"/>
      <c r="C2" s="52"/>
      <c r="D2" s="52"/>
      <c r="E2" s="50"/>
      <c r="F2" s="52"/>
      <c r="G2" s="50"/>
      <c r="H2" s="373"/>
      <c r="I2" s="373"/>
      <c r="J2" s="373"/>
      <c r="K2" s="366"/>
      <c r="L2" s="366"/>
      <c r="M2" s="366"/>
    </row>
    <row r="3" spans="1:13" s="340" customFormat="1" ht="15.75">
      <c r="A3" s="1372" t="s">
        <v>1011</v>
      </c>
      <c r="B3" s="1372"/>
      <c r="C3" s="1372"/>
      <c r="D3" s="1071"/>
      <c r="E3" s="1071"/>
      <c r="F3" s="1071"/>
      <c r="G3" s="1071"/>
      <c r="H3" s="367"/>
      <c r="I3" s="367"/>
      <c r="J3" s="367"/>
      <c r="K3" s="367"/>
      <c r="L3" s="367"/>
      <c r="M3" s="367"/>
    </row>
    <row r="4" spans="1:13" s="340" customFormat="1" ht="15.75">
      <c r="A4" s="56"/>
      <c r="B4" s="56"/>
      <c r="C4" s="56"/>
      <c r="D4" s="55"/>
      <c r="E4" s="56"/>
      <c r="F4" s="56"/>
      <c r="G4" s="56"/>
      <c r="H4" s="368"/>
      <c r="I4" s="368"/>
      <c r="J4" s="368"/>
      <c r="K4" s="368"/>
      <c r="L4" s="367"/>
      <c r="M4" s="367"/>
    </row>
    <row r="5" spans="1:13" s="340" customFormat="1" ht="15.75">
      <c r="A5" s="1373" t="str">
        <f>'WP-10 Utilities'!$A$5</f>
        <v>In Support of Tariff 19 effective September 7, 2018</v>
      </c>
      <c r="B5" s="1373"/>
      <c r="C5" s="1373"/>
      <c r="D5" s="1070"/>
      <c r="E5" s="1070"/>
      <c r="F5" s="1070"/>
      <c r="G5" s="1070"/>
      <c r="H5" s="368"/>
      <c r="I5" s="368"/>
      <c r="J5" s="368"/>
      <c r="K5" s="368"/>
      <c r="L5" s="367"/>
      <c r="M5" s="367"/>
    </row>
    <row r="6" spans="1:13" ht="15" customHeight="1">
      <c r="A6" s="897"/>
      <c r="B6" s="897"/>
      <c r="C6" s="898"/>
      <c r="D6" s="897"/>
    </row>
    <row r="7" spans="1:13">
      <c r="A7" s="899" t="s">
        <v>996</v>
      </c>
      <c r="B7" s="900"/>
      <c r="C7" s="901">
        <v>55800</v>
      </c>
      <c r="D7" s="902"/>
    </row>
    <row r="8" spans="1:13">
      <c r="A8" s="899" t="s">
        <v>282</v>
      </c>
      <c r="B8" s="903"/>
      <c r="C8" s="901">
        <v>70200</v>
      </c>
      <c r="D8" s="904"/>
    </row>
    <row r="9" spans="1:13">
      <c r="A9" s="899" t="s">
        <v>275</v>
      </c>
      <c r="B9" s="903"/>
      <c r="C9" s="901">
        <v>20400</v>
      </c>
      <c r="D9" s="904"/>
    </row>
    <row r="10" spans="1:13">
      <c r="A10" s="899" t="s">
        <v>997</v>
      </c>
      <c r="B10" s="903"/>
      <c r="C10" s="901">
        <v>60000</v>
      </c>
      <c r="D10" s="904"/>
    </row>
    <row r="11" spans="1:13" ht="10.5" customHeight="1">
      <c r="A11" s="897"/>
      <c r="B11" s="897"/>
      <c r="C11" s="905"/>
      <c r="D11" s="897"/>
    </row>
    <row r="12" spans="1:13">
      <c r="A12" s="897" t="s">
        <v>761</v>
      </c>
      <c r="B12" s="897"/>
      <c r="C12" s="962">
        <f>SUM(C7:C10)</f>
        <v>206400</v>
      </c>
      <c r="D12" s="904"/>
    </row>
    <row r="13" spans="1:13" ht="15.75" thickBot="1">
      <c r="A13" s="897" t="s">
        <v>94</v>
      </c>
      <c r="B13" s="897"/>
      <c r="C13" s="961">
        <f>+Operations!C72</f>
        <v>206400</v>
      </c>
      <c r="D13" s="904"/>
      <c r="E13" s="960">
        <f>+C13-C12</f>
        <v>0</v>
      </c>
    </row>
    <row r="14" spans="1:13" ht="15" customHeight="1" thickTop="1">
      <c r="A14" s="615"/>
      <c r="B14" s="616"/>
      <c r="C14" s="616"/>
      <c r="D14" s="616"/>
    </row>
    <row r="15" spans="1:13">
      <c r="A15" s="899" t="s">
        <v>281</v>
      </c>
      <c r="B15" s="903"/>
      <c r="C15" s="901">
        <v>14400</v>
      </c>
    </row>
    <row r="16" spans="1:13">
      <c r="A16" s="371" t="s">
        <v>1149</v>
      </c>
      <c r="C16" s="905">
        <v>-14400</v>
      </c>
    </row>
    <row r="17" spans="3:3" ht="15.75" thickBot="1">
      <c r="C17" s="963">
        <f>SUM(C15:C16)</f>
        <v>0</v>
      </c>
    </row>
    <row r="18" spans="3:3" ht="15.75" thickTop="1"/>
  </sheetData>
  <mergeCells count="3">
    <mergeCell ref="A5:C5"/>
    <mergeCell ref="A3:C3"/>
    <mergeCell ref="A1:C1"/>
  </mergeCells>
  <printOptions horizontalCentered="1"/>
  <pageMargins left="0.7" right="0.7" top="0.75" bottom="0.75" header="0.3" footer="0.3"/>
  <pageSetup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R131"/>
  <sheetViews>
    <sheetView zoomScaleNormal="100" workbookViewId="0">
      <pane xSplit="4" ySplit="8" topLeftCell="E9" activePane="bottomRight" state="frozen"/>
      <selection activeCell="D12" sqref="D12"/>
      <selection pane="topRight" activeCell="D12" sqref="D12"/>
      <selection pane="bottomLeft" activeCell="D12" sqref="D12"/>
      <selection pane="bottomRight" activeCell="E9" sqref="E9"/>
    </sheetView>
  </sheetViews>
  <sheetFormatPr defaultRowHeight="11.25"/>
  <cols>
    <col min="1" max="1" width="21.6640625" style="556" customWidth="1"/>
    <col min="2" max="2" width="6.33203125" style="557" customWidth="1"/>
    <col min="3" max="3" width="7.5546875" style="557" customWidth="1"/>
    <col min="4" max="4" width="1.5546875" style="558" customWidth="1"/>
    <col min="5" max="5" width="7.77734375" style="558" customWidth="1"/>
    <col min="6" max="7" width="7.44140625" style="558" customWidth="1"/>
    <col min="8" max="8" width="6.44140625" style="558" customWidth="1"/>
    <col min="9" max="9" width="6.21875" style="558" customWidth="1"/>
    <col min="10" max="10" width="1.6640625" style="558" customWidth="1"/>
    <col min="11" max="12" width="8.21875" style="558" bestFit="1" customWidth="1"/>
    <col min="13" max="13" width="8.88671875" style="558" customWidth="1"/>
    <col min="14" max="14" width="1.33203125" style="558" customWidth="1"/>
    <col min="15" max="15" width="6.33203125" style="558" customWidth="1"/>
    <col min="16" max="16" width="8" style="559" customWidth="1"/>
    <col min="17" max="17" width="8.88671875" style="856"/>
    <col min="18" max="16384" width="8.88671875" style="558"/>
  </cols>
  <sheetData>
    <row r="1" spans="1:17" s="544" customFormat="1">
      <c r="A1" s="1396" t="str">
        <f>'WP-11 Rent'!A1:G1</f>
        <v>WASTE CONTROL, INC.</v>
      </c>
      <c r="B1" s="1396"/>
      <c r="C1" s="1396"/>
      <c r="D1" s="1396"/>
      <c r="E1" s="1396"/>
      <c r="F1" s="1396"/>
      <c r="G1" s="1396"/>
      <c r="Q1" s="855"/>
    </row>
    <row r="2" spans="1:17" s="544" customFormat="1" ht="18" customHeight="1">
      <c r="A2" s="555"/>
      <c r="B2" s="545"/>
      <c r="C2" s="545"/>
      <c r="D2" s="545"/>
      <c r="E2" s="546"/>
      <c r="F2" s="545"/>
      <c r="G2" s="546"/>
      <c r="H2" s="547"/>
      <c r="I2" s="547"/>
      <c r="J2" s="548"/>
      <c r="K2" s="548"/>
      <c r="Q2" s="855"/>
    </row>
    <row r="3" spans="1:17" s="544" customFormat="1">
      <c r="A3" s="1397" t="s">
        <v>1012</v>
      </c>
      <c r="B3" s="1397"/>
      <c r="C3" s="1397"/>
      <c r="D3" s="1397"/>
      <c r="E3" s="1397"/>
      <c r="F3" s="1397"/>
      <c r="G3" s="1397"/>
      <c r="H3" s="549"/>
      <c r="I3" s="549"/>
      <c r="J3" s="549"/>
      <c r="K3" s="549"/>
      <c r="Q3" s="855"/>
    </row>
    <row r="4" spans="1:17" s="544" customFormat="1">
      <c r="A4" s="551"/>
      <c r="B4" s="551"/>
      <c r="C4" s="551"/>
      <c r="D4" s="550"/>
      <c r="E4" s="551"/>
      <c r="F4" s="551"/>
      <c r="G4" s="551"/>
      <c r="H4" s="552"/>
      <c r="I4" s="552"/>
      <c r="J4" s="549"/>
      <c r="K4" s="549"/>
      <c r="Q4" s="855"/>
    </row>
    <row r="5" spans="1:17" s="544" customFormat="1" ht="15">
      <c r="A5" s="1398" t="str">
        <f>'WP-11 Rent'!$A$5</f>
        <v>In Support of Tariff 19 effective September 7, 2018</v>
      </c>
      <c r="B5" s="1398"/>
      <c r="C5" s="1398"/>
      <c r="D5" s="1398"/>
      <c r="E5" s="1398"/>
      <c r="F5" s="1398"/>
      <c r="G5" s="1398"/>
      <c r="H5" s="552"/>
      <c r="I5" s="753"/>
      <c r="J5" s="549"/>
      <c r="K5" s="549"/>
      <c r="Q5" s="855"/>
    </row>
    <row r="6" spans="1:17" ht="12" thickBot="1">
      <c r="N6" s="572"/>
      <c r="O6" s="572"/>
    </row>
    <row r="7" spans="1:17" ht="12" thickBot="1">
      <c r="A7" s="556" t="s">
        <v>1038</v>
      </c>
      <c r="K7" s="602" t="s">
        <v>764</v>
      </c>
      <c r="L7" s="783" t="s">
        <v>765</v>
      </c>
      <c r="M7" s="782">
        <v>2017</v>
      </c>
      <c r="N7" s="572"/>
      <c r="O7" s="572"/>
      <c r="P7" s="561">
        <v>2016</v>
      </c>
      <c r="Q7" s="860" t="s">
        <v>4</v>
      </c>
    </row>
    <row r="8" spans="1:17" ht="12" thickBot="1">
      <c r="A8" s="778" t="s">
        <v>766</v>
      </c>
      <c r="B8" s="779" t="s">
        <v>767</v>
      </c>
      <c r="C8" s="780" t="s">
        <v>768</v>
      </c>
      <c r="D8" s="565"/>
      <c r="E8" s="778" t="s">
        <v>763</v>
      </c>
      <c r="F8" s="779" t="s">
        <v>769</v>
      </c>
      <c r="G8" s="779" t="s">
        <v>770</v>
      </c>
      <c r="H8" s="779" t="s">
        <v>771</v>
      </c>
      <c r="I8" s="780" t="s">
        <v>772</v>
      </c>
      <c r="J8" s="565"/>
      <c r="K8" s="781" t="s">
        <v>773</v>
      </c>
      <c r="L8" s="784" t="s">
        <v>773</v>
      </c>
      <c r="M8" s="777" t="s">
        <v>0</v>
      </c>
      <c r="N8" s="572"/>
      <c r="O8" s="572"/>
      <c r="P8" s="561" t="s">
        <v>774</v>
      </c>
      <c r="Q8" s="859" t="s">
        <v>1052</v>
      </c>
    </row>
    <row r="9" spans="1:17">
      <c r="A9" s="592" t="s">
        <v>775</v>
      </c>
      <c r="B9" s="569"/>
      <c r="C9" s="569"/>
      <c r="D9" s="567"/>
      <c r="E9" s="564"/>
      <c r="F9" s="564"/>
      <c r="G9" s="564"/>
      <c r="H9" s="564"/>
      <c r="I9" s="564"/>
      <c r="J9" s="567"/>
      <c r="K9" s="564"/>
      <c r="L9" s="564"/>
      <c r="M9" s="564"/>
      <c r="N9" s="572"/>
      <c r="O9" s="572"/>
      <c r="P9" s="568"/>
      <c r="Q9" s="874"/>
    </row>
    <row r="10" spans="1:17">
      <c r="A10" s="570"/>
      <c r="B10" s="571"/>
      <c r="C10" s="571"/>
      <c r="D10" s="572"/>
      <c r="E10" s="564"/>
      <c r="F10" s="564"/>
      <c r="G10" s="564"/>
      <c r="H10" s="564"/>
      <c r="I10" s="564"/>
      <c r="J10" s="564"/>
      <c r="K10" s="564"/>
      <c r="L10" s="564"/>
      <c r="M10" s="564"/>
    </row>
    <row r="11" spans="1:17">
      <c r="A11" s="556" t="s">
        <v>754</v>
      </c>
      <c r="B11" s="557" t="s">
        <v>776</v>
      </c>
      <c r="C11" s="557">
        <v>5042706</v>
      </c>
      <c r="E11" s="573">
        <v>466.13</v>
      </c>
      <c r="F11" s="573"/>
      <c r="G11" s="573">
        <v>466.13</v>
      </c>
      <c r="H11" s="573"/>
      <c r="I11" s="573"/>
      <c r="J11" s="573"/>
      <c r="K11" s="573">
        <f>SUM(E11,G11)</f>
        <v>932.26</v>
      </c>
      <c r="L11" s="573">
        <f>SUM(E11,G11)</f>
        <v>932.26</v>
      </c>
      <c r="M11" s="574">
        <f>SUM(K11:L11)</f>
        <v>1864.52</v>
      </c>
      <c r="O11" s="556"/>
      <c r="P11" s="575">
        <v>1894.76</v>
      </c>
      <c r="Q11" s="856">
        <f>SUM(M11-P11)/M11</f>
        <v>-1.6218651449166545E-2</v>
      </c>
    </row>
    <row r="12" spans="1:17">
      <c r="A12" s="556" t="s">
        <v>759</v>
      </c>
      <c r="E12" s="576"/>
      <c r="F12" s="576"/>
      <c r="G12" s="576"/>
      <c r="H12" s="576"/>
      <c r="I12" s="576"/>
      <c r="J12" s="576"/>
      <c r="K12" s="576"/>
      <c r="L12" s="576"/>
      <c r="M12" s="576"/>
    </row>
    <row r="13" spans="1:17">
      <c r="E13" s="576"/>
      <c r="F13" s="576"/>
      <c r="G13" s="576"/>
      <c r="H13" s="576"/>
      <c r="I13" s="576"/>
      <c r="J13" s="576"/>
      <c r="K13" s="573"/>
      <c r="L13" s="576"/>
      <c r="M13" s="576"/>
    </row>
    <row r="14" spans="1:17">
      <c r="A14" s="577" t="s">
        <v>758</v>
      </c>
      <c r="B14" s="578" t="s">
        <v>777</v>
      </c>
      <c r="C14" s="579">
        <v>10015</v>
      </c>
      <c r="E14" s="580">
        <v>161.04</v>
      </c>
      <c r="F14" s="580"/>
      <c r="G14" s="580">
        <v>161.03</v>
      </c>
      <c r="H14" s="580"/>
      <c r="I14" s="580"/>
      <c r="J14" s="580"/>
      <c r="K14" s="573">
        <f>SUM(E14,G14)</f>
        <v>322.07</v>
      </c>
      <c r="L14" s="580">
        <f>SUM(E14,G14)</f>
        <v>322.07</v>
      </c>
      <c r="M14" s="581">
        <f>SUM(K14:L14)</f>
        <v>644.14</v>
      </c>
      <c r="P14" s="575">
        <v>629.86</v>
      </c>
      <c r="Q14" s="856">
        <f>SUM(M14-P14)/M14</f>
        <v>2.2169093675287938E-2</v>
      </c>
    </row>
    <row r="15" spans="1:17">
      <c r="A15" s="582" t="s">
        <v>755</v>
      </c>
      <c r="B15" s="571"/>
      <c r="C15" s="583"/>
      <c r="E15" s="576"/>
      <c r="F15" s="576"/>
      <c r="G15" s="576"/>
      <c r="H15" s="576"/>
      <c r="I15" s="576"/>
      <c r="J15" s="576"/>
      <c r="K15" s="580"/>
      <c r="L15" s="576"/>
      <c r="M15" s="576"/>
    </row>
    <row r="16" spans="1:17">
      <c r="A16" s="582" t="s">
        <v>757</v>
      </c>
      <c r="B16" s="571" t="s">
        <v>778</v>
      </c>
      <c r="C16" s="583">
        <v>10028</v>
      </c>
      <c r="E16" s="580">
        <v>152.61000000000001</v>
      </c>
      <c r="F16" s="580"/>
      <c r="G16" s="580">
        <v>152.62</v>
      </c>
      <c r="H16" s="580"/>
      <c r="I16" s="580"/>
      <c r="J16" s="580"/>
      <c r="K16" s="573">
        <f>SUM(E16,G16)</f>
        <v>305.23</v>
      </c>
      <c r="L16" s="580">
        <f>SUM(E16,G16)</f>
        <v>305.23</v>
      </c>
      <c r="M16" s="581">
        <f>SUM(K16:L16)</f>
        <v>610.46</v>
      </c>
      <c r="P16" s="575">
        <v>596.86</v>
      </c>
      <c r="Q16" s="856">
        <f>SUM(M16-P16)/M16</f>
        <v>2.2278281951315437E-2</v>
      </c>
    </row>
    <row r="17" spans="1:17">
      <c r="A17" s="582" t="s">
        <v>755</v>
      </c>
      <c r="B17" s="571"/>
      <c r="C17" s="583"/>
      <c r="E17" s="576"/>
      <c r="F17" s="576"/>
      <c r="G17" s="576"/>
      <c r="H17" s="576"/>
      <c r="I17" s="576"/>
      <c r="J17" s="576"/>
      <c r="K17" s="580"/>
      <c r="L17" s="576"/>
      <c r="M17" s="576"/>
    </row>
    <row r="18" spans="1:17">
      <c r="A18" s="582" t="s">
        <v>756</v>
      </c>
      <c r="B18" s="571" t="s">
        <v>779</v>
      </c>
      <c r="C18" s="583">
        <v>1002602</v>
      </c>
      <c r="E18" s="580">
        <v>10.76</v>
      </c>
      <c r="F18" s="580"/>
      <c r="G18" s="580">
        <v>0</v>
      </c>
      <c r="H18" s="580"/>
      <c r="I18" s="580"/>
      <c r="J18" s="580"/>
      <c r="K18" s="573">
        <f>SUM(E18,G18)</f>
        <v>10.76</v>
      </c>
      <c r="L18" s="580">
        <f>G18</f>
        <v>0</v>
      </c>
      <c r="M18" s="581">
        <f>SUM(K18:L18)</f>
        <v>10.76</v>
      </c>
      <c r="P18" s="575">
        <v>9.6199999999999992</v>
      </c>
      <c r="Q18" s="856">
        <f>SUM(M18-P18)/M18</f>
        <v>0.10594795539033462</v>
      </c>
    </row>
    <row r="19" spans="1:17">
      <c r="A19" s="582" t="s">
        <v>755</v>
      </c>
      <c r="B19" s="571"/>
      <c r="C19" s="583"/>
      <c r="E19" s="576"/>
      <c r="F19" s="576"/>
      <c r="G19" s="576"/>
      <c r="H19" s="576"/>
      <c r="I19" s="576"/>
      <c r="J19" s="576"/>
      <c r="K19" s="580"/>
      <c r="L19" s="576"/>
      <c r="M19" s="576"/>
    </row>
    <row r="20" spans="1:17">
      <c r="A20" s="582" t="s">
        <v>756</v>
      </c>
      <c r="B20" s="571" t="s">
        <v>780</v>
      </c>
      <c r="C20" s="583">
        <v>1002604</v>
      </c>
      <c r="E20" s="580">
        <v>0</v>
      </c>
      <c r="F20" s="580"/>
      <c r="G20" s="580">
        <v>10.76</v>
      </c>
      <c r="H20" s="580"/>
      <c r="I20" s="580"/>
      <c r="J20" s="580"/>
      <c r="K20" s="573">
        <f>SUM(E20,G20)</f>
        <v>10.76</v>
      </c>
      <c r="L20" s="580">
        <v>0</v>
      </c>
      <c r="M20" s="581">
        <f>SUM(K20:L20)</f>
        <v>10.76</v>
      </c>
      <c r="P20" s="575">
        <v>9.6199999999999992</v>
      </c>
      <c r="Q20" s="856">
        <f>SUM(M20-P20)/M20</f>
        <v>0.10594795539033462</v>
      </c>
    </row>
    <row r="21" spans="1:17">
      <c r="A21" s="582" t="s">
        <v>755</v>
      </c>
      <c r="B21" s="571"/>
      <c r="C21" s="583"/>
      <c r="E21" s="576"/>
      <c r="F21" s="576"/>
      <c r="G21" s="576"/>
      <c r="H21" s="576"/>
      <c r="I21" s="576"/>
      <c r="J21" s="576"/>
      <c r="K21" s="580"/>
      <c r="L21" s="576"/>
      <c r="M21" s="576"/>
    </row>
    <row r="22" spans="1:17">
      <c r="A22" s="582" t="s">
        <v>756</v>
      </c>
      <c r="B22" s="571" t="s">
        <v>781</v>
      </c>
      <c r="C22" s="583">
        <v>1002801</v>
      </c>
      <c r="E22" s="580">
        <v>96.21</v>
      </c>
      <c r="F22" s="580"/>
      <c r="G22" s="580">
        <v>96.21</v>
      </c>
      <c r="H22" s="580"/>
      <c r="I22" s="580"/>
      <c r="J22" s="580"/>
      <c r="K22" s="573">
        <f>SUM(E22,G22)</f>
        <v>192.42</v>
      </c>
      <c r="L22" s="580">
        <f>SUM(E22,G22)</f>
        <v>192.42</v>
      </c>
      <c r="M22" s="581">
        <f>SUM(K22:L22)</f>
        <v>384.84</v>
      </c>
      <c r="P22" s="575">
        <v>375.72</v>
      </c>
      <c r="Q22" s="856">
        <f>SUM(M22-P22)/M22</f>
        <v>2.3698160274399617E-2</v>
      </c>
    </row>
    <row r="23" spans="1:17">
      <c r="A23" s="584" t="s">
        <v>755</v>
      </c>
      <c r="B23" s="569"/>
      <c r="C23" s="585"/>
      <c r="E23" s="576"/>
      <c r="F23" s="576"/>
      <c r="G23" s="576"/>
      <c r="H23" s="576"/>
      <c r="I23" s="576"/>
      <c r="J23" s="576"/>
      <c r="K23" s="576"/>
      <c r="L23" s="576"/>
      <c r="M23" s="586"/>
    </row>
    <row r="24" spans="1:17">
      <c r="A24" s="587"/>
      <c r="B24" s="571"/>
      <c r="C24" s="571"/>
      <c r="E24" s="576"/>
      <c r="F24" s="576"/>
      <c r="G24" s="576"/>
      <c r="H24" s="576"/>
      <c r="I24" s="576"/>
      <c r="J24" s="576"/>
      <c r="K24" s="573"/>
      <c r="L24" s="576"/>
      <c r="M24" s="586"/>
    </row>
    <row r="25" spans="1:17">
      <c r="A25" s="556" t="s">
        <v>749</v>
      </c>
      <c r="B25" s="557" t="s">
        <v>782</v>
      </c>
      <c r="C25" s="557">
        <v>116720</v>
      </c>
      <c r="E25" s="580">
        <v>27.74</v>
      </c>
      <c r="F25" s="580"/>
      <c r="G25" s="580">
        <v>27.73</v>
      </c>
      <c r="H25" s="580"/>
      <c r="I25" s="580"/>
      <c r="J25" s="580"/>
      <c r="K25" s="573">
        <f>SUM(E25,G25)</f>
        <v>55.47</v>
      </c>
      <c r="L25" s="580">
        <f>SUM(E25,G25)</f>
        <v>55.47</v>
      </c>
      <c r="M25" s="581">
        <f>SUM(K25:L25)</f>
        <v>110.94</v>
      </c>
      <c r="P25" s="575">
        <v>52.64</v>
      </c>
      <c r="Q25" s="856">
        <f>SUM(M25-P25)/M25</f>
        <v>0.52550928429781862</v>
      </c>
    </row>
    <row r="26" spans="1:17">
      <c r="A26" s="556" t="s">
        <v>743</v>
      </c>
      <c r="E26" s="576"/>
      <c r="F26" s="576"/>
      <c r="G26" s="576"/>
      <c r="H26" s="576"/>
      <c r="I26" s="576"/>
      <c r="J26" s="576"/>
      <c r="K26" s="580"/>
      <c r="L26" s="576"/>
      <c r="M26" s="576"/>
    </row>
    <row r="27" spans="1:17">
      <c r="A27" s="556" t="s">
        <v>754</v>
      </c>
      <c r="B27" s="557" t="s">
        <v>783</v>
      </c>
      <c r="C27" s="557">
        <v>116883</v>
      </c>
      <c r="E27" s="580">
        <v>23</v>
      </c>
      <c r="F27" s="580"/>
      <c r="G27" s="580">
        <v>23</v>
      </c>
      <c r="H27" s="580"/>
      <c r="I27" s="580"/>
      <c r="J27" s="580"/>
      <c r="K27" s="573">
        <f>SUM(E27,G27)</f>
        <v>46</v>
      </c>
      <c r="L27" s="580">
        <v>0</v>
      </c>
      <c r="M27" s="581">
        <f>SUM(K27:L27)</f>
        <v>46</v>
      </c>
      <c r="P27" s="575">
        <v>51.28</v>
      </c>
      <c r="Q27" s="856">
        <f>SUM(M27-P27)/M27</f>
        <v>-0.1147826086956522</v>
      </c>
    </row>
    <row r="28" spans="1:17">
      <c r="A28" s="556" t="s">
        <v>743</v>
      </c>
      <c r="E28" s="576"/>
      <c r="F28" s="576"/>
      <c r="G28" s="576"/>
      <c r="H28" s="576"/>
      <c r="I28" s="576"/>
      <c r="J28" s="576"/>
      <c r="K28" s="576"/>
      <c r="L28" s="576"/>
      <c r="M28" s="576"/>
    </row>
    <row r="29" spans="1:17">
      <c r="E29" s="576"/>
      <c r="F29" s="576"/>
      <c r="G29" s="576"/>
      <c r="H29" s="576"/>
      <c r="I29" s="576"/>
      <c r="J29" s="576"/>
      <c r="K29" s="573"/>
      <c r="L29" s="576"/>
      <c r="M29" s="576"/>
    </row>
    <row r="30" spans="1:17">
      <c r="A30" s="556" t="s">
        <v>784</v>
      </c>
      <c r="B30" s="557" t="s">
        <v>785</v>
      </c>
      <c r="C30" s="557">
        <v>10027</v>
      </c>
      <c r="E30" s="580">
        <v>142.12</v>
      </c>
      <c r="F30" s="580"/>
      <c r="G30" s="580">
        <v>142.13</v>
      </c>
      <c r="H30" s="580"/>
      <c r="I30" s="580"/>
      <c r="J30" s="580"/>
      <c r="K30" s="573">
        <f>SUM(E30,G30)</f>
        <v>284.25</v>
      </c>
      <c r="L30" s="580">
        <f>SUM(E30:G30)</f>
        <v>284.25</v>
      </c>
      <c r="M30" s="581">
        <f>SUM(K30:L30)</f>
        <v>568.5</v>
      </c>
      <c r="P30" s="575">
        <v>555.78</v>
      </c>
      <c r="Q30" s="856">
        <f>SUM(M30-P30)/M30</f>
        <v>2.2374670184696618E-2</v>
      </c>
    </row>
    <row r="31" spans="1:17">
      <c r="E31" s="588"/>
      <c r="F31" s="588"/>
      <c r="G31" s="588"/>
      <c r="H31" s="588"/>
      <c r="I31" s="588"/>
      <c r="J31" s="588"/>
      <c r="K31" s="852"/>
      <c r="L31" s="588"/>
      <c r="M31" s="588"/>
    </row>
    <row r="32" spans="1:17" ht="15.75" customHeight="1">
      <c r="A32" s="556" t="s">
        <v>753</v>
      </c>
      <c r="B32" s="557" t="s">
        <v>786</v>
      </c>
      <c r="C32" s="557">
        <v>308405</v>
      </c>
      <c r="E32" s="580">
        <v>60.05</v>
      </c>
      <c r="F32" s="580"/>
      <c r="G32" s="580">
        <v>60.05</v>
      </c>
      <c r="H32" s="580"/>
      <c r="I32" s="580"/>
      <c r="J32" s="580"/>
      <c r="K32" s="573">
        <f>SUM(E32,G32)</f>
        <v>120.1</v>
      </c>
      <c r="L32" s="580">
        <f>E32+G32</f>
        <v>120.1</v>
      </c>
      <c r="M32" s="581">
        <f>SUM(K32:L32)</f>
        <v>240.2</v>
      </c>
      <c r="P32" s="575">
        <v>261.82</v>
      </c>
      <c r="Q32" s="856">
        <f>SUM(M32-P32)/M32</f>
        <v>-9.0008326394671129E-2</v>
      </c>
    </row>
    <row r="33" spans="1:17" ht="27.75" customHeight="1">
      <c r="A33" s="556" t="s">
        <v>752</v>
      </c>
      <c r="E33" s="576"/>
      <c r="F33" s="576"/>
      <c r="G33" s="576"/>
      <c r="H33" s="576"/>
      <c r="I33" s="576"/>
      <c r="J33" s="576"/>
      <c r="K33" s="576"/>
      <c r="L33" s="576"/>
      <c r="M33" s="576"/>
      <c r="Q33" s="857"/>
    </row>
    <row r="34" spans="1:17">
      <c r="E34" s="573"/>
      <c r="F34" s="573"/>
      <c r="G34" s="573"/>
      <c r="H34" s="573"/>
      <c r="I34" s="573"/>
      <c r="J34" s="573"/>
      <c r="K34" s="573"/>
      <c r="L34" s="573"/>
      <c r="M34" s="573"/>
      <c r="N34" s="564"/>
      <c r="O34" s="564"/>
    </row>
    <row r="35" spans="1:17">
      <c r="A35" s="556" t="s">
        <v>751</v>
      </c>
      <c r="B35" s="557" t="s">
        <v>787</v>
      </c>
      <c r="C35" s="557">
        <v>10068</v>
      </c>
      <c r="E35" s="576">
        <v>500</v>
      </c>
      <c r="F35" s="576">
        <v>500</v>
      </c>
      <c r="G35" s="576">
        <v>500</v>
      </c>
      <c r="H35" s="576"/>
      <c r="I35" s="576"/>
      <c r="J35" s="576"/>
      <c r="K35" s="576">
        <f>SUM(E35:G35)</f>
        <v>1500</v>
      </c>
      <c r="L35" s="576">
        <f>SUM(E35:G35)</f>
        <v>1500</v>
      </c>
      <c r="M35" s="576">
        <f>SUM(K35:L35)</f>
        <v>3000</v>
      </c>
      <c r="N35" s="576"/>
      <c r="O35" s="576">
        <f>SUM(M35:N35)</f>
        <v>3000</v>
      </c>
    </row>
    <row r="36" spans="1:17">
      <c r="A36" s="556" t="s">
        <v>1029</v>
      </c>
      <c r="E36" s="576"/>
      <c r="F36" s="576"/>
      <c r="G36" s="576"/>
      <c r="H36" s="576"/>
      <c r="I36" s="576"/>
      <c r="J36" s="576"/>
      <c r="K36" s="588"/>
      <c r="L36" s="576"/>
      <c r="M36" s="576"/>
      <c r="N36" s="576"/>
      <c r="O36" s="576"/>
    </row>
    <row r="37" spans="1:17" ht="12" thickBot="1">
      <c r="E37" s="573"/>
      <c r="F37" s="573">
        <v>14975.82</v>
      </c>
      <c r="G37" s="573"/>
      <c r="H37" s="573"/>
      <c r="I37" s="573"/>
      <c r="J37" s="573"/>
      <c r="K37" s="573">
        <f>F37</f>
        <v>14975.82</v>
      </c>
      <c r="L37" s="573">
        <f>F37</f>
        <v>14975.82</v>
      </c>
      <c r="M37" s="573">
        <f>SUM(K37:L37)</f>
        <v>29951.64</v>
      </c>
      <c r="N37" s="573"/>
      <c r="O37" s="588">
        <f>SUM(M37:N37)</f>
        <v>29951.64</v>
      </c>
    </row>
    <row r="38" spans="1:17" ht="12" thickBot="1">
      <c r="E38" s="580"/>
      <c r="F38" s="580"/>
      <c r="G38" s="580"/>
      <c r="H38" s="580"/>
      <c r="I38" s="580"/>
      <c r="J38" s="580"/>
      <c r="K38" s="580"/>
      <c r="L38" s="580"/>
      <c r="M38" s="580"/>
      <c r="N38" s="580"/>
      <c r="O38" s="589">
        <f>SUM(O35:O37)</f>
        <v>32951.64</v>
      </c>
      <c r="P38" s="805">
        <v>32247.94</v>
      </c>
      <c r="Q38" s="856">
        <f>SUM(O38-P38)/O38</f>
        <v>2.1355537994467065E-2</v>
      </c>
    </row>
    <row r="39" spans="1:17">
      <c r="E39" s="576"/>
      <c r="F39" s="576"/>
      <c r="G39" s="576"/>
      <c r="H39" s="576"/>
      <c r="I39" s="576"/>
      <c r="J39" s="576"/>
      <c r="K39" s="576"/>
      <c r="L39" s="576"/>
      <c r="M39" s="576"/>
      <c r="N39" s="576"/>
      <c r="O39" s="576"/>
    </row>
    <row r="40" spans="1:17">
      <c r="A40" s="556" t="s">
        <v>749</v>
      </c>
      <c r="B40" s="557" t="s">
        <v>788</v>
      </c>
      <c r="C40" s="557">
        <v>10018</v>
      </c>
      <c r="E40" s="580">
        <v>71.819999999999993</v>
      </c>
      <c r="F40" s="580">
        <v>71.81</v>
      </c>
      <c r="G40" s="580">
        <v>71.819999999999993</v>
      </c>
      <c r="H40" s="580"/>
      <c r="I40" s="580"/>
      <c r="J40" s="580"/>
      <c r="K40" s="580">
        <f>SUM(E40:G40)</f>
        <v>215.45</v>
      </c>
      <c r="L40" s="580">
        <f>SUM(E40:G40)</f>
        <v>215.45</v>
      </c>
      <c r="M40" s="581">
        <f>SUM(K40:L40)</f>
        <v>430.9</v>
      </c>
      <c r="P40" s="619">
        <v>420.8</v>
      </c>
      <c r="Q40" s="856">
        <f>SUM(M40-P40)/M40</f>
        <v>2.3439313065676412E-2</v>
      </c>
    </row>
    <row r="41" spans="1:17">
      <c r="A41" s="556" t="s">
        <v>750</v>
      </c>
      <c r="E41" s="576"/>
      <c r="F41" s="576"/>
      <c r="G41" s="576"/>
      <c r="H41" s="576"/>
      <c r="I41" s="576"/>
      <c r="J41" s="576"/>
      <c r="K41" s="576"/>
      <c r="L41" s="576"/>
      <c r="M41" s="576"/>
    </row>
    <row r="42" spans="1:17">
      <c r="E42" s="576"/>
      <c r="F42" s="576"/>
      <c r="G42" s="576"/>
      <c r="H42" s="576"/>
      <c r="I42" s="576"/>
      <c r="J42" s="576"/>
      <c r="K42" s="576"/>
      <c r="L42" s="576"/>
      <c r="M42" s="576"/>
    </row>
    <row r="43" spans="1:17">
      <c r="A43" s="556" t="s">
        <v>749</v>
      </c>
      <c r="B43" s="557" t="s">
        <v>789</v>
      </c>
      <c r="C43" s="557">
        <v>10022</v>
      </c>
      <c r="E43" s="580">
        <v>1784.66</v>
      </c>
      <c r="F43" s="580">
        <v>1784.65</v>
      </c>
      <c r="G43" s="580">
        <v>1784.66</v>
      </c>
      <c r="H43" s="580"/>
      <c r="I43" s="580">
        <v>1784.65</v>
      </c>
      <c r="J43" s="580"/>
      <c r="K43" s="580">
        <f>SUM(E43:I43)</f>
        <v>7138.6200000000008</v>
      </c>
      <c r="L43" s="580">
        <f>SUM(E43:I43)</f>
        <v>7138.6200000000008</v>
      </c>
      <c r="M43" s="581">
        <f>SUM(K43:L43)</f>
        <v>14277.240000000002</v>
      </c>
      <c r="P43" s="619">
        <v>13971.84</v>
      </c>
      <c r="Q43" s="856">
        <f>SUM(M43-P43)/M43</f>
        <v>2.1390688956689208E-2</v>
      </c>
    </row>
    <row r="44" spans="1:17">
      <c r="A44" s="556" t="s">
        <v>748</v>
      </c>
      <c r="E44" s="576"/>
      <c r="F44" s="576"/>
      <c r="G44" s="576"/>
      <c r="H44" s="576"/>
      <c r="I44" s="576"/>
      <c r="J44" s="576"/>
      <c r="K44" s="576"/>
      <c r="L44" s="576"/>
      <c r="M44" s="576"/>
    </row>
    <row r="45" spans="1:17">
      <c r="E45" s="576"/>
      <c r="F45" s="576"/>
      <c r="G45" s="576"/>
      <c r="H45" s="576"/>
      <c r="I45" s="576"/>
      <c r="J45" s="576"/>
      <c r="K45" s="576"/>
      <c r="L45" s="576"/>
      <c r="M45" s="576"/>
    </row>
    <row r="46" spans="1:17">
      <c r="A46" s="556" t="s">
        <v>747</v>
      </c>
      <c r="B46" s="557" t="s">
        <v>790</v>
      </c>
      <c r="C46" s="557">
        <v>10016</v>
      </c>
      <c r="E46" s="875">
        <v>1844.89</v>
      </c>
      <c r="F46" s="580">
        <v>1844.88</v>
      </c>
      <c r="G46" s="580">
        <v>1844.89</v>
      </c>
      <c r="H46" s="580"/>
      <c r="I46" s="580"/>
      <c r="J46" s="580"/>
      <c r="K46" s="580">
        <f>SUM(E46:I46)</f>
        <v>5534.6600000000008</v>
      </c>
      <c r="L46" s="580">
        <f>SUM(E46:G46)</f>
        <v>5534.6600000000008</v>
      </c>
      <c r="M46" s="581">
        <f>SUM(K46:L46)</f>
        <v>11069.320000000002</v>
      </c>
      <c r="P46" s="575">
        <v>10832.34</v>
      </c>
      <c r="Q46" s="856">
        <f>SUM(M46-P46)/M46</f>
        <v>2.1408722487018295E-2</v>
      </c>
    </row>
    <row r="47" spans="1:17">
      <c r="A47" s="556" t="s">
        <v>746</v>
      </c>
      <c r="E47" s="576"/>
      <c r="F47" s="576"/>
      <c r="G47" s="576"/>
      <c r="H47" s="576"/>
      <c r="I47" s="576"/>
      <c r="J47" s="576"/>
      <c r="K47" s="576"/>
      <c r="L47" s="576"/>
      <c r="M47" s="576"/>
    </row>
    <row r="48" spans="1:17">
      <c r="A48" s="590"/>
      <c r="B48" s="591"/>
      <c r="C48" s="592"/>
      <c r="D48" s="564"/>
      <c r="E48" s="573"/>
      <c r="F48" s="573"/>
      <c r="G48" s="573"/>
      <c r="H48" s="573"/>
      <c r="I48" s="573"/>
      <c r="J48" s="573"/>
      <c r="K48" s="573"/>
      <c r="L48" s="573"/>
      <c r="M48" s="573"/>
      <c r="N48" s="564"/>
      <c r="O48" s="564"/>
      <c r="P48" s="568"/>
    </row>
    <row r="49" spans="1:18" ht="12" thickBot="1">
      <c r="A49" s="587" t="s">
        <v>791</v>
      </c>
      <c r="B49" s="571"/>
      <c r="C49" s="571"/>
      <c r="D49" s="572"/>
      <c r="E49" s="554">
        <f>SUM(E11:E48)</f>
        <v>5341.0300000000007</v>
      </c>
      <c r="F49" s="554">
        <f>SUM(F11:F48)</f>
        <v>19177.16</v>
      </c>
      <c r="G49" s="554">
        <f>SUM(G11:G48)</f>
        <v>5341.0300000000007</v>
      </c>
      <c r="H49" s="554"/>
      <c r="I49" s="554">
        <f>SUM(I11:I48)</f>
        <v>1784.65</v>
      </c>
      <c r="J49" s="593"/>
      <c r="K49" s="554">
        <f>SUM(K11:K48)</f>
        <v>31643.87</v>
      </c>
      <c r="L49" s="554">
        <f>SUM(L11:L48)</f>
        <v>31576.350000000002</v>
      </c>
      <c r="M49" s="554">
        <f>SUM(M11:M48)</f>
        <v>63220.220000000008</v>
      </c>
      <c r="N49" s="572"/>
      <c r="O49" s="572"/>
      <c r="P49" s="575">
        <v>61910.879999999997</v>
      </c>
      <c r="Q49" s="856">
        <f>SUM(M49-P49)/M49</f>
        <v>2.0710778924844155E-2</v>
      </c>
      <c r="R49" s="861">
        <f>+P11+P14+P16+P18+P20+P22+P25+P27+P30+P32+P38+P40+P43+P46-P49</f>
        <v>0</v>
      </c>
    </row>
    <row r="50" spans="1:18" ht="12" thickTop="1">
      <c r="A50" s="587"/>
      <c r="B50" s="571"/>
      <c r="C50" s="571"/>
      <c r="D50" s="572"/>
      <c r="E50" s="588"/>
      <c r="F50" s="588"/>
      <c r="G50" s="588"/>
      <c r="H50" s="588"/>
      <c r="I50" s="588"/>
      <c r="J50" s="588"/>
      <c r="K50" s="588"/>
      <c r="L50" s="588"/>
      <c r="M50" s="588"/>
      <c r="N50" s="572"/>
      <c r="O50" s="572"/>
    </row>
    <row r="51" spans="1:18">
      <c r="A51" s="587" t="s">
        <v>763</v>
      </c>
      <c r="B51" s="571"/>
      <c r="C51" s="571"/>
      <c r="D51" s="572"/>
      <c r="E51" s="588"/>
      <c r="F51" s="588"/>
      <c r="G51" s="588"/>
      <c r="H51" s="588"/>
      <c r="I51" s="588"/>
      <c r="J51" s="588"/>
      <c r="K51" s="594">
        <f>-E49</f>
        <v>-5341.0300000000007</v>
      </c>
      <c r="L51" s="594">
        <f>-E49+E18+E27</f>
        <v>-5307.27</v>
      </c>
      <c r="M51" s="594">
        <f>SUM(K51:L51)</f>
        <v>-10648.300000000001</v>
      </c>
      <c r="N51" s="572"/>
      <c r="O51" s="572"/>
    </row>
    <row r="52" spans="1:18">
      <c r="A52" s="587" t="s">
        <v>769</v>
      </c>
      <c r="B52" s="571"/>
      <c r="C52" s="571"/>
      <c r="D52" s="572"/>
      <c r="E52" s="588"/>
      <c r="F52" s="588"/>
      <c r="G52" s="588"/>
      <c r="H52" s="588"/>
      <c r="I52" s="588"/>
      <c r="J52" s="588"/>
      <c r="K52" s="594">
        <f>-F49</f>
        <v>-19177.16</v>
      </c>
      <c r="L52" s="594">
        <f>-F49</f>
        <v>-19177.16</v>
      </c>
      <c r="M52" s="594">
        <f>SUM(K52:L52)</f>
        <v>-38354.32</v>
      </c>
      <c r="N52" s="572"/>
      <c r="O52" s="572"/>
    </row>
    <row r="53" spans="1:18">
      <c r="A53" s="587" t="s">
        <v>770</v>
      </c>
      <c r="B53" s="571"/>
      <c r="C53" s="571"/>
      <c r="D53" s="572"/>
      <c r="E53" s="588"/>
      <c r="F53" s="588"/>
      <c r="G53" s="588"/>
      <c r="H53" s="588"/>
      <c r="I53" s="588"/>
      <c r="J53" s="588"/>
      <c r="K53" s="594">
        <f>-G49</f>
        <v>-5341.0300000000007</v>
      </c>
      <c r="L53" s="594">
        <f>-G49+G20+G27</f>
        <v>-5307.27</v>
      </c>
      <c r="M53" s="594">
        <f>SUM(K53:L53)</f>
        <v>-10648.300000000001</v>
      </c>
      <c r="N53" s="572"/>
      <c r="O53" s="572"/>
    </row>
    <row r="54" spans="1:18">
      <c r="A54" s="587" t="s">
        <v>792</v>
      </c>
      <c r="B54" s="571"/>
      <c r="C54" s="571"/>
      <c r="D54" s="572"/>
      <c r="E54" s="588"/>
      <c r="F54" s="588"/>
      <c r="G54" s="588"/>
      <c r="H54" s="588"/>
      <c r="I54" s="588"/>
      <c r="J54" s="588"/>
      <c r="K54" s="594"/>
      <c r="L54" s="595"/>
      <c r="M54" s="595">
        <v>0</v>
      </c>
      <c r="N54" s="572"/>
      <c r="O54" s="572"/>
    </row>
    <row r="55" spans="1:18">
      <c r="A55" s="587"/>
      <c r="B55" s="571"/>
      <c r="C55" s="571"/>
      <c r="D55" s="572"/>
      <c r="E55" s="588"/>
      <c r="F55" s="588"/>
      <c r="G55" s="588"/>
      <c r="H55" s="588"/>
      <c r="I55" s="588"/>
      <c r="J55" s="588"/>
      <c r="K55" s="596">
        <v>0</v>
      </c>
      <c r="L55" s="596"/>
      <c r="M55" s="596">
        <v>0</v>
      </c>
      <c r="N55" s="572"/>
      <c r="O55" s="572"/>
    </row>
    <row r="56" spans="1:18">
      <c r="A56" s="590" t="s">
        <v>772</v>
      </c>
      <c r="B56" s="569"/>
      <c r="C56" s="569"/>
      <c r="D56" s="564"/>
      <c r="E56" s="573"/>
      <c r="F56" s="573"/>
      <c r="G56" s="573"/>
      <c r="H56" s="573"/>
      <c r="I56" s="573"/>
      <c r="J56" s="573"/>
      <c r="K56" s="574">
        <f>-I49</f>
        <v>-1784.65</v>
      </c>
      <c r="L56" s="574">
        <f>-I49</f>
        <v>-1784.65</v>
      </c>
      <c r="M56" s="574">
        <f>SUM(K56:L56)</f>
        <v>-3569.3</v>
      </c>
      <c r="N56" s="572"/>
      <c r="O56" s="572"/>
    </row>
    <row r="57" spans="1:18" ht="12" thickBot="1">
      <c r="A57" s="587"/>
      <c r="B57" s="571"/>
      <c r="C57" s="571"/>
      <c r="D57" s="572"/>
      <c r="E57" s="588"/>
      <c r="F57" s="588"/>
      <c r="G57" s="588"/>
      <c r="H57" s="588"/>
      <c r="I57" s="588"/>
      <c r="J57" s="588"/>
      <c r="K57" s="554">
        <f>SUM(K49:K56)</f>
        <v>-4.0927261579781771E-12</v>
      </c>
      <c r="L57" s="554">
        <f>SUM(L49:L56)</f>
        <v>0</v>
      </c>
      <c r="M57" s="554">
        <f>SUM(M49:M56)</f>
        <v>4.5474735088646412E-12</v>
      </c>
      <c r="N57" s="572"/>
      <c r="O57" s="572"/>
    </row>
    <row r="58" spans="1:18" ht="12.75" thickTop="1" thickBot="1">
      <c r="A58" s="590"/>
      <c r="B58" s="569"/>
      <c r="C58" s="569"/>
      <c r="D58" s="564"/>
      <c r="E58" s="573"/>
      <c r="F58" s="573"/>
      <c r="G58" s="573"/>
      <c r="H58" s="573"/>
      <c r="I58" s="573"/>
      <c r="J58" s="573"/>
      <c r="K58" s="573"/>
      <c r="L58" s="573"/>
      <c r="M58" s="573"/>
      <c r="N58" s="564"/>
      <c r="O58" s="564"/>
    </row>
    <row r="59" spans="1:18" ht="12" thickBot="1">
      <c r="A59" s="556" t="s">
        <v>1015</v>
      </c>
      <c r="B59" s="597"/>
      <c r="C59" s="597"/>
      <c r="D59" s="556"/>
      <c r="E59" s="556"/>
      <c r="F59" s="556"/>
      <c r="G59" s="556"/>
      <c r="H59" s="556"/>
      <c r="I59" s="556"/>
      <c r="J59" s="556"/>
      <c r="K59" s="602" t="s">
        <v>764</v>
      </c>
      <c r="L59" s="783" t="s">
        <v>765</v>
      </c>
      <c r="M59" s="782">
        <v>2017</v>
      </c>
      <c r="N59" s="572"/>
      <c r="O59" s="572"/>
      <c r="P59" s="561">
        <v>2016</v>
      </c>
    </row>
    <row r="60" spans="1:18" ht="12" thickBot="1">
      <c r="A60" s="560" t="s">
        <v>766</v>
      </c>
      <c r="B60" s="560" t="s">
        <v>767</v>
      </c>
      <c r="C60" s="560" t="s">
        <v>768</v>
      </c>
      <c r="D60" s="560"/>
      <c r="E60" s="560" t="s">
        <v>763</v>
      </c>
      <c r="F60" s="560" t="s">
        <v>769</v>
      </c>
      <c r="G60" s="560" t="s">
        <v>770</v>
      </c>
      <c r="H60" s="560" t="s">
        <v>771</v>
      </c>
      <c r="I60" s="560" t="s">
        <v>772</v>
      </c>
      <c r="J60" s="562"/>
      <c r="K60" s="781" t="s">
        <v>773</v>
      </c>
      <c r="L60" s="784" t="s">
        <v>773</v>
      </c>
      <c r="M60" s="777" t="s">
        <v>0</v>
      </c>
      <c r="N60" s="572"/>
      <c r="O60" s="572"/>
      <c r="P60" s="561" t="s">
        <v>774</v>
      </c>
    </row>
    <row r="61" spans="1:18">
      <c r="A61" s="565" t="s">
        <v>793</v>
      </c>
      <c r="B61" s="566"/>
      <c r="C61" s="566"/>
      <c r="D61" s="567"/>
      <c r="E61" s="567"/>
      <c r="F61" s="567"/>
      <c r="G61" s="567"/>
      <c r="H61" s="567"/>
      <c r="I61" s="567"/>
      <c r="J61" s="567"/>
      <c r="K61" s="567"/>
      <c r="L61" s="567"/>
      <c r="M61" s="567"/>
      <c r="N61" s="564"/>
      <c r="O61" s="564"/>
      <c r="P61" s="568"/>
    </row>
    <row r="62" spans="1:18">
      <c r="A62" s="597" t="s">
        <v>763</v>
      </c>
      <c r="E62" s="576"/>
      <c r="F62" s="576"/>
      <c r="G62" s="576"/>
      <c r="H62" s="576"/>
      <c r="I62" s="576"/>
      <c r="J62" s="576"/>
      <c r="K62" s="576"/>
      <c r="L62" s="576"/>
      <c r="M62" s="576"/>
    </row>
    <row r="63" spans="1:18">
      <c r="A63" s="556" t="s">
        <v>745</v>
      </c>
      <c r="B63" s="557" t="s">
        <v>794</v>
      </c>
      <c r="C63" s="557">
        <v>3025</v>
      </c>
      <c r="E63" s="580">
        <v>1783.51</v>
      </c>
      <c r="F63" s="580"/>
      <c r="G63" s="580"/>
      <c r="H63" s="580"/>
      <c r="I63" s="580"/>
      <c r="J63" s="580"/>
      <c r="K63" s="580">
        <f>E63</f>
        <v>1783.51</v>
      </c>
      <c r="L63" s="580">
        <f>E63</f>
        <v>1783.51</v>
      </c>
      <c r="M63" s="581">
        <f>SUM(K63:L63)</f>
        <v>3567.02</v>
      </c>
      <c r="P63" s="575">
        <v>3332.9</v>
      </c>
      <c r="Q63" s="856">
        <f>SUM(M63-P63)/M63</f>
        <v>6.5634619374155434E-2</v>
      </c>
    </row>
    <row r="64" spans="1:18">
      <c r="A64" s="556" t="s">
        <v>743</v>
      </c>
      <c r="E64" s="588"/>
      <c r="F64" s="588"/>
      <c r="G64" s="588"/>
      <c r="H64" s="588"/>
      <c r="I64" s="588"/>
      <c r="J64" s="588"/>
      <c r="K64" s="588"/>
      <c r="L64" s="588"/>
      <c r="M64" s="594"/>
    </row>
    <row r="65" spans="1:18">
      <c r="C65" s="571"/>
      <c r="E65" s="588"/>
      <c r="F65" s="588"/>
      <c r="G65" s="588"/>
      <c r="H65" s="588"/>
      <c r="I65" s="588"/>
      <c r="J65" s="588"/>
      <c r="K65" s="588"/>
      <c r="L65" s="588"/>
      <c r="M65" s="588"/>
    </row>
    <row r="66" spans="1:18">
      <c r="A66" s="556" t="s">
        <v>744</v>
      </c>
      <c r="B66" s="557" t="s">
        <v>795</v>
      </c>
      <c r="C66" s="557">
        <v>321805055</v>
      </c>
      <c r="E66" s="580">
        <v>30.24</v>
      </c>
      <c r="F66" s="580"/>
      <c r="G66" s="580"/>
      <c r="H66" s="580"/>
      <c r="I66" s="580"/>
      <c r="J66" s="580"/>
      <c r="K66" s="580">
        <f>E66</f>
        <v>30.24</v>
      </c>
      <c r="L66" s="580">
        <f>E66</f>
        <v>30.24</v>
      </c>
      <c r="M66" s="581">
        <f>SUM(K66:L66)</f>
        <v>60.48</v>
      </c>
      <c r="P66" s="575">
        <v>64.459999999999994</v>
      </c>
      <c r="Q66" s="856">
        <f>SUM(M66-P66)/M66</f>
        <v>-6.5806878306878258E-2</v>
      </c>
    </row>
    <row r="67" spans="1:18">
      <c r="A67" s="590" t="s">
        <v>743</v>
      </c>
      <c r="B67" s="569"/>
      <c r="C67" s="569"/>
      <c r="D67" s="564"/>
      <c r="E67" s="573"/>
      <c r="F67" s="573"/>
      <c r="G67" s="573"/>
      <c r="H67" s="573"/>
      <c r="I67" s="573"/>
      <c r="J67" s="573"/>
      <c r="K67" s="573"/>
      <c r="L67" s="573"/>
      <c r="M67" s="573"/>
    </row>
    <row r="68" spans="1:18" ht="12" thickBot="1">
      <c r="A68" s="556" t="s">
        <v>796</v>
      </c>
      <c r="E68" s="554">
        <f>SUM(E63:E67)</f>
        <v>1813.75</v>
      </c>
      <c r="F68" s="593"/>
      <c r="G68" s="593"/>
      <c r="H68" s="593"/>
      <c r="I68" s="593"/>
      <c r="J68" s="593"/>
      <c r="K68" s="554">
        <f>SUM(K63:K67)</f>
        <v>1813.75</v>
      </c>
      <c r="L68" s="554">
        <f>SUM(L63:L67)</f>
        <v>1813.75</v>
      </c>
      <c r="M68" s="554">
        <f>SUM(M63:M67)</f>
        <v>3627.5</v>
      </c>
      <c r="P68" s="575">
        <v>3397.36</v>
      </c>
      <c r="Q68" s="856">
        <f>SUM(M68-P68)/M68</f>
        <v>6.3443142660234292E-2</v>
      </c>
      <c r="R68" s="861">
        <f>+P63+P66-P68</f>
        <v>0</v>
      </c>
    </row>
    <row r="69" spans="1:18" ht="12" thickTop="1">
      <c r="E69" s="588"/>
      <c r="F69" s="588"/>
      <c r="G69" s="588"/>
      <c r="H69" s="588"/>
      <c r="I69" s="588"/>
      <c r="J69" s="588"/>
      <c r="K69" s="588"/>
      <c r="L69" s="588"/>
      <c r="M69" s="588"/>
    </row>
    <row r="70" spans="1:18">
      <c r="A70" s="590"/>
      <c r="B70" s="569"/>
      <c r="C70" s="569"/>
      <c r="D70" s="564"/>
      <c r="E70" s="573"/>
      <c r="F70" s="573"/>
      <c r="G70" s="573"/>
      <c r="H70" s="573"/>
      <c r="I70" s="573"/>
      <c r="J70" s="573"/>
      <c r="K70" s="573"/>
      <c r="L70" s="573"/>
      <c r="M70" s="573"/>
      <c r="N70" s="564"/>
      <c r="O70" s="564"/>
      <c r="P70" s="568"/>
    </row>
    <row r="71" spans="1:18">
      <c r="A71" s="597" t="s">
        <v>769</v>
      </c>
      <c r="E71" s="588"/>
      <c r="F71" s="588"/>
      <c r="G71" s="588"/>
      <c r="H71" s="588"/>
      <c r="I71" s="588"/>
      <c r="J71" s="588"/>
      <c r="K71" s="588"/>
      <c r="L71" s="588"/>
      <c r="M71" s="588"/>
    </row>
    <row r="72" spans="1:18">
      <c r="A72" s="556" t="s">
        <v>745</v>
      </c>
      <c r="B72" s="557" t="s">
        <v>797</v>
      </c>
      <c r="C72" s="557">
        <v>10021</v>
      </c>
      <c r="E72" s="580"/>
      <c r="F72" s="580">
        <v>4547.21</v>
      </c>
      <c r="G72" s="580"/>
      <c r="H72" s="580"/>
      <c r="I72" s="580"/>
      <c r="J72" s="580"/>
      <c r="K72" s="580">
        <f>F72</f>
        <v>4547.21</v>
      </c>
      <c r="L72" s="580">
        <f>F72</f>
        <v>4547.21</v>
      </c>
      <c r="M72" s="581">
        <f>SUM(K72:L72)</f>
        <v>9094.42</v>
      </c>
      <c r="P72" s="575">
        <f>M72</f>
        <v>9094.42</v>
      </c>
      <c r="Q72" s="856">
        <f>SUM(M72-P72)/M72</f>
        <v>0</v>
      </c>
    </row>
    <row r="73" spans="1:18">
      <c r="A73" s="556" t="s">
        <v>798</v>
      </c>
      <c r="E73" s="576"/>
      <c r="F73" s="576"/>
      <c r="G73" s="576"/>
      <c r="H73" s="576"/>
      <c r="I73" s="576"/>
      <c r="J73" s="576"/>
      <c r="K73" s="576"/>
      <c r="L73" s="576"/>
      <c r="M73" s="586"/>
    </row>
    <row r="74" spans="1:18">
      <c r="E74" s="576"/>
      <c r="F74" s="576"/>
      <c r="G74" s="576"/>
      <c r="H74" s="576"/>
      <c r="I74" s="576"/>
      <c r="J74" s="576"/>
      <c r="K74" s="576"/>
      <c r="L74" s="576"/>
      <c r="M74" s="586"/>
    </row>
    <row r="75" spans="1:18">
      <c r="A75" s="556" t="s">
        <v>749</v>
      </c>
      <c r="B75" s="557" t="s">
        <v>799</v>
      </c>
      <c r="C75" s="557">
        <v>10023</v>
      </c>
      <c r="E75" s="580"/>
      <c r="F75" s="580">
        <v>394.38</v>
      </c>
      <c r="G75" s="580"/>
      <c r="H75" s="580"/>
      <c r="I75" s="580"/>
      <c r="J75" s="580"/>
      <c r="K75" s="580">
        <f>SUM(E75:G75)</f>
        <v>394.38</v>
      </c>
      <c r="L75" s="580">
        <f>SUM(E75:G75)</f>
        <v>394.38</v>
      </c>
      <c r="M75" s="581">
        <f>SUM(K75:L75)</f>
        <v>788.76</v>
      </c>
      <c r="P75" s="575">
        <v>771.02</v>
      </c>
      <c r="Q75" s="856">
        <f>SUM(M75-P75)/M75</f>
        <v>2.2490998529337201E-2</v>
      </c>
    </row>
    <row r="76" spans="1:18">
      <c r="A76" s="556" t="s">
        <v>800</v>
      </c>
      <c r="E76" s="588"/>
      <c r="F76" s="588"/>
      <c r="G76" s="588"/>
      <c r="H76" s="588"/>
      <c r="I76" s="588"/>
      <c r="J76" s="588"/>
      <c r="K76" s="588"/>
      <c r="L76" s="588"/>
      <c r="M76" s="594"/>
      <c r="P76" s="598"/>
    </row>
    <row r="77" spans="1:18">
      <c r="E77" s="588"/>
      <c r="F77" s="588"/>
      <c r="G77" s="588"/>
      <c r="H77" s="588"/>
      <c r="I77" s="588"/>
      <c r="J77" s="588"/>
      <c r="K77" s="588"/>
      <c r="L77" s="588"/>
      <c r="M77" s="594"/>
      <c r="P77" s="598"/>
    </row>
    <row r="78" spans="1:18">
      <c r="E78" s="576"/>
      <c r="F78" s="576"/>
      <c r="G78" s="576"/>
      <c r="H78" s="576"/>
      <c r="I78" s="576"/>
      <c r="J78" s="576"/>
      <c r="K78" s="576"/>
      <c r="L78" s="576"/>
      <c r="M78" s="586"/>
    </row>
    <row r="79" spans="1:18">
      <c r="A79" s="556" t="s">
        <v>801</v>
      </c>
      <c r="B79" s="557" t="s">
        <v>802</v>
      </c>
      <c r="C79" s="557">
        <v>10019</v>
      </c>
      <c r="E79" s="580"/>
      <c r="F79" s="580">
        <v>4676.1000000000004</v>
      </c>
      <c r="G79" s="580"/>
      <c r="H79" s="580"/>
      <c r="I79" s="580"/>
      <c r="J79" s="580"/>
      <c r="K79" s="580">
        <f>F79</f>
        <v>4676.1000000000004</v>
      </c>
      <c r="L79" s="580">
        <f>F79</f>
        <v>4676.1000000000004</v>
      </c>
      <c r="M79" s="581">
        <f>SUM(K79:L79)</f>
        <v>9352.2000000000007</v>
      </c>
      <c r="P79" s="575">
        <v>9157.1</v>
      </c>
      <c r="Q79" s="856">
        <f>SUM(M79-P79)/M79</f>
        <v>2.0861401595346586E-2</v>
      </c>
    </row>
    <row r="80" spans="1:18">
      <c r="A80" s="556" t="s">
        <v>1030</v>
      </c>
      <c r="E80" s="576"/>
      <c r="F80" s="576"/>
      <c r="G80" s="576"/>
      <c r="H80" s="576"/>
      <c r="I80" s="576"/>
      <c r="J80" s="576"/>
      <c r="K80" s="576"/>
      <c r="L80" s="576"/>
      <c r="M80" s="586"/>
    </row>
    <row r="81" spans="1:18">
      <c r="E81" s="576"/>
      <c r="F81" s="576"/>
      <c r="G81" s="576"/>
      <c r="H81" s="576"/>
      <c r="I81" s="576"/>
      <c r="J81" s="576"/>
      <c r="K81" s="576"/>
      <c r="L81" s="576"/>
      <c r="M81" s="586"/>
    </row>
    <row r="82" spans="1:18">
      <c r="A82" s="556" t="s">
        <v>749</v>
      </c>
      <c r="B82" s="557" t="s">
        <v>803</v>
      </c>
      <c r="C82" s="557">
        <v>321806</v>
      </c>
      <c r="E82" s="580"/>
      <c r="F82" s="580">
        <v>18559.03</v>
      </c>
      <c r="G82" s="580"/>
      <c r="H82" s="580"/>
      <c r="I82" s="580"/>
      <c r="J82" s="580"/>
      <c r="K82" s="580">
        <f>F82</f>
        <v>18559.03</v>
      </c>
      <c r="L82" s="580">
        <f>F82</f>
        <v>18559.03</v>
      </c>
      <c r="M82" s="581">
        <f>SUM(K82:L82)</f>
        <v>37118.06</v>
      </c>
      <c r="P82" s="575">
        <v>30356.78</v>
      </c>
      <c r="Q82" s="856">
        <f>SUM(M82-P82)/M82</f>
        <v>0.18215607173435247</v>
      </c>
    </row>
    <row r="83" spans="1:18">
      <c r="A83" s="590" t="s">
        <v>743</v>
      </c>
      <c r="B83" s="569"/>
      <c r="C83" s="569"/>
      <c r="D83" s="564"/>
      <c r="E83" s="573"/>
      <c r="F83" s="573"/>
      <c r="G83" s="573"/>
      <c r="H83" s="573"/>
      <c r="I83" s="573"/>
      <c r="J83" s="573"/>
      <c r="K83" s="573"/>
      <c r="L83" s="573"/>
      <c r="M83" s="573"/>
    </row>
    <row r="84" spans="1:18" ht="12" thickBot="1">
      <c r="A84" s="556" t="s">
        <v>804</v>
      </c>
      <c r="E84" s="588"/>
      <c r="F84" s="554">
        <f>SUM(F72:F83)</f>
        <v>28176.720000000001</v>
      </c>
      <c r="G84" s="593"/>
      <c r="H84" s="593"/>
      <c r="I84" s="593"/>
      <c r="J84" s="593"/>
      <c r="K84" s="554">
        <f>SUM(K72:K83)</f>
        <v>28176.720000000001</v>
      </c>
      <c r="L84" s="554">
        <f>SUM(L72:L83)</f>
        <v>28176.720000000001</v>
      </c>
      <c r="M84" s="554">
        <f>SUM(M72:M83)</f>
        <v>56353.440000000002</v>
      </c>
      <c r="P84" s="575">
        <v>49189.58</v>
      </c>
      <c r="Q84" s="856">
        <f>SUM(M84-P84)/M84</f>
        <v>0.12712373902995097</v>
      </c>
      <c r="R84" s="861">
        <f>+P72+P75+P79+P82-P84</f>
        <v>189.73999999999796</v>
      </c>
    </row>
    <row r="85" spans="1:18" ht="12" thickTop="1">
      <c r="E85" s="588"/>
      <c r="F85" s="588"/>
      <c r="G85" s="588"/>
      <c r="H85" s="588"/>
      <c r="I85" s="588"/>
      <c r="J85" s="588"/>
      <c r="K85" s="588"/>
      <c r="L85" s="588"/>
      <c r="M85" s="588"/>
    </row>
    <row r="86" spans="1:18">
      <c r="E86" s="588"/>
      <c r="F86" s="588"/>
      <c r="G86" s="588"/>
      <c r="H86" s="588"/>
      <c r="I86" s="588"/>
      <c r="J86" s="588"/>
      <c r="K86" s="588"/>
      <c r="L86" s="588"/>
      <c r="M86" s="588"/>
    </row>
    <row r="87" spans="1:18">
      <c r="A87" s="590"/>
      <c r="B87" s="569"/>
      <c r="C87" s="569"/>
      <c r="D87" s="564"/>
      <c r="E87" s="573"/>
      <c r="F87" s="573"/>
      <c r="G87" s="573"/>
      <c r="H87" s="573"/>
      <c r="I87" s="573"/>
      <c r="J87" s="573"/>
      <c r="K87" s="573"/>
      <c r="L87" s="573"/>
      <c r="M87" s="573"/>
      <c r="N87" s="564"/>
      <c r="O87" s="564"/>
      <c r="P87" s="568"/>
    </row>
    <row r="88" spans="1:18">
      <c r="A88" s="597" t="s">
        <v>770</v>
      </c>
      <c r="E88" s="576"/>
      <c r="F88" s="576"/>
      <c r="G88" s="576"/>
      <c r="H88" s="576"/>
      <c r="I88" s="576"/>
      <c r="J88" s="576"/>
      <c r="K88" s="576"/>
      <c r="L88" s="576"/>
      <c r="M88" s="576"/>
    </row>
    <row r="89" spans="1:18">
      <c r="E89" s="576"/>
      <c r="F89" s="576"/>
      <c r="G89" s="576"/>
      <c r="H89" s="576"/>
      <c r="I89" s="576"/>
      <c r="J89" s="576"/>
      <c r="K89" s="576"/>
      <c r="L89" s="576"/>
      <c r="M89" s="576"/>
    </row>
    <row r="90" spans="1:18">
      <c r="A90" s="556" t="s">
        <v>805</v>
      </c>
      <c r="B90" s="557" t="s">
        <v>806</v>
      </c>
      <c r="C90" s="557">
        <v>321807</v>
      </c>
      <c r="E90" s="580"/>
      <c r="F90" s="580"/>
      <c r="G90" s="580">
        <v>2673.38</v>
      </c>
      <c r="H90" s="580"/>
      <c r="I90" s="580"/>
      <c r="J90" s="580"/>
      <c r="K90" s="580">
        <f>G90</f>
        <v>2673.38</v>
      </c>
      <c r="L90" s="580">
        <f>G90</f>
        <v>2673.38</v>
      </c>
      <c r="M90" s="581">
        <f>SUM(K90:L90)</f>
        <v>5346.76</v>
      </c>
      <c r="P90" s="575">
        <v>5211.96</v>
      </c>
      <c r="Q90" s="856">
        <f>SUM(M90-P90)/M90</f>
        <v>2.521152997329227E-2</v>
      </c>
    </row>
    <row r="91" spans="1:18">
      <c r="A91" s="556" t="s">
        <v>743</v>
      </c>
      <c r="E91" s="588"/>
      <c r="F91" s="588"/>
      <c r="G91" s="588"/>
      <c r="H91" s="588"/>
      <c r="I91" s="588"/>
      <c r="J91" s="588"/>
      <c r="K91" s="588"/>
      <c r="L91" s="588"/>
      <c r="M91" s="594"/>
    </row>
    <row r="92" spans="1:18">
      <c r="E92" s="588"/>
      <c r="F92" s="588"/>
      <c r="G92" s="588"/>
      <c r="H92" s="588"/>
      <c r="I92" s="588"/>
      <c r="J92" s="588"/>
      <c r="K92" s="588"/>
      <c r="L92" s="588"/>
      <c r="M92" s="594"/>
    </row>
    <row r="93" spans="1:18">
      <c r="A93" s="556" t="s">
        <v>807</v>
      </c>
      <c r="B93" s="557" t="s">
        <v>808</v>
      </c>
      <c r="C93" s="557">
        <v>321805</v>
      </c>
      <c r="E93" s="580"/>
      <c r="F93" s="580"/>
      <c r="G93" s="580">
        <v>423.9</v>
      </c>
      <c r="H93" s="580"/>
      <c r="I93" s="580"/>
      <c r="J93" s="580"/>
      <c r="K93" s="580">
        <f>G93</f>
        <v>423.9</v>
      </c>
      <c r="L93" s="580">
        <f>G93</f>
        <v>423.9</v>
      </c>
      <c r="M93" s="581">
        <f>SUM(K93:L93)</f>
        <v>847.8</v>
      </c>
      <c r="P93" s="575">
        <v>937.3</v>
      </c>
      <c r="Q93" s="856">
        <f>SUM(M93-P93)/M93</f>
        <v>-0.10556735079028073</v>
      </c>
    </row>
    <row r="94" spans="1:18">
      <c r="A94" s="590" t="s">
        <v>743</v>
      </c>
      <c r="B94" s="569"/>
      <c r="C94" s="569"/>
      <c r="D94" s="564"/>
      <c r="E94" s="573"/>
      <c r="F94" s="573"/>
      <c r="G94" s="573"/>
      <c r="H94" s="573"/>
      <c r="I94" s="573"/>
      <c r="J94" s="573"/>
      <c r="K94" s="573"/>
      <c r="L94" s="573"/>
      <c r="M94" s="573"/>
    </row>
    <row r="95" spans="1:18" ht="12" thickBot="1">
      <c r="A95" s="556" t="s">
        <v>809</v>
      </c>
      <c r="E95" s="576"/>
      <c r="F95" s="576"/>
      <c r="G95" s="554">
        <f>SUM(G90:G94)</f>
        <v>3097.28</v>
      </c>
      <c r="H95" s="554"/>
      <c r="I95" s="554"/>
      <c r="J95" s="554"/>
      <c r="K95" s="554">
        <f>SUM(K90:K94)</f>
        <v>3097.28</v>
      </c>
      <c r="L95" s="554">
        <f>SUM(L90:L94)</f>
        <v>3097.28</v>
      </c>
      <c r="M95" s="554">
        <f>SUM(M90:M94)</f>
        <v>6194.56</v>
      </c>
      <c r="P95" s="575">
        <v>6149.26</v>
      </c>
      <c r="Q95" s="856">
        <f>SUM(M95-P95)/M95</f>
        <v>7.3128680648827651E-3</v>
      </c>
      <c r="R95" s="861">
        <f>+P90+P93-P95</f>
        <v>0</v>
      </c>
    </row>
    <row r="96" spans="1:18" ht="12" thickTop="1">
      <c r="E96" s="576"/>
      <c r="F96" s="576"/>
      <c r="G96" s="576"/>
      <c r="H96" s="576"/>
      <c r="I96" s="576"/>
      <c r="J96" s="576"/>
      <c r="K96" s="576"/>
      <c r="L96" s="576"/>
      <c r="M96" s="576"/>
    </row>
    <row r="97" spans="1:18" ht="12" thickBot="1">
      <c r="E97" s="576"/>
      <c r="F97" s="576"/>
      <c r="G97" s="576"/>
      <c r="H97" s="576"/>
      <c r="I97" s="576"/>
      <c r="J97" s="576"/>
      <c r="K97" s="576"/>
      <c r="L97" s="576"/>
      <c r="M97" s="576"/>
    </row>
    <row r="98" spans="1:18" ht="12" thickBot="1">
      <c r="A98" s="556" t="s">
        <v>1015</v>
      </c>
      <c r="B98" s="597"/>
      <c r="C98" s="597"/>
      <c r="D98" s="556"/>
      <c r="E98" s="556"/>
      <c r="F98" s="556"/>
      <c r="G98" s="556"/>
      <c r="H98" s="556"/>
      <c r="I98" s="556"/>
      <c r="J98" s="556"/>
      <c r="K98" s="602" t="s">
        <v>764</v>
      </c>
      <c r="L98" s="783" t="s">
        <v>765</v>
      </c>
      <c r="M98" s="782">
        <v>2017</v>
      </c>
      <c r="P98" s="561">
        <v>2017</v>
      </c>
    </row>
    <row r="99" spans="1:18" ht="12" thickBot="1">
      <c r="A99" s="560" t="s">
        <v>766</v>
      </c>
      <c r="B99" s="560" t="s">
        <v>767</v>
      </c>
      <c r="C99" s="560" t="s">
        <v>768</v>
      </c>
      <c r="D99" s="560"/>
      <c r="E99" s="560" t="s">
        <v>763</v>
      </c>
      <c r="F99" s="560" t="s">
        <v>769</v>
      </c>
      <c r="G99" s="560" t="s">
        <v>770</v>
      </c>
      <c r="H99" s="560" t="s">
        <v>771</v>
      </c>
      <c r="I99" s="560" t="s">
        <v>772</v>
      </c>
      <c r="J99" s="562"/>
      <c r="K99" s="781" t="s">
        <v>773</v>
      </c>
      <c r="L99" s="784" t="s">
        <v>773</v>
      </c>
      <c r="M99" s="777" t="s">
        <v>0</v>
      </c>
      <c r="N99" s="563"/>
      <c r="O99" s="599"/>
      <c r="P99" s="600" t="s">
        <v>774</v>
      </c>
    </row>
    <row r="100" spans="1:18">
      <c r="A100" s="565" t="s">
        <v>810</v>
      </c>
      <c r="B100" s="566"/>
      <c r="C100" s="566"/>
      <c r="D100" s="567"/>
      <c r="E100" s="567"/>
      <c r="F100" s="567"/>
      <c r="G100" s="567"/>
      <c r="H100" s="567"/>
      <c r="I100" s="567"/>
      <c r="J100" s="567"/>
      <c r="K100" s="567"/>
      <c r="L100" s="567"/>
      <c r="M100" s="567"/>
    </row>
    <row r="101" spans="1:18">
      <c r="A101" s="570"/>
      <c r="B101" s="571"/>
      <c r="C101" s="571"/>
      <c r="D101" s="572"/>
      <c r="E101" s="564"/>
      <c r="F101" s="564"/>
      <c r="G101" s="564"/>
      <c r="H101" s="564"/>
      <c r="I101" s="564"/>
      <c r="J101" s="564"/>
      <c r="K101" s="564"/>
      <c r="L101" s="564"/>
      <c r="M101" s="564"/>
    </row>
    <row r="102" spans="1:18">
      <c r="A102" s="556" t="s">
        <v>749</v>
      </c>
      <c r="B102" s="557" t="s">
        <v>811</v>
      </c>
      <c r="C102" s="557">
        <v>2245</v>
      </c>
      <c r="E102" s="573"/>
      <c r="F102" s="573"/>
      <c r="G102" s="573"/>
      <c r="H102" s="573">
        <v>1902.19</v>
      </c>
      <c r="I102" s="573"/>
      <c r="J102" s="573"/>
      <c r="K102" s="573">
        <f>SUM(H102)</f>
        <v>1902.19</v>
      </c>
      <c r="L102" s="573">
        <f>SUM(H102)</f>
        <v>1902.19</v>
      </c>
      <c r="M102" s="574">
        <f>SUM(K102:L102)</f>
        <v>3804.38</v>
      </c>
      <c r="P102" s="575">
        <v>4355.22</v>
      </c>
      <c r="Q102" s="856">
        <f>SUM(M102-P102)/M102</f>
        <v>-0.1447910040532229</v>
      </c>
    </row>
    <row r="103" spans="1:18">
      <c r="A103" s="556" t="s">
        <v>743</v>
      </c>
      <c r="E103" s="576"/>
      <c r="F103" s="576"/>
      <c r="G103" s="576"/>
      <c r="H103" s="576"/>
      <c r="I103" s="576"/>
      <c r="J103" s="576"/>
      <c r="K103" s="576"/>
      <c r="L103" s="576"/>
      <c r="M103" s="586"/>
    </row>
    <row r="104" spans="1:18">
      <c r="A104" s="590"/>
      <c r="B104" s="569"/>
      <c r="C104" s="569"/>
      <c r="D104" s="564"/>
      <c r="E104" s="573"/>
      <c r="F104" s="573"/>
      <c r="G104" s="573"/>
      <c r="H104" s="573"/>
      <c r="I104" s="573"/>
      <c r="J104" s="573"/>
      <c r="K104" s="573"/>
      <c r="L104" s="573"/>
      <c r="M104" s="574"/>
    </row>
    <row r="105" spans="1:18" ht="12" thickBot="1">
      <c r="A105" s="556" t="s">
        <v>812</v>
      </c>
      <c r="E105" s="576"/>
      <c r="F105" s="576"/>
      <c r="G105" s="576"/>
      <c r="H105" s="554">
        <f>SUM(H102:H104)</f>
        <v>1902.19</v>
      </c>
      <c r="I105" s="554"/>
      <c r="J105" s="554"/>
      <c r="K105" s="554">
        <f>SUM(K102:K104)</f>
        <v>1902.19</v>
      </c>
      <c r="L105" s="554">
        <f>SUM(L102:L104)</f>
        <v>1902.19</v>
      </c>
      <c r="M105" s="554">
        <f>SUM(M102:M104)</f>
        <v>3804.38</v>
      </c>
      <c r="P105" s="575">
        <v>4355.22</v>
      </c>
      <c r="R105" s="861">
        <f>+P102-P105</f>
        <v>0</v>
      </c>
    </row>
    <row r="106" spans="1:18" ht="12" thickTop="1">
      <c r="E106" s="576"/>
      <c r="F106" s="576"/>
      <c r="G106" s="576"/>
      <c r="H106" s="576"/>
      <c r="I106" s="576"/>
      <c r="J106" s="576"/>
      <c r="K106" s="576"/>
      <c r="L106" s="576"/>
      <c r="M106" s="576"/>
    </row>
    <row r="107" spans="1:18">
      <c r="E107" s="576"/>
      <c r="F107" s="576"/>
      <c r="G107" s="576"/>
      <c r="H107" s="576"/>
      <c r="I107" s="576"/>
      <c r="J107" s="576"/>
      <c r="K107" s="576"/>
      <c r="L107" s="576"/>
      <c r="M107" s="576"/>
    </row>
    <row r="108" spans="1:18">
      <c r="A108" s="590"/>
      <c r="B108" s="569"/>
      <c r="C108" s="569"/>
      <c r="D108" s="564"/>
      <c r="E108" s="573"/>
      <c r="F108" s="573"/>
      <c r="G108" s="573"/>
      <c r="H108" s="573"/>
      <c r="I108" s="573"/>
      <c r="J108" s="573"/>
      <c r="K108" s="573"/>
      <c r="L108" s="573"/>
      <c r="M108" s="573"/>
      <c r="N108" s="564"/>
      <c r="O108" s="564"/>
      <c r="P108" s="568"/>
    </row>
    <row r="109" spans="1:18">
      <c r="A109" s="590"/>
      <c r="B109" s="569"/>
      <c r="C109" s="569"/>
      <c r="D109" s="564"/>
      <c r="E109" s="573"/>
      <c r="F109" s="573"/>
      <c r="G109" s="573"/>
      <c r="H109" s="573"/>
      <c r="I109" s="573"/>
      <c r="J109" s="573"/>
      <c r="K109" s="573"/>
      <c r="L109" s="573"/>
      <c r="M109" s="573"/>
      <c r="N109" s="564"/>
      <c r="O109" s="564"/>
    </row>
    <row r="110" spans="1:18" ht="12" thickBot="1">
      <c r="A110" s="556" t="s">
        <v>813</v>
      </c>
      <c r="E110" s="601">
        <f>SUM(E49,E68)</f>
        <v>7154.7800000000007</v>
      </c>
      <c r="F110" s="601">
        <f>SUM(F49,F84)</f>
        <v>47353.880000000005</v>
      </c>
      <c r="G110" s="601">
        <f>SUM(G49,G95)-0.01</f>
        <v>8438.3000000000011</v>
      </c>
      <c r="H110" s="601">
        <f>SUM(H105)</f>
        <v>1902.19</v>
      </c>
      <c r="I110" s="601">
        <f>SUM(I49)-0.01</f>
        <v>1784.64</v>
      </c>
      <c r="J110" s="601"/>
      <c r="K110" s="601">
        <f>SUM(K49,K68,K84,K95,K105)</f>
        <v>66633.81</v>
      </c>
      <c r="L110" s="601">
        <f>SUM(L49,L68,L84,L95,L105)</f>
        <v>66566.290000000008</v>
      </c>
      <c r="M110" s="601">
        <f>SUM(M49,M68,M84,M95,M105,)</f>
        <v>133200.1</v>
      </c>
    </row>
    <row r="111" spans="1:18" ht="12.75" thickTop="1" thickBot="1"/>
    <row r="112" spans="1:18" ht="12" thickBot="1">
      <c r="A112" s="1399"/>
      <c r="B112" s="602" t="s">
        <v>764</v>
      </c>
      <c r="C112" s="783" t="s">
        <v>765</v>
      </c>
    </row>
    <row r="113" spans="1:17" ht="15.75" customHeight="1" thickBot="1">
      <c r="A113" s="1400"/>
      <c r="B113" s="781" t="s">
        <v>773</v>
      </c>
      <c r="C113" s="784" t="s">
        <v>773</v>
      </c>
    </row>
    <row r="114" spans="1:17">
      <c r="A114" s="556" t="s">
        <v>763</v>
      </c>
      <c r="B114" s="559">
        <f>E110</f>
        <v>7154.7800000000007</v>
      </c>
      <c r="C114" s="559">
        <f>E110</f>
        <v>7154.7800000000007</v>
      </c>
      <c r="E114" s="576"/>
    </row>
    <row r="115" spans="1:17">
      <c r="A115" s="556" t="s">
        <v>769</v>
      </c>
      <c r="B115" s="559">
        <f>F110</f>
        <v>47353.880000000005</v>
      </c>
      <c r="C115" s="559">
        <f>F110</f>
        <v>47353.880000000005</v>
      </c>
      <c r="E115" s="864"/>
    </row>
    <row r="116" spans="1:17">
      <c r="A116" s="556" t="s">
        <v>770</v>
      </c>
      <c r="B116" s="559">
        <f>G110</f>
        <v>8438.3000000000011</v>
      </c>
      <c r="C116" s="559">
        <f>G110</f>
        <v>8438.3000000000011</v>
      </c>
      <c r="E116" s="865"/>
      <c r="I116" s="572"/>
    </row>
    <row r="117" spans="1:17">
      <c r="A117" s="556" t="s">
        <v>814</v>
      </c>
      <c r="B117" s="559">
        <f>H110</f>
        <v>1902.19</v>
      </c>
      <c r="C117" s="559">
        <f>H110</f>
        <v>1902.19</v>
      </c>
      <c r="I117" s="572"/>
    </row>
    <row r="118" spans="1:17">
      <c r="A118" s="556" t="s">
        <v>772</v>
      </c>
      <c r="B118" s="568">
        <f>I110</f>
        <v>1784.64</v>
      </c>
      <c r="C118" s="568">
        <f>I110</f>
        <v>1784.64</v>
      </c>
      <c r="I118" s="570"/>
    </row>
    <row r="119" spans="1:17" s="559" customFormat="1">
      <c r="A119" s="556"/>
      <c r="B119" s="598">
        <f>SUM(B114:B118)</f>
        <v>66633.790000000008</v>
      </c>
      <c r="C119" s="598">
        <f>SUM(C114:C118)</f>
        <v>66633.790000000008</v>
      </c>
      <c r="D119" s="558"/>
      <c r="E119" s="556"/>
      <c r="F119" s="558"/>
      <c r="G119" s="558"/>
      <c r="H119" s="558"/>
      <c r="I119" s="594"/>
      <c r="J119" s="558"/>
      <c r="K119" s="558"/>
      <c r="L119" s="558"/>
      <c r="M119" s="558"/>
      <c r="N119" s="558"/>
      <c r="O119" s="558"/>
      <c r="Q119" s="858"/>
    </row>
    <row r="120" spans="1:17" s="559" customFormat="1">
      <c r="A120" s="556"/>
      <c r="B120" s="597"/>
      <c r="C120" s="597"/>
      <c r="D120" s="558"/>
      <c r="E120" s="556"/>
      <c r="F120" s="558"/>
      <c r="G120" s="558"/>
      <c r="H120" s="558"/>
      <c r="I120" s="576"/>
      <c r="J120" s="558"/>
      <c r="K120" s="558"/>
      <c r="L120" s="558"/>
      <c r="M120" s="558"/>
      <c r="N120" s="558"/>
      <c r="O120" s="558"/>
      <c r="Q120" s="858"/>
    </row>
    <row r="121" spans="1:17" s="559" customFormat="1">
      <c r="A121" s="556"/>
      <c r="B121" s="557"/>
      <c r="C121" s="966">
        <f>B119</f>
        <v>66633.790000000008</v>
      </c>
      <c r="D121" s="558"/>
      <c r="E121" s="556" t="s">
        <v>816</v>
      </c>
      <c r="F121" s="558"/>
      <c r="G121" s="558"/>
      <c r="H121" s="558"/>
      <c r="I121" s="576"/>
      <c r="J121" s="558"/>
      <c r="K121" s="558"/>
      <c r="L121" s="558"/>
      <c r="M121" s="558"/>
      <c r="N121" s="558"/>
      <c r="O121" s="558"/>
      <c r="Q121" s="858"/>
    </row>
    <row r="122" spans="1:17" s="559" customFormat="1">
      <c r="A122" s="556"/>
      <c r="B122" s="557"/>
      <c r="C122" s="972">
        <f>C119</f>
        <v>66633.790000000008</v>
      </c>
      <c r="D122" s="558"/>
      <c r="E122" s="556" t="s">
        <v>815</v>
      </c>
      <c r="F122" s="558"/>
      <c r="G122" s="558"/>
      <c r="H122" s="558"/>
      <c r="I122" s="576"/>
      <c r="J122" s="558"/>
      <c r="K122" s="558"/>
      <c r="L122" s="558"/>
      <c r="M122" s="853"/>
      <c r="N122" s="558"/>
      <c r="O122" s="558"/>
      <c r="Q122" s="858"/>
    </row>
    <row r="123" spans="1:17" s="559" customFormat="1">
      <c r="A123" s="556"/>
      <c r="B123" s="557"/>
      <c r="C123" s="967">
        <f>SUM(C121:C122)</f>
        <v>133267.58000000002</v>
      </c>
      <c r="D123" s="558"/>
      <c r="E123" s="556" t="s">
        <v>1028</v>
      </c>
      <c r="F123" s="558"/>
      <c r="G123" s="558"/>
      <c r="H123" s="558"/>
      <c r="I123" s="558"/>
      <c r="J123" s="558"/>
      <c r="K123" s="558"/>
      <c r="L123" s="558"/>
      <c r="M123" s="556"/>
      <c r="N123" s="558"/>
      <c r="O123" s="558"/>
      <c r="Q123" s="858"/>
    </row>
    <row r="124" spans="1:17">
      <c r="C124" s="973">
        <f>+M102+M93+M90+M82+M66+M63+M32+M27+M25</f>
        <v>51141.64</v>
      </c>
      <c r="E124" s="556" t="s">
        <v>1156</v>
      </c>
    </row>
    <row r="125" spans="1:17">
      <c r="C125" s="968">
        <f>+C123-C124</f>
        <v>82125.940000000017</v>
      </c>
      <c r="E125" s="556" t="s">
        <v>1150</v>
      </c>
    </row>
    <row r="126" spans="1:17" s="559" customFormat="1">
      <c r="A126" s="587"/>
      <c r="B126" s="571"/>
      <c r="C126" s="969">
        <v>0.24299999999999999</v>
      </c>
      <c r="D126" s="572"/>
      <c r="E126" s="588" t="s">
        <v>1152</v>
      </c>
      <c r="F126" s="588"/>
      <c r="G126" s="588"/>
      <c r="H126" s="588"/>
      <c r="I126" s="588"/>
      <c r="J126" s="588"/>
      <c r="K126" s="588"/>
      <c r="L126" s="588"/>
      <c r="M126" s="588"/>
      <c r="N126" s="572"/>
      <c r="O126" s="572"/>
      <c r="Q126" s="858"/>
    </row>
    <row r="127" spans="1:17">
      <c r="C127" s="970">
        <f>+C125*C126</f>
        <v>19956.603420000003</v>
      </c>
      <c r="E127" s="558" t="s">
        <v>1155</v>
      </c>
    </row>
    <row r="128" spans="1:17">
      <c r="C128" s="974">
        <f>+M66+M63</f>
        <v>3627.5</v>
      </c>
      <c r="E128" s="558" t="s">
        <v>1151</v>
      </c>
    </row>
    <row r="129" spans="3:5">
      <c r="C129" s="971">
        <f>+C127+C128</f>
        <v>23584.103420000003</v>
      </c>
      <c r="E129" s="558" t="s">
        <v>1157</v>
      </c>
    </row>
    <row r="130" spans="3:5">
      <c r="C130" s="975">
        <f>+Operations!C80</f>
        <v>14275.8</v>
      </c>
      <c r="E130" s="558" t="s">
        <v>1153</v>
      </c>
    </row>
    <row r="131" spans="3:5">
      <c r="C131" s="971">
        <f>+C129-C130</f>
        <v>9308.3034200000038</v>
      </c>
      <c r="E131" s="558" t="s">
        <v>1154</v>
      </c>
    </row>
  </sheetData>
  <mergeCells count="4">
    <mergeCell ref="A1:G1"/>
    <mergeCell ref="A3:G3"/>
    <mergeCell ref="A5:G5"/>
    <mergeCell ref="A112:A113"/>
  </mergeCells>
  <printOptions horizontalCentered="1"/>
  <pageMargins left="0.7" right="0.7" top="0.75" bottom="0.75" header="0.3" footer="0.3"/>
  <pageSetup scale="62" orientation="landscape" horizontalDpi="300" verticalDpi="300" r:id="rId1"/>
  <rowBreaks count="1" manualBreakCount="1">
    <brk id="68"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112"/>
  <sheetViews>
    <sheetView zoomScaleNormal="100" workbookViewId="0"/>
  </sheetViews>
  <sheetFormatPr defaultRowHeight="15"/>
  <cols>
    <col min="1" max="1" width="2.21875" style="297" bestFit="1" customWidth="1"/>
    <col min="2" max="2" width="25" bestFit="1" customWidth="1"/>
    <col min="3" max="3" width="20.77734375" customWidth="1"/>
    <col min="4" max="4" width="12.77734375" style="297" customWidth="1"/>
    <col min="5" max="5" width="12.77734375" style="125" customWidth="1"/>
    <col min="6" max="6" width="5.77734375" style="297" customWidth="1"/>
    <col min="7" max="7" width="20.77734375" customWidth="1"/>
    <col min="8" max="8" width="12.77734375" customWidth="1"/>
    <col min="9" max="9" width="5.77734375" style="297" customWidth="1"/>
    <col min="10" max="10" width="20.77734375" customWidth="1"/>
    <col min="12" max="12" width="10.5546875" customWidth="1"/>
    <col min="13" max="13" width="18.21875" bestFit="1" customWidth="1"/>
  </cols>
  <sheetData>
    <row r="1" spans="1:13" ht="16.5">
      <c r="B1" s="1285" t="s">
        <v>9</v>
      </c>
      <c r="C1" s="1285"/>
      <c r="D1" s="1285"/>
      <c r="E1" s="1285"/>
      <c r="F1" s="1285"/>
      <c r="G1" s="1285"/>
      <c r="H1" s="1285"/>
      <c r="I1" s="1285"/>
      <c r="J1" s="1285"/>
    </row>
    <row r="2" spans="1:13" ht="16.5">
      <c r="B2" s="126"/>
      <c r="C2" s="57"/>
      <c r="D2" s="305"/>
      <c r="E2" s="57"/>
      <c r="F2" s="305"/>
      <c r="G2" s="57"/>
      <c r="H2" s="69"/>
      <c r="I2" s="309"/>
    </row>
    <row r="3" spans="1:13" ht="16.5">
      <c r="B3" s="1285" t="s">
        <v>734</v>
      </c>
      <c r="C3" s="1285"/>
      <c r="D3" s="1285"/>
      <c r="E3" s="1285"/>
      <c r="F3" s="1285"/>
      <c r="G3" s="1285"/>
      <c r="H3" s="1285"/>
      <c r="I3" s="1285"/>
      <c r="J3" s="1285"/>
    </row>
    <row r="4" spans="1:13" ht="16.5">
      <c r="B4" s="58"/>
      <c r="C4" s="58"/>
      <c r="D4" s="306"/>
      <c r="E4" s="58"/>
      <c r="F4" s="306"/>
      <c r="G4" s="58"/>
      <c r="H4" s="70"/>
      <c r="I4" s="310"/>
      <c r="J4" s="70"/>
    </row>
    <row r="5" spans="1:13" ht="16.5">
      <c r="B5" s="1286" t="str">
        <f>'Fly Sheet'!$A$20</f>
        <v>For the Twelve Months Ended March 31, 2018 Historical and September 30, 2019 Forecasted</v>
      </c>
      <c r="C5" s="1286"/>
      <c r="D5" s="1286"/>
      <c r="E5" s="1286"/>
      <c r="F5" s="1286"/>
      <c r="G5" s="1286"/>
      <c r="H5" s="1286"/>
      <c r="I5" s="1286"/>
      <c r="J5" s="1286"/>
    </row>
    <row r="6" spans="1:13" ht="15.75">
      <c r="B6" s="1287"/>
      <c r="C6" s="1287"/>
      <c r="D6" s="1287"/>
      <c r="E6" s="1287"/>
      <c r="F6" s="1287"/>
      <c r="G6" s="1287"/>
      <c r="H6" s="1287"/>
      <c r="I6" s="1287"/>
      <c r="J6" s="1287"/>
    </row>
    <row r="7" spans="1:13" ht="15.75">
      <c r="B7" s="30"/>
      <c r="C7" s="30"/>
      <c r="D7" s="30"/>
      <c r="E7" s="30"/>
      <c r="F7" s="30"/>
      <c r="G7" s="30"/>
      <c r="H7" s="30"/>
      <c r="I7" s="30"/>
      <c r="J7" s="30"/>
    </row>
    <row r="8" spans="1:13" ht="15.75">
      <c r="C8" s="296" t="s">
        <v>364</v>
      </c>
      <c r="D8" s="336" t="s">
        <v>91</v>
      </c>
      <c r="E8" s="336" t="s">
        <v>67</v>
      </c>
      <c r="G8" s="296" t="s">
        <v>365</v>
      </c>
      <c r="H8" s="296" t="s">
        <v>742</v>
      </c>
      <c r="J8" s="296" t="s">
        <v>742</v>
      </c>
    </row>
    <row r="9" spans="1:13" ht="15.75">
      <c r="C9" s="296" t="s">
        <v>686</v>
      </c>
      <c r="D9" s="336" t="s">
        <v>59</v>
      </c>
      <c r="E9" s="336" t="s">
        <v>59</v>
      </c>
      <c r="G9" s="296" t="s">
        <v>686</v>
      </c>
      <c r="H9" s="296" t="s">
        <v>59</v>
      </c>
      <c r="J9" s="296" t="s">
        <v>689</v>
      </c>
    </row>
    <row r="10" spans="1:13" ht="15.75">
      <c r="C10" s="296" t="s">
        <v>687</v>
      </c>
      <c r="D10" s="339"/>
      <c r="E10" s="336"/>
      <c r="F10" s="307" t="s">
        <v>690</v>
      </c>
      <c r="G10" s="296" t="s">
        <v>687</v>
      </c>
      <c r="H10" s="296"/>
      <c r="I10" s="307" t="s">
        <v>690</v>
      </c>
      <c r="J10" s="296" t="s">
        <v>687</v>
      </c>
    </row>
    <row r="11" spans="1:13">
      <c r="B11" s="93" t="s">
        <v>73</v>
      </c>
      <c r="D11" s="337"/>
    </row>
    <row r="12" spans="1:13" ht="15.75">
      <c r="A12" s="297">
        <v>1</v>
      </c>
      <c r="B12" s="71" t="s">
        <v>74</v>
      </c>
      <c r="C12" s="337">
        <f t="shared" ref="C12:C19" si="0">VLOOKUP(B12,income_statement,14,FALSE)</f>
        <v>2548097.08</v>
      </c>
      <c r="D12" s="337">
        <f>+'Sch 3, pg 2 - Reclass'!B13</f>
        <v>186771.85596549403</v>
      </c>
      <c r="E12" s="642">
        <f>'Sch 1, pg 2 - Restated'!D13</f>
        <v>-10008.290000000001</v>
      </c>
      <c r="F12" s="318" t="s">
        <v>1185</v>
      </c>
      <c r="G12" s="642">
        <f t="shared" ref="G12:G19" si="1">C12+E12+D12</f>
        <v>2724860.6459654942</v>
      </c>
      <c r="H12" s="642"/>
      <c r="I12" s="318"/>
      <c r="J12" s="642">
        <f>G12+H12</f>
        <v>2724860.6459654942</v>
      </c>
      <c r="K12" s="125"/>
    </row>
    <row r="13" spans="1:13" ht="15.75">
      <c r="A13" s="297">
        <v>2</v>
      </c>
      <c r="B13" s="71" t="s">
        <v>75</v>
      </c>
      <c r="C13" s="337">
        <f t="shared" si="0"/>
        <v>792753.89</v>
      </c>
      <c r="D13" s="337">
        <f>+'Sch 3, pg 2 - Reclass'!B14</f>
        <v>111082.45403450594</v>
      </c>
      <c r="E13" s="642">
        <f>'Sch 1, pg 2 - Restated'!D14</f>
        <v>-2536.36</v>
      </c>
      <c r="F13" s="318" t="s">
        <v>1185</v>
      </c>
      <c r="G13" s="642">
        <f t="shared" si="1"/>
        <v>901299.98403450591</v>
      </c>
      <c r="H13" s="642"/>
      <c r="I13" s="318"/>
      <c r="J13" s="642">
        <f t="shared" ref="J13:J19" si="2">G13+H13</f>
        <v>901299.98403450591</v>
      </c>
      <c r="K13" s="125"/>
    </row>
    <row r="14" spans="1:13" ht="15.75">
      <c r="A14" s="297">
        <v>3</v>
      </c>
      <c r="B14" s="71" t="s">
        <v>7</v>
      </c>
      <c r="C14" s="337">
        <f t="shared" si="0"/>
        <v>766224.89</v>
      </c>
      <c r="D14" s="337">
        <f>+'Sch 3, pg 2 - Reclass'!B15</f>
        <v>0</v>
      </c>
      <c r="E14" s="642">
        <f>+'Sch 1, pg 2 - Restated'!D15</f>
        <v>-2290.34</v>
      </c>
      <c r="F14" s="318" t="s">
        <v>108</v>
      </c>
      <c r="G14" s="642">
        <f t="shared" si="1"/>
        <v>763934.55</v>
      </c>
      <c r="H14" s="642"/>
      <c r="I14" s="318"/>
      <c r="J14" s="642">
        <f t="shared" si="2"/>
        <v>763934.55</v>
      </c>
      <c r="K14" s="125"/>
      <c r="M14" s="1033"/>
    </row>
    <row r="15" spans="1:13" ht="15.75">
      <c r="A15" s="297">
        <v>4</v>
      </c>
      <c r="B15" s="71" t="s">
        <v>440</v>
      </c>
      <c r="C15" s="337">
        <f t="shared" si="0"/>
        <v>0</v>
      </c>
      <c r="D15" s="337">
        <f>+'Sch 3, pg 2 - Reclass'!B16</f>
        <v>0</v>
      </c>
      <c r="E15" s="642">
        <v>0</v>
      </c>
      <c r="F15" s="318" t="s">
        <v>113</v>
      </c>
      <c r="G15" s="642">
        <f t="shared" si="1"/>
        <v>0</v>
      </c>
      <c r="H15" s="642"/>
      <c r="I15" s="318"/>
      <c r="J15" s="642">
        <f t="shared" si="2"/>
        <v>0</v>
      </c>
      <c r="K15" s="125"/>
    </row>
    <row r="16" spans="1:13" ht="15.75">
      <c r="A16" s="297">
        <v>5</v>
      </c>
      <c r="B16" s="71" t="s">
        <v>22</v>
      </c>
      <c r="C16" s="337">
        <f t="shared" si="0"/>
        <v>0</v>
      </c>
      <c r="D16" s="337"/>
      <c r="E16" s="642"/>
      <c r="F16" s="318"/>
      <c r="G16" s="642">
        <f t="shared" si="1"/>
        <v>0</v>
      </c>
      <c r="H16" s="642"/>
      <c r="I16" s="318"/>
      <c r="J16" s="642">
        <f t="shared" si="2"/>
        <v>0</v>
      </c>
      <c r="K16" s="125"/>
    </row>
    <row r="17" spans="1:12" ht="15.75">
      <c r="A17" s="297">
        <v>6</v>
      </c>
      <c r="B17" s="71" t="s">
        <v>77</v>
      </c>
      <c r="C17" s="337">
        <f t="shared" si="0"/>
        <v>0</v>
      </c>
      <c r="D17" s="337">
        <f>'Sch 3, pg 2 - Reclass'!B18</f>
        <v>0</v>
      </c>
      <c r="E17" s="642"/>
      <c r="F17" s="318"/>
      <c r="G17" s="642">
        <f t="shared" si="1"/>
        <v>0</v>
      </c>
      <c r="H17" s="762">
        <f>+'Sch 2, pg 2 - Forecast'!L18</f>
        <v>7415.0194053836985</v>
      </c>
      <c r="I17" s="318" t="s">
        <v>117</v>
      </c>
      <c r="J17" s="642">
        <f t="shared" si="2"/>
        <v>7415.0194053836985</v>
      </c>
      <c r="K17" s="125"/>
    </row>
    <row r="18" spans="1:12" ht="15.75">
      <c r="A18" s="297">
        <v>7</v>
      </c>
      <c r="B18" s="71" t="s">
        <v>96</v>
      </c>
      <c r="C18" s="337">
        <f t="shared" si="0"/>
        <v>297854.31</v>
      </c>
      <c r="D18" s="337">
        <f>+'Sch 3, pg 2 - Reclass'!B19</f>
        <v>-297854.31</v>
      </c>
      <c r="E18" s="642"/>
      <c r="F18" s="318" t="s">
        <v>129</v>
      </c>
      <c r="G18" s="642">
        <f t="shared" si="1"/>
        <v>0</v>
      </c>
      <c r="H18" s="642"/>
      <c r="I18" s="318"/>
      <c r="J18" s="642">
        <f t="shared" si="2"/>
        <v>0</v>
      </c>
      <c r="K18" s="125"/>
    </row>
    <row r="19" spans="1:12" ht="15.75">
      <c r="A19" s="297">
        <v>8</v>
      </c>
      <c r="B19" s="71" t="s">
        <v>78</v>
      </c>
      <c r="C19" s="337">
        <f t="shared" si="0"/>
        <v>-14834.99</v>
      </c>
      <c r="D19" s="318"/>
      <c r="E19" s="642">
        <f>-C19</f>
        <v>14834.99</v>
      </c>
      <c r="F19" s="318" t="s">
        <v>108</v>
      </c>
      <c r="G19" s="642">
        <f t="shared" si="1"/>
        <v>0</v>
      </c>
      <c r="H19" s="642"/>
      <c r="I19" s="318"/>
      <c r="J19" s="642">
        <f t="shared" si="2"/>
        <v>0</v>
      </c>
      <c r="K19" s="125"/>
    </row>
    <row r="20" spans="1:12" ht="15.75">
      <c r="B20" s="301" t="s">
        <v>691</v>
      </c>
      <c r="C20" s="338">
        <f>SUM(C12:C19)</f>
        <v>4390095.18</v>
      </c>
      <c r="D20" s="338">
        <f>SUM(D12:D19)</f>
        <v>0</v>
      </c>
      <c r="E20" s="338">
        <f>SUM(E12:E19)</f>
        <v>0</v>
      </c>
      <c r="F20" s="646"/>
      <c r="G20" s="338">
        <f>SUM(G12:G19)</f>
        <v>4390095.18</v>
      </c>
      <c r="H20" s="338">
        <f>SUM(H12:H19)</f>
        <v>7415.0194053836985</v>
      </c>
      <c r="I20" s="646"/>
      <c r="J20" s="338">
        <f>SUM(J12:J19)</f>
        <v>4397510.1994053833</v>
      </c>
      <c r="K20" s="125"/>
    </row>
    <row r="21" spans="1:12">
      <c r="B21" s="313" t="s">
        <v>710</v>
      </c>
      <c r="C21" s="300">
        <f>SUM(C12:C14)</f>
        <v>4107075.8600000003</v>
      </c>
      <c r="D21" s="318"/>
      <c r="F21" s="318"/>
      <c r="G21" s="642"/>
      <c r="H21" s="642"/>
      <c r="I21" s="318"/>
      <c r="J21" s="642"/>
      <c r="K21" s="125"/>
    </row>
    <row r="22" spans="1:12" ht="15.75">
      <c r="B22" s="61"/>
      <c r="C22" s="300"/>
      <c r="D22" s="318"/>
      <c r="F22" s="318"/>
      <c r="G22" s="642"/>
      <c r="H22" s="642"/>
      <c r="I22" s="318"/>
      <c r="J22" s="642"/>
      <c r="K22" s="125"/>
    </row>
    <row r="23" spans="1:12">
      <c r="B23" s="93" t="s">
        <v>57</v>
      </c>
      <c r="C23" s="300"/>
      <c r="D23" s="318"/>
      <c r="E23" s="642"/>
      <c r="F23" s="318"/>
      <c r="G23" s="642"/>
      <c r="H23" s="642"/>
      <c r="I23" s="318"/>
      <c r="J23" s="642"/>
      <c r="K23" s="125"/>
    </row>
    <row r="24" spans="1:12" ht="15.75">
      <c r="A24" s="297">
        <v>9</v>
      </c>
      <c r="B24" s="71" t="s">
        <v>13</v>
      </c>
      <c r="C24" s="337">
        <f t="shared" ref="C24:C36" si="3">VLOOKUP(B24,income_statement,14,FALSE)</f>
        <v>508408.36</v>
      </c>
      <c r="D24" s="662">
        <f>'Sch 3, pg 2 - Reclass'!D24</f>
        <v>-186641.57999999996</v>
      </c>
      <c r="F24" s="318" t="s">
        <v>130</v>
      </c>
      <c r="G24" s="642">
        <f t="shared" ref="G24:G55" si="4">C24+E24+D24</f>
        <v>321766.78000000003</v>
      </c>
      <c r="H24" s="662">
        <f>+'Sch 2, pg 2 - Forecast'!L24</f>
        <v>-6683.657140000083</v>
      </c>
      <c r="I24" s="318" t="s">
        <v>170</v>
      </c>
      <c r="J24" s="642">
        <f>G24+H24</f>
        <v>315083.12285999994</v>
      </c>
      <c r="K24" s="125"/>
      <c r="L24" s="603"/>
    </row>
    <row r="25" spans="1:12" ht="15.75">
      <c r="A25" s="297">
        <v>10</v>
      </c>
      <c r="B25" s="71" t="s">
        <v>14</v>
      </c>
      <c r="C25" s="337">
        <f t="shared" si="3"/>
        <v>0</v>
      </c>
      <c r="D25" s="662">
        <f>'Sch 3, pg 2 - Reclass'!D25</f>
        <v>155322.54999999999</v>
      </c>
      <c r="E25" s="662"/>
      <c r="F25" s="318" t="s">
        <v>130</v>
      </c>
      <c r="G25" s="642">
        <f t="shared" si="4"/>
        <v>155322.54999999999</v>
      </c>
      <c r="H25" s="662">
        <f>+'Sch 2, pg 2 - Forecast'!L25</f>
        <v>4099.8616000000329</v>
      </c>
      <c r="I25" s="318" t="s">
        <v>170</v>
      </c>
      <c r="J25" s="642">
        <f t="shared" ref="J25:J88" si="5">G25+H25</f>
        <v>159422.41160000002</v>
      </c>
      <c r="K25" s="125"/>
      <c r="L25" s="603"/>
    </row>
    <row r="26" spans="1:12" ht="15.75">
      <c r="A26" s="297">
        <v>11</v>
      </c>
      <c r="B26" s="71" t="s">
        <v>15</v>
      </c>
      <c r="C26" s="337">
        <f t="shared" si="3"/>
        <v>382256.04000000004</v>
      </c>
      <c r="D26" s="662">
        <f>'Sch 3, pg 2 - Reclass'!D26</f>
        <v>-24769.070000000007</v>
      </c>
      <c r="F26" s="318" t="s">
        <v>130</v>
      </c>
      <c r="G26" s="642">
        <f t="shared" si="4"/>
        <v>357486.97000000003</v>
      </c>
      <c r="H26" s="662">
        <f>+'Sch 2, pg 2 - Forecast'!L26</f>
        <v>11601.336299999966</v>
      </c>
      <c r="I26" s="318" t="s">
        <v>170</v>
      </c>
      <c r="J26" s="642">
        <f t="shared" si="5"/>
        <v>369088.3063</v>
      </c>
      <c r="K26" s="125"/>
      <c r="L26" s="603"/>
    </row>
    <row r="27" spans="1:12" ht="15.75">
      <c r="A27" s="297">
        <v>12</v>
      </c>
      <c r="B27" s="71" t="s">
        <v>16</v>
      </c>
      <c r="C27" s="337">
        <f t="shared" si="3"/>
        <v>0</v>
      </c>
      <c r="D27" s="662">
        <f>'Sch 3, pg 2 - Reclass'!D27</f>
        <v>78575.350000000006</v>
      </c>
      <c r="F27" s="318" t="s">
        <v>130</v>
      </c>
      <c r="G27" s="642">
        <f t="shared" si="4"/>
        <v>78575.350000000006</v>
      </c>
      <c r="H27" s="662">
        <f>+'Sch 2, pg 2 - Forecast'!L27</f>
        <v>2894.770399999994</v>
      </c>
      <c r="I27" s="318" t="s">
        <v>170</v>
      </c>
      <c r="J27" s="642">
        <f t="shared" si="5"/>
        <v>81470.1204</v>
      </c>
      <c r="K27" s="125"/>
      <c r="L27" s="603"/>
    </row>
    <row r="28" spans="1:12" ht="15.75">
      <c r="A28" s="297">
        <v>13</v>
      </c>
      <c r="B28" s="71" t="s">
        <v>118</v>
      </c>
      <c r="C28" s="337">
        <f t="shared" si="3"/>
        <v>0</v>
      </c>
      <c r="D28" s="662">
        <f>'Sch 3, pg 2 - Reclass'!D28</f>
        <v>49830.86</v>
      </c>
      <c r="F28" s="318" t="s">
        <v>130</v>
      </c>
      <c r="G28" s="642">
        <f t="shared" si="4"/>
        <v>49830.86</v>
      </c>
      <c r="H28" s="662">
        <f>+'Sch 2, pg 2 - Forecast'!L28</f>
        <v>22386.928439999989</v>
      </c>
      <c r="I28" s="318" t="s">
        <v>170</v>
      </c>
      <c r="J28" s="642">
        <f t="shared" si="5"/>
        <v>72217.788439999989</v>
      </c>
      <c r="K28" s="125"/>
      <c r="L28" s="603"/>
    </row>
    <row r="29" spans="1:12" ht="15.75">
      <c r="A29" s="297">
        <v>14</v>
      </c>
      <c r="B29" s="71" t="s">
        <v>17</v>
      </c>
      <c r="C29" s="337">
        <f t="shared" si="3"/>
        <v>0</v>
      </c>
      <c r="D29" s="318"/>
      <c r="E29" s="662">
        <f>'Sch 1, pg 2 - Restated'!F29</f>
        <v>361371.43999999994</v>
      </c>
      <c r="F29" s="318" t="s">
        <v>109</v>
      </c>
      <c r="G29" s="642">
        <f t="shared" si="4"/>
        <v>361371.43999999994</v>
      </c>
      <c r="H29" s="662">
        <f>+'Sch 2, pg 2 - Forecast'!L29</f>
        <v>6083.0345825800905</v>
      </c>
      <c r="I29" s="318" t="s">
        <v>170</v>
      </c>
      <c r="J29" s="642">
        <f t="shared" si="5"/>
        <v>367454.47458258003</v>
      </c>
      <c r="K29" s="125"/>
      <c r="L29" s="603"/>
    </row>
    <row r="30" spans="1:12" ht="15.75">
      <c r="A30" s="297">
        <v>15</v>
      </c>
      <c r="B30" s="71" t="s">
        <v>409</v>
      </c>
      <c r="C30" s="337">
        <f t="shared" si="3"/>
        <v>0</v>
      </c>
      <c r="D30" s="318"/>
      <c r="E30" s="642"/>
      <c r="F30" s="318"/>
      <c r="G30" s="642">
        <f t="shared" si="4"/>
        <v>0</v>
      </c>
      <c r="H30" s="642"/>
      <c r="I30" s="318"/>
      <c r="J30" s="642">
        <f t="shared" si="5"/>
        <v>0</v>
      </c>
      <c r="K30" s="125"/>
      <c r="L30" s="603"/>
    </row>
    <row r="31" spans="1:12" ht="15.75">
      <c r="A31" s="297">
        <v>16</v>
      </c>
      <c r="B31" s="71" t="s">
        <v>18</v>
      </c>
      <c r="C31" s="337">
        <f t="shared" si="3"/>
        <v>139475.73000000001</v>
      </c>
      <c r="D31" s="318"/>
      <c r="E31" s="663"/>
      <c r="F31" s="318"/>
      <c r="G31" s="642">
        <f t="shared" si="4"/>
        <v>139475.73000000001</v>
      </c>
      <c r="H31" s="642"/>
      <c r="I31" s="318"/>
      <c r="J31" s="642">
        <f t="shared" si="5"/>
        <v>139475.73000000001</v>
      </c>
      <c r="K31" s="125"/>
      <c r="L31" s="603"/>
    </row>
    <row r="32" spans="1:12" ht="15.75">
      <c r="A32" s="297">
        <v>17</v>
      </c>
      <c r="B32" s="71" t="s">
        <v>19</v>
      </c>
      <c r="C32" s="337">
        <f t="shared" si="3"/>
        <v>62012.729999999996</v>
      </c>
      <c r="D32" s="318"/>
      <c r="E32" s="663"/>
      <c r="F32" s="318"/>
      <c r="G32" s="642">
        <f t="shared" si="4"/>
        <v>62012.729999999996</v>
      </c>
      <c r="H32" s="642"/>
      <c r="I32" s="318"/>
      <c r="J32" s="642">
        <f t="shared" si="5"/>
        <v>62012.729999999996</v>
      </c>
      <c r="K32" s="125"/>
      <c r="L32" s="603"/>
    </row>
    <row r="33" spans="1:13" ht="15.75">
      <c r="A33" s="297">
        <v>18</v>
      </c>
      <c r="B33" s="71" t="s">
        <v>25</v>
      </c>
      <c r="C33" s="337">
        <f t="shared" si="3"/>
        <v>36000</v>
      </c>
      <c r="D33" s="318"/>
      <c r="E33" s="662"/>
      <c r="F33" s="318"/>
      <c r="G33" s="642">
        <f t="shared" si="4"/>
        <v>36000</v>
      </c>
      <c r="H33" s="642"/>
      <c r="I33" s="318"/>
      <c r="J33" s="642">
        <f t="shared" si="5"/>
        <v>36000</v>
      </c>
      <c r="K33" s="125"/>
      <c r="L33" s="603"/>
    </row>
    <row r="34" spans="1:13" ht="15.75">
      <c r="A34" s="297">
        <v>19</v>
      </c>
      <c r="B34" s="71" t="s">
        <v>156</v>
      </c>
      <c r="C34" s="337">
        <f t="shared" si="3"/>
        <v>0</v>
      </c>
      <c r="D34" s="318"/>
      <c r="E34" s="642"/>
      <c r="F34" s="318"/>
      <c r="G34" s="642">
        <f t="shared" si="4"/>
        <v>0</v>
      </c>
      <c r="H34" s="642"/>
      <c r="I34" s="318"/>
      <c r="J34" s="642">
        <f t="shared" si="5"/>
        <v>0</v>
      </c>
      <c r="K34" s="125"/>
      <c r="L34" s="603"/>
      <c r="M34" s="125"/>
    </row>
    <row r="35" spans="1:13" ht="15.75">
      <c r="A35" s="297">
        <v>20</v>
      </c>
      <c r="B35" s="71" t="s">
        <v>20</v>
      </c>
      <c r="C35" s="337">
        <f t="shared" si="3"/>
        <v>66095.430000000008</v>
      </c>
      <c r="D35" s="318"/>
      <c r="E35" s="663"/>
      <c r="F35" s="318"/>
      <c r="G35" s="642">
        <f t="shared" si="4"/>
        <v>66095.430000000008</v>
      </c>
      <c r="H35" s="642"/>
      <c r="I35" s="318"/>
      <c r="J35" s="642">
        <f t="shared" si="5"/>
        <v>66095.430000000008</v>
      </c>
      <c r="K35" s="125"/>
      <c r="L35" s="603"/>
      <c r="M35" s="125"/>
    </row>
    <row r="36" spans="1:13" ht="15.75">
      <c r="A36" s="297">
        <v>21</v>
      </c>
      <c r="B36" s="71" t="s">
        <v>21</v>
      </c>
      <c r="C36" s="337">
        <f t="shared" si="3"/>
        <v>232235.77999999997</v>
      </c>
      <c r="D36" s="318"/>
      <c r="E36" s="663"/>
      <c r="F36" s="318"/>
      <c r="G36" s="642">
        <f t="shared" si="4"/>
        <v>232235.77999999997</v>
      </c>
      <c r="H36" s="959">
        <f>+'Sch 2, pg 2 - Forecast'!H36</f>
        <v>40139.8383399616</v>
      </c>
      <c r="I36" s="318" t="s">
        <v>116</v>
      </c>
      <c r="J36" s="642">
        <f t="shared" si="5"/>
        <v>272375.61833996157</v>
      </c>
      <c r="K36" s="125"/>
      <c r="L36" s="603"/>
      <c r="M36" s="125"/>
    </row>
    <row r="37" spans="1:13" ht="15.75">
      <c r="A37" s="297">
        <v>22</v>
      </c>
      <c r="B37" s="71" t="s">
        <v>22</v>
      </c>
      <c r="C37" s="337">
        <f>'Sch 4 - 12 Months'!O36</f>
        <v>0</v>
      </c>
      <c r="D37" s="318"/>
      <c r="E37" s="642"/>
      <c r="F37" s="318"/>
      <c r="G37" s="642">
        <f t="shared" si="4"/>
        <v>0</v>
      </c>
      <c r="H37" s="642"/>
      <c r="I37" s="318"/>
      <c r="J37" s="642">
        <f t="shared" si="5"/>
        <v>0</v>
      </c>
      <c r="K37" s="125"/>
      <c r="L37" s="603"/>
      <c r="M37" s="125"/>
    </row>
    <row r="38" spans="1:13" ht="15.75">
      <c r="A38" s="297">
        <v>23</v>
      </c>
      <c r="B38" s="71" t="s">
        <v>372</v>
      </c>
      <c r="C38" s="337">
        <f>VLOOKUP(B38,income_statement,14,FALSE)</f>
        <v>799096.06999999983</v>
      </c>
      <c r="D38" s="662">
        <f>+'Sch 3, pg 2 - Reclass'!F38</f>
        <v>0</v>
      </c>
      <c r="F38" s="318"/>
      <c r="G38" s="642">
        <f t="shared" si="4"/>
        <v>799096.06999999983</v>
      </c>
      <c r="H38" s="662">
        <f>+'Sch 2, pg 2 - Forecast'!L38</f>
        <v>19905.16526315792</v>
      </c>
      <c r="I38" s="318" t="s">
        <v>117</v>
      </c>
      <c r="J38" s="642">
        <f t="shared" si="5"/>
        <v>819001.23526315775</v>
      </c>
      <c r="K38" s="125"/>
      <c r="L38" s="603"/>
      <c r="M38" s="125"/>
    </row>
    <row r="39" spans="1:13" ht="15.75">
      <c r="A39" s="297">
        <v>24</v>
      </c>
      <c r="B39" s="71" t="s">
        <v>377</v>
      </c>
      <c r="C39" s="337">
        <f>VLOOKUP(B39,income_statement,14,FALSE)</f>
        <v>0</v>
      </c>
      <c r="D39" s="662">
        <f>+'Sch 3, pg 2 - Reclass'!F39</f>
        <v>0</v>
      </c>
      <c r="F39" s="318"/>
      <c r="G39" s="642">
        <f t="shared" si="4"/>
        <v>0</v>
      </c>
      <c r="H39" s="642"/>
      <c r="I39" s="318"/>
      <c r="J39" s="642">
        <f t="shared" si="5"/>
        <v>0</v>
      </c>
      <c r="K39" s="125"/>
      <c r="L39" s="603"/>
      <c r="M39" s="125"/>
    </row>
    <row r="40" spans="1:13" ht="15.75">
      <c r="A40" s="297">
        <v>25</v>
      </c>
      <c r="B40" s="71" t="s">
        <v>441</v>
      </c>
      <c r="C40" s="337">
        <f>'Sch 4 - 12 Months'!O39</f>
        <v>31735.3</v>
      </c>
      <c r="D40" s="662">
        <f>+'Sch 3, pg 2 - Reclass'!F40</f>
        <v>-31735.3</v>
      </c>
      <c r="F40" s="318" t="s">
        <v>131</v>
      </c>
      <c r="G40" s="642">
        <f t="shared" si="4"/>
        <v>0</v>
      </c>
      <c r="H40" s="642"/>
      <c r="I40" s="318"/>
      <c r="J40" s="642">
        <f t="shared" si="5"/>
        <v>0</v>
      </c>
      <c r="K40" s="125"/>
      <c r="L40" s="603"/>
    </row>
    <row r="41" spans="1:13" ht="15.75">
      <c r="A41" s="297">
        <v>26</v>
      </c>
      <c r="B41" s="71" t="s">
        <v>104</v>
      </c>
      <c r="C41" s="337">
        <f>VLOOKUP(B41,income_statement,14,FALSE)</f>
        <v>265941.84999999998</v>
      </c>
      <c r="D41" s="662">
        <f>+'Sch 3, pg 2 - Reclass'!F41</f>
        <v>31735.3</v>
      </c>
      <c r="F41" s="318" t="s">
        <v>131</v>
      </c>
      <c r="G41" s="642">
        <f t="shared" si="4"/>
        <v>297677.14999999997</v>
      </c>
      <c r="H41" s="662">
        <f>+'Sch 2, pg 2 - Forecast'!L41</f>
        <v>7415.0194053836985</v>
      </c>
      <c r="I41" s="318" t="s">
        <v>117</v>
      </c>
      <c r="J41" s="642">
        <f t="shared" si="5"/>
        <v>305092.16940538364</v>
      </c>
      <c r="K41" s="125"/>
      <c r="L41" s="603"/>
    </row>
    <row r="42" spans="1:13" ht="15.75">
      <c r="A42" s="297">
        <v>27</v>
      </c>
      <c r="B42" s="71" t="s">
        <v>635</v>
      </c>
      <c r="C42" s="337">
        <f>'Sch 4 - 12 Months'!O41</f>
        <v>24000</v>
      </c>
      <c r="D42" s="318"/>
      <c r="E42" s="664"/>
      <c r="F42" s="318"/>
      <c r="G42" s="642">
        <f t="shared" si="4"/>
        <v>24000</v>
      </c>
      <c r="H42" s="642"/>
      <c r="I42" s="318"/>
      <c r="J42" s="642">
        <f t="shared" si="5"/>
        <v>24000</v>
      </c>
      <c r="K42" s="125"/>
      <c r="L42" s="603"/>
    </row>
    <row r="43" spans="1:13" ht="15.75">
      <c r="A43" s="297">
        <v>28</v>
      </c>
      <c r="B43" s="71" t="s">
        <v>154</v>
      </c>
      <c r="C43" s="337">
        <f t="shared" ref="C43:C50" si="6">VLOOKUP(B43,income_statement,14,FALSE)</f>
        <v>56802.330000000016</v>
      </c>
      <c r="D43" s="318"/>
      <c r="E43" s="642"/>
      <c r="F43" s="318"/>
      <c r="G43" s="642">
        <f t="shared" si="4"/>
        <v>56802.330000000016</v>
      </c>
      <c r="H43" s="642"/>
      <c r="I43" s="318"/>
      <c r="J43" s="642">
        <f t="shared" si="5"/>
        <v>56802.330000000016</v>
      </c>
      <c r="K43" s="125"/>
      <c r="L43" s="603"/>
    </row>
    <row r="44" spans="1:13" ht="15.75">
      <c r="A44" s="297">
        <v>29</v>
      </c>
      <c r="B44" s="71" t="s">
        <v>23</v>
      </c>
      <c r="C44" s="337">
        <f t="shared" si="6"/>
        <v>0</v>
      </c>
      <c r="D44" s="318"/>
      <c r="E44" s="642"/>
      <c r="F44" s="318"/>
      <c r="G44" s="642">
        <f t="shared" si="4"/>
        <v>0</v>
      </c>
      <c r="H44" s="642"/>
      <c r="I44" s="318"/>
      <c r="J44" s="642">
        <f t="shared" si="5"/>
        <v>0</v>
      </c>
      <c r="K44" s="125"/>
      <c r="L44" s="603"/>
    </row>
    <row r="45" spans="1:13" ht="15.75">
      <c r="A45" s="297">
        <v>30</v>
      </c>
      <c r="B45" s="71" t="s">
        <v>24</v>
      </c>
      <c r="C45" s="337">
        <f t="shared" si="6"/>
        <v>211602.13</v>
      </c>
      <c r="D45" s="662">
        <f>'Sch 3, pg 2 - Reclass'!D45</f>
        <v>-72043.729999999981</v>
      </c>
      <c r="F45" s="318" t="s">
        <v>130</v>
      </c>
      <c r="G45" s="642">
        <f>C45+E45+D45</f>
        <v>139558.40000000002</v>
      </c>
      <c r="H45" s="662">
        <f>+'Sch 2, pg 2 - Forecast'!L45</f>
        <v>2872.4335199999914</v>
      </c>
      <c r="I45" s="318" t="s">
        <v>170</v>
      </c>
      <c r="J45" s="642">
        <f t="shared" si="5"/>
        <v>142430.83352000001</v>
      </c>
      <c r="K45" s="125"/>
      <c r="L45" s="603"/>
    </row>
    <row r="46" spans="1:13" ht="15.75">
      <c r="A46" s="297">
        <v>31</v>
      </c>
      <c r="B46" s="71" t="s">
        <v>26</v>
      </c>
      <c r="C46" s="337">
        <f t="shared" si="6"/>
        <v>204000</v>
      </c>
      <c r="D46" s="318"/>
      <c r="E46" s="664"/>
      <c r="F46" s="318"/>
      <c r="G46" s="642">
        <f t="shared" si="4"/>
        <v>204000</v>
      </c>
      <c r="H46" s="662"/>
      <c r="I46" s="318"/>
      <c r="J46" s="642">
        <f t="shared" si="5"/>
        <v>204000</v>
      </c>
      <c r="K46" s="125"/>
      <c r="L46" s="603"/>
    </row>
    <row r="47" spans="1:13" ht="15.75">
      <c r="A47" s="297">
        <v>32</v>
      </c>
      <c r="B47" s="71" t="s">
        <v>159</v>
      </c>
      <c r="C47" s="337">
        <f t="shared" si="6"/>
        <v>49515.26999999999</v>
      </c>
      <c r="D47" s="318"/>
      <c r="E47" s="664">
        <f>+'Sch 1, pg 2 - Restated'!J47</f>
        <v>1990.0200000000114</v>
      </c>
      <c r="F47" s="318" t="s">
        <v>111</v>
      </c>
      <c r="G47" s="642">
        <f t="shared" si="4"/>
        <v>51505.29</v>
      </c>
      <c r="H47" s="642"/>
      <c r="I47" s="318"/>
      <c r="J47" s="642">
        <f t="shared" si="5"/>
        <v>51505.29</v>
      </c>
      <c r="K47" s="125"/>
      <c r="L47" s="603"/>
    </row>
    <row r="48" spans="1:13" ht="15.75">
      <c r="A48" s="297">
        <v>33</v>
      </c>
      <c r="B48" s="71" t="s">
        <v>27</v>
      </c>
      <c r="C48" s="337">
        <f t="shared" si="6"/>
        <v>67060.560000000012</v>
      </c>
      <c r="D48" s="318"/>
      <c r="E48" s="662"/>
      <c r="F48" s="318"/>
      <c r="G48" s="642">
        <f t="shared" si="4"/>
        <v>67060.560000000012</v>
      </c>
      <c r="H48" s="642"/>
      <c r="I48" s="318"/>
      <c r="J48" s="642">
        <f t="shared" si="5"/>
        <v>67060.560000000012</v>
      </c>
      <c r="K48" s="125"/>
      <c r="L48" s="603"/>
    </row>
    <row r="49" spans="1:12" ht="15.75">
      <c r="A49" s="297">
        <v>34</v>
      </c>
      <c r="B49" s="71" t="s">
        <v>28</v>
      </c>
      <c r="C49" s="337">
        <f t="shared" si="6"/>
        <v>2504.96</v>
      </c>
      <c r="D49" s="318"/>
      <c r="E49" s="642"/>
      <c r="F49" s="318"/>
      <c r="G49" s="642">
        <f t="shared" si="4"/>
        <v>2504.96</v>
      </c>
      <c r="H49" s="642"/>
      <c r="I49" s="318"/>
      <c r="J49" s="642">
        <f t="shared" si="5"/>
        <v>2504.96</v>
      </c>
      <c r="K49" s="125"/>
      <c r="L49" s="603"/>
    </row>
    <row r="50" spans="1:12" ht="15.75">
      <c r="A50" s="297">
        <v>35</v>
      </c>
      <c r="B50" s="71" t="s">
        <v>29</v>
      </c>
      <c r="C50" s="337">
        <f t="shared" si="6"/>
        <v>15008.369999999999</v>
      </c>
      <c r="D50" s="318"/>
      <c r="E50" s="642"/>
      <c r="F50" s="318"/>
      <c r="G50" s="642">
        <f t="shared" si="4"/>
        <v>15008.369999999999</v>
      </c>
      <c r="H50" s="642"/>
      <c r="I50" s="318"/>
      <c r="J50" s="642">
        <f t="shared" si="5"/>
        <v>15008.369999999999</v>
      </c>
      <c r="K50" s="125"/>
      <c r="L50" s="603"/>
    </row>
    <row r="51" spans="1:12" ht="15.75">
      <c r="A51" s="297">
        <v>36</v>
      </c>
      <c r="B51" s="71" t="s">
        <v>18</v>
      </c>
      <c r="C51" s="337">
        <f>'Sch 4 - 12 Months'!O50</f>
        <v>18643.600000000002</v>
      </c>
      <c r="D51" s="318"/>
      <c r="E51" s="642"/>
      <c r="F51" s="318"/>
      <c r="G51" s="642">
        <f t="shared" si="4"/>
        <v>18643.600000000002</v>
      </c>
      <c r="H51" s="642"/>
      <c r="I51" s="318"/>
      <c r="J51" s="642">
        <f t="shared" si="5"/>
        <v>18643.600000000002</v>
      </c>
      <c r="K51" s="125"/>
      <c r="L51" s="603"/>
    </row>
    <row r="52" spans="1:12" ht="15.75">
      <c r="A52" s="297">
        <v>37</v>
      </c>
      <c r="B52" s="71" t="s">
        <v>30</v>
      </c>
      <c r="C52" s="337">
        <f t="shared" ref="C52:C86" si="7">VLOOKUP(B52,income_statement,14,FALSE)</f>
        <v>0</v>
      </c>
      <c r="D52" s="318"/>
      <c r="E52" s="642"/>
      <c r="F52" s="318"/>
      <c r="G52" s="642">
        <f t="shared" si="4"/>
        <v>0</v>
      </c>
      <c r="H52" s="802">
        <f>+'Sch 2, pg 2 - Forecast'!L52</f>
        <v>46504.7</v>
      </c>
      <c r="I52" s="318" t="s">
        <v>709</v>
      </c>
      <c r="J52" s="642">
        <f t="shared" si="5"/>
        <v>46504.7</v>
      </c>
      <c r="K52" s="125"/>
      <c r="L52" s="603"/>
    </row>
    <row r="53" spans="1:12" ht="15.75">
      <c r="A53" s="297">
        <v>38</v>
      </c>
      <c r="B53" s="71" t="s">
        <v>85</v>
      </c>
      <c r="C53" s="337">
        <f t="shared" si="7"/>
        <v>12816.9</v>
      </c>
      <c r="D53" s="318"/>
      <c r="E53" s="642"/>
      <c r="F53" s="318"/>
      <c r="G53" s="642">
        <f t="shared" si="4"/>
        <v>12816.9</v>
      </c>
      <c r="H53" s="642"/>
      <c r="I53" s="318"/>
      <c r="J53" s="642">
        <f t="shared" si="5"/>
        <v>12816.9</v>
      </c>
      <c r="K53" s="125"/>
      <c r="L53" s="603"/>
    </row>
    <row r="54" spans="1:12" ht="15.75">
      <c r="A54" s="297">
        <v>39</v>
      </c>
      <c r="B54" s="71" t="s">
        <v>89</v>
      </c>
      <c r="C54" s="337">
        <f t="shared" si="7"/>
        <v>4000.6</v>
      </c>
      <c r="D54" s="318"/>
      <c r="E54" s="664"/>
      <c r="F54" s="318"/>
      <c r="G54" s="642">
        <f t="shared" si="4"/>
        <v>4000.6</v>
      </c>
      <c r="H54" s="642"/>
      <c r="I54" s="318"/>
      <c r="J54" s="642">
        <f t="shared" si="5"/>
        <v>4000.6</v>
      </c>
      <c r="K54" s="125"/>
      <c r="L54" s="603"/>
    </row>
    <row r="55" spans="1:12" ht="15.75">
      <c r="A55" s="297">
        <v>40</v>
      </c>
      <c r="B55" s="71" t="s">
        <v>31</v>
      </c>
      <c r="C55" s="337">
        <f t="shared" si="7"/>
        <v>20268.18</v>
      </c>
      <c r="D55" s="318"/>
      <c r="E55" s="642"/>
      <c r="F55" s="318"/>
      <c r="G55" s="642">
        <f t="shared" si="4"/>
        <v>20268.18</v>
      </c>
      <c r="H55" s="642"/>
      <c r="I55" s="318"/>
      <c r="J55" s="642">
        <f t="shared" si="5"/>
        <v>20268.18</v>
      </c>
      <c r="K55" s="125"/>
      <c r="L55" s="603"/>
    </row>
    <row r="56" spans="1:12" ht="15.75">
      <c r="A56" s="297">
        <v>41</v>
      </c>
      <c r="B56" s="71" t="s">
        <v>32</v>
      </c>
      <c r="C56" s="337">
        <f t="shared" si="7"/>
        <v>9551.25</v>
      </c>
      <c r="D56" s="318"/>
      <c r="E56" s="642">
        <f>'Sch 1, pg 2 - Restated'!L56</f>
        <v>-9551.25</v>
      </c>
      <c r="F56" s="318" t="s">
        <v>112</v>
      </c>
      <c r="G56" s="642">
        <f t="shared" ref="G56:G87" si="8">C56+E56+D56</f>
        <v>0</v>
      </c>
      <c r="H56" s="642"/>
      <c r="I56" s="318"/>
      <c r="J56" s="642">
        <f t="shared" si="5"/>
        <v>0</v>
      </c>
      <c r="K56" s="125"/>
      <c r="L56" s="603"/>
    </row>
    <row r="57" spans="1:12" ht="15.75">
      <c r="A57" s="297">
        <v>42</v>
      </c>
      <c r="B57" s="71" t="s">
        <v>155</v>
      </c>
      <c r="C57" s="337">
        <f t="shared" si="7"/>
        <v>11496.45</v>
      </c>
      <c r="D57" s="318"/>
      <c r="E57" s="642"/>
      <c r="F57" s="318"/>
      <c r="G57" s="642">
        <f t="shared" si="8"/>
        <v>11496.45</v>
      </c>
      <c r="H57" s="642"/>
      <c r="I57" s="318"/>
      <c r="J57" s="642">
        <f t="shared" si="5"/>
        <v>11496.45</v>
      </c>
      <c r="K57" s="125"/>
      <c r="L57" s="603"/>
    </row>
    <row r="58" spans="1:12" ht="15.75">
      <c r="A58" s="297">
        <v>43</v>
      </c>
      <c r="B58" s="71" t="s">
        <v>33</v>
      </c>
      <c r="C58" s="337">
        <f t="shared" si="7"/>
        <v>12519.800000000001</v>
      </c>
      <c r="D58" s="318"/>
      <c r="E58" s="663">
        <f>+'Sch 1, pg 2 - Restated'!N58</f>
        <v>18319.658049999998</v>
      </c>
      <c r="F58" s="318" t="s">
        <v>113</v>
      </c>
      <c r="G58" s="642">
        <f t="shared" si="8"/>
        <v>30839.458050000001</v>
      </c>
      <c r="H58" s="642"/>
      <c r="I58" s="318"/>
      <c r="J58" s="642">
        <f t="shared" si="5"/>
        <v>30839.458050000001</v>
      </c>
      <c r="K58" s="125"/>
      <c r="L58" s="603"/>
    </row>
    <row r="59" spans="1:12" ht="15.75">
      <c r="A59" s="297">
        <v>44</v>
      </c>
      <c r="B59" s="71" t="s">
        <v>34</v>
      </c>
      <c r="C59" s="337">
        <f t="shared" si="7"/>
        <v>4325.5899999999992</v>
      </c>
      <c r="D59" s="318"/>
      <c r="E59" s="642"/>
      <c r="F59" s="318"/>
      <c r="G59" s="642">
        <f t="shared" si="8"/>
        <v>4325.5899999999992</v>
      </c>
      <c r="H59" s="642"/>
      <c r="I59" s="318"/>
      <c r="J59" s="642">
        <f t="shared" si="5"/>
        <v>4325.5899999999992</v>
      </c>
      <c r="K59" s="125"/>
      <c r="L59" s="603"/>
    </row>
    <row r="60" spans="1:12" ht="15.75">
      <c r="A60" s="297">
        <v>45</v>
      </c>
      <c r="B60" s="71" t="s">
        <v>106</v>
      </c>
      <c r="C60" s="337">
        <f t="shared" si="7"/>
        <v>100</v>
      </c>
      <c r="D60" s="318"/>
      <c r="E60" s="642"/>
      <c r="F60" s="318"/>
      <c r="G60" s="642">
        <f t="shared" si="8"/>
        <v>100</v>
      </c>
      <c r="H60" s="642"/>
      <c r="I60" s="318"/>
      <c r="J60" s="642">
        <f t="shared" si="5"/>
        <v>100</v>
      </c>
      <c r="K60" s="125"/>
      <c r="L60" s="603"/>
    </row>
    <row r="61" spans="1:12" ht="15.75">
      <c r="A61" s="297">
        <v>46</v>
      </c>
      <c r="B61" s="71" t="s">
        <v>371</v>
      </c>
      <c r="C61" s="337">
        <f t="shared" si="7"/>
        <v>12042.4</v>
      </c>
      <c r="D61" s="318"/>
      <c r="E61" s="642"/>
      <c r="F61" s="318"/>
      <c r="G61" s="642">
        <f t="shared" si="8"/>
        <v>12042.4</v>
      </c>
      <c r="H61" s="642"/>
      <c r="I61" s="318"/>
      <c r="J61" s="642">
        <f t="shared" si="5"/>
        <v>12042.4</v>
      </c>
      <c r="K61" s="125"/>
      <c r="L61" s="603"/>
    </row>
    <row r="62" spans="1:12" ht="15.75">
      <c r="A62" s="297">
        <v>47</v>
      </c>
      <c r="B62" s="71" t="s">
        <v>160</v>
      </c>
      <c r="C62" s="337">
        <f t="shared" si="7"/>
        <v>6492.6</v>
      </c>
      <c r="D62" s="318"/>
      <c r="E62" s="642">
        <f>'Sch 1, pg 2 - Restated'!T62</f>
        <v>-5997.6</v>
      </c>
      <c r="F62" s="318" t="s">
        <v>112</v>
      </c>
      <c r="G62" s="642">
        <f t="shared" si="8"/>
        <v>495</v>
      </c>
      <c r="H62" s="642"/>
      <c r="I62" s="318"/>
      <c r="J62" s="642">
        <f t="shared" si="5"/>
        <v>495</v>
      </c>
      <c r="K62" s="125"/>
      <c r="L62" s="603"/>
    </row>
    <row r="63" spans="1:12" ht="15.75">
      <c r="A63" s="297">
        <v>48</v>
      </c>
      <c r="B63" s="71" t="s">
        <v>35</v>
      </c>
      <c r="C63" s="337">
        <f t="shared" si="7"/>
        <v>10088.669999999998</v>
      </c>
      <c r="D63" s="318"/>
      <c r="E63" s="642"/>
      <c r="F63" s="318"/>
      <c r="G63" s="642">
        <f t="shared" si="8"/>
        <v>10088.669999999998</v>
      </c>
      <c r="H63" s="642"/>
      <c r="I63" s="318"/>
      <c r="J63" s="642">
        <f t="shared" si="5"/>
        <v>10088.669999999998</v>
      </c>
      <c r="K63" s="125"/>
      <c r="L63" s="603"/>
    </row>
    <row r="64" spans="1:12" ht="15.75">
      <c r="A64" s="297">
        <v>49</v>
      </c>
      <c r="B64" s="71" t="s">
        <v>36</v>
      </c>
      <c r="C64" s="337">
        <f t="shared" si="7"/>
        <v>5819.63</v>
      </c>
      <c r="D64" s="318"/>
      <c r="E64" s="663"/>
      <c r="F64" s="318"/>
      <c r="G64" s="642">
        <f t="shared" si="8"/>
        <v>5819.63</v>
      </c>
      <c r="H64" s="642"/>
      <c r="I64" s="318"/>
      <c r="J64" s="642">
        <f t="shared" si="5"/>
        <v>5819.63</v>
      </c>
      <c r="K64" s="125"/>
      <c r="L64" s="603"/>
    </row>
    <row r="65" spans="1:12" ht="15.75">
      <c r="A65" s="297">
        <v>50</v>
      </c>
      <c r="B65" s="71" t="s">
        <v>370</v>
      </c>
      <c r="C65" s="337">
        <f t="shared" si="7"/>
        <v>1977.04</v>
      </c>
      <c r="D65" s="318"/>
      <c r="E65" s="662"/>
      <c r="F65" s="318"/>
      <c r="G65" s="642">
        <f t="shared" si="8"/>
        <v>1977.04</v>
      </c>
      <c r="H65" s="642"/>
      <c r="I65" s="318"/>
      <c r="J65" s="642">
        <f t="shared" si="5"/>
        <v>1977.04</v>
      </c>
      <c r="K65" s="125"/>
      <c r="L65" s="603"/>
    </row>
    <row r="66" spans="1:12" ht="15.75">
      <c r="A66" s="297">
        <v>51</v>
      </c>
      <c r="B66" s="71" t="s">
        <v>37</v>
      </c>
      <c r="C66" s="337">
        <f t="shared" si="7"/>
        <v>900</v>
      </c>
      <c r="D66" s="318"/>
      <c r="E66" s="664"/>
      <c r="F66" s="318"/>
      <c r="G66" s="642">
        <f t="shared" si="8"/>
        <v>900</v>
      </c>
      <c r="H66" s="642"/>
      <c r="I66" s="318"/>
      <c r="J66" s="642">
        <f t="shared" si="5"/>
        <v>900</v>
      </c>
      <c r="K66" s="125"/>
      <c r="L66" s="603"/>
    </row>
    <row r="67" spans="1:12" ht="15.75">
      <c r="A67" s="297">
        <v>52</v>
      </c>
      <c r="B67" s="71" t="s">
        <v>38</v>
      </c>
      <c r="C67" s="337">
        <f t="shared" si="7"/>
        <v>5570.25</v>
      </c>
      <c r="D67" s="318"/>
      <c r="E67" s="642"/>
      <c r="F67" s="318"/>
      <c r="G67" s="642">
        <f t="shared" si="8"/>
        <v>5570.25</v>
      </c>
      <c r="H67" s="642"/>
      <c r="I67" s="318"/>
      <c r="J67" s="642">
        <f t="shared" si="5"/>
        <v>5570.25</v>
      </c>
      <c r="K67" s="125"/>
      <c r="L67" s="603"/>
    </row>
    <row r="68" spans="1:12" ht="15.75">
      <c r="A68" s="297">
        <v>53</v>
      </c>
      <c r="B68" s="71" t="s">
        <v>167</v>
      </c>
      <c r="C68" s="337">
        <f t="shared" si="7"/>
        <v>0</v>
      </c>
      <c r="D68" s="318"/>
      <c r="E68" s="642"/>
      <c r="F68" s="318"/>
      <c r="G68" s="642">
        <f t="shared" si="8"/>
        <v>0</v>
      </c>
      <c r="H68" s="642"/>
      <c r="I68" s="318"/>
      <c r="J68" s="642">
        <f t="shared" si="5"/>
        <v>0</v>
      </c>
      <c r="K68" s="125"/>
      <c r="L68" s="603"/>
    </row>
    <row r="69" spans="1:12" ht="15.75">
      <c r="A69" s="297">
        <v>54</v>
      </c>
      <c r="B69" s="71" t="s">
        <v>119</v>
      </c>
      <c r="C69" s="337">
        <f t="shared" si="7"/>
        <v>5343.2400000000007</v>
      </c>
      <c r="D69" s="318"/>
      <c r="E69" s="642"/>
      <c r="F69" s="318"/>
      <c r="G69" s="642">
        <f t="shared" si="8"/>
        <v>5343.2400000000007</v>
      </c>
      <c r="H69" s="642"/>
      <c r="I69" s="318"/>
      <c r="J69" s="642">
        <f t="shared" si="5"/>
        <v>5343.2400000000007</v>
      </c>
      <c r="K69" s="125"/>
      <c r="L69" s="603"/>
    </row>
    <row r="70" spans="1:12" ht="15.75">
      <c r="A70" s="297">
        <v>55</v>
      </c>
      <c r="B70" s="71" t="s">
        <v>39</v>
      </c>
      <c r="C70" s="337">
        <f t="shared" si="7"/>
        <v>1050</v>
      </c>
      <c r="D70" s="318"/>
      <c r="E70" s="642">
        <f>'Sch 1, pg 2 - Restated'!T70</f>
        <v>-1050</v>
      </c>
      <c r="F70" s="318" t="s">
        <v>112</v>
      </c>
      <c r="G70" s="642">
        <f t="shared" si="8"/>
        <v>0</v>
      </c>
      <c r="H70" s="642"/>
      <c r="I70" s="318"/>
      <c r="J70" s="642">
        <f t="shared" si="5"/>
        <v>0</v>
      </c>
      <c r="K70" s="125"/>
      <c r="L70" s="603"/>
    </row>
    <row r="71" spans="1:12" ht="15.75">
      <c r="A71" s="297">
        <v>56</v>
      </c>
      <c r="B71" s="71" t="s">
        <v>40</v>
      </c>
      <c r="C71" s="337">
        <f t="shared" si="7"/>
        <v>64733.520000000011</v>
      </c>
      <c r="D71" s="318"/>
      <c r="E71" s="642"/>
      <c r="F71" s="318"/>
      <c r="G71" s="642">
        <f t="shared" si="8"/>
        <v>64733.520000000011</v>
      </c>
      <c r="H71" s="642"/>
      <c r="I71" s="318"/>
      <c r="J71" s="642">
        <f t="shared" si="5"/>
        <v>64733.520000000011</v>
      </c>
      <c r="K71" s="125"/>
      <c r="L71" s="603"/>
    </row>
    <row r="72" spans="1:12" ht="15.75">
      <c r="A72" s="297">
        <v>57</v>
      </c>
      <c r="B72" s="71" t="s">
        <v>41</v>
      </c>
      <c r="C72" s="337">
        <f t="shared" si="7"/>
        <v>206400</v>
      </c>
      <c r="D72" s="318"/>
      <c r="E72" s="664"/>
      <c r="F72" s="318"/>
      <c r="G72" s="642">
        <f t="shared" si="8"/>
        <v>206400</v>
      </c>
      <c r="H72" s="642"/>
      <c r="I72" s="318"/>
      <c r="J72" s="642">
        <f t="shared" si="5"/>
        <v>206400</v>
      </c>
      <c r="K72" s="125"/>
      <c r="L72" s="603"/>
    </row>
    <row r="73" spans="1:12" ht="15.75">
      <c r="A73" s="297">
        <v>58</v>
      </c>
      <c r="B73" s="71" t="s">
        <v>42</v>
      </c>
      <c r="C73" s="337">
        <f t="shared" si="7"/>
        <v>13516.699999999999</v>
      </c>
      <c r="D73" s="318"/>
      <c r="E73" s="760"/>
      <c r="F73" s="318"/>
      <c r="G73" s="642">
        <f t="shared" si="8"/>
        <v>13516.699999999999</v>
      </c>
      <c r="H73" s="642"/>
      <c r="I73" s="318"/>
      <c r="J73" s="642">
        <f t="shared" si="5"/>
        <v>13516.699999999999</v>
      </c>
      <c r="K73" s="125"/>
      <c r="L73" s="603"/>
    </row>
    <row r="74" spans="1:12" ht="15.75">
      <c r="A74" s="297">
        <v>59</v>
      </c>
      <c r="B74" s="71" t="s">
        <v>369</v>
      </c>
      <c r="C74" s="337">
        <f t="shared" si="7"/>
        <v>71859.45</v>
      </c>
      <c r="D74" s="318"/>
      <c r="E74" s="642">
        <f>'Sch 1, pg 2 - Restated'!T74</f>
        <v>-71859.45</v>
      </c>
      <c r="F74" s="318" t="s">
        <v>109</v>
      </c>
      <c r="G74" s="642">
        <f t="shared" si="8"/>
        <v>0</v>
      </c>
      <c r="H74" s="642"/>
      <c r="I74" s="318"/>
      <c r="J74" s="642">
        <f t="shared" si="5"/>
        <v>0</v>
      </c>
      <c r="K74" s="125"/>
      <c r="L74" s="603"/>
    </row>
    <row r="75" spans="1:12" ht="15.75">
      <c r="A75" s="297">
        <v>60</v>
      </c>
      <c r="B75" s="71" t="s">
        <v>79</v>
      </c>
      <c r="C75" s="337">
        <f t="shared" si="7"/>
        <v>83067.47</v>
      </c>
      <c r="D75" s="318"/>
      <c r="E75" s="642">
        <f>'Sch 1, pg 2 - Restated'!T75</f>
        <v>-83067.47</v>
      </c>
      <c r="F75" s="318" t="s">
        <v>109</v>
      </c>
      <c r="G75" s="642">
        <f t="shared" si="8"/>
        <v>0</v>
      </c>
      <c r="H75" s="642"/>
      <c r="I75" s="318"/>
      <c r="J75" s="642">
        <f t="shared" si="5"/>
        <v>0</v>
      </c>
      <c r="K75" s="125"/>
      <c r="L75" s="603"/>
    </row>
    <row r="76" spans="1:12" ht="15.75">
      <c r="A76" s="297">
        <v>61</v>
      </c>
      <c r="B76" s="71" t="s">
        <v>308</v>
      </c>
      <c r="C76" s="337">
        <f t="shared" si="7"/>
        <v>18370.409999999996</v>
      </c>
      <c r="D76" s="318"/>
      <c r="E76" s="642">
        <f>+'Sch 1, pg 2 - Restated'!P76</f>
        <v>14400</v>
      </c>
      <c r="F76" s="318" t="s">
        <v>1078</v>
      </c>
      <c r="G76" s="642">
        <f t="shared" si="8"/>
        <v>32770.409999999996</v>
      </c>
      <c r="H76" s="642"/>
      <c r="I76" s="318"/>
      <c r="J76" s="642">
        <f t="shared" si="5"/>
        <v>32770.409999999996</v>
      </c>
      <c r="K76" s="125"/>
      <c r="L76" s="603"/>
    </row>
    <row r="77" spans="1:12" ht="15.75">
      <c r="A77" s="297">
        <v>62</v>
      </c>
      <c r="B77" s="71" t="s">
        <v>368</v>
      </c>
      <c r="C77" s="337">
        <f t="shared" si="7"/>
        <v>1009.8000000000002</v>
      </c>
      <c r="D77" s="318"/>
      <c r="E77" s="642">
        <f>'Sch 1, pg 2 - Restated'!T77</f>
        <v>-1009.8000000000002</v>
      </c>
      <c r="F77" s="318" t="s">
        <v>109</v>
      </c>
      <c r="G77" s="642">
        <f t="shared" si="8"/>
        <v>0</v>
      </c>
      <c r="H77" s="642"/>
      <c r="I77" s="318"/>
      <c r="J77" s="642">
        <f t="shared" si="5"/>
        <v>0</v>
      </c>
      <c r="K77" s="125"/>
      <c r="L77" s="603"/>
    </row>
    <row r="78" spans="1:12" ht="15.75">
      <c r="A78" s="297">
        <v>63</v>
      </c>
      <c r="B78" s="71" t="s">
        <v>125</v>
      </c>
      <c r="C78" s="337">
        <f t="shared" si="7"/>
        <v>1852.56</v>
      </c>
      <c r="D78" s="318"/>
      <c r="E78" s="642"/>
      <c r="F78" s="318"/>
      <c r="G78" s="642">
        <f t="shared" si="8"/>
        <v>1852.56</v>
      </c>
      <c r="H78" s="642"/>
      <c r="I78" s="318"/>
      <c r="J78" s="642">
        <f t="shared" si="5"/>
        <v>1852.56</v>
      </c>
      <c r="K78" s="125"/>
      <c r="L78" s="603"/>
    </row>
    <row r="79" spans="1:12" ht="15.75">
      <c r="A79" s="297">
        <v>64</v>
      </c>
      <c r="B79" s="71" t="s">
        <v>80</v>
      </c>
      <c r="C79" s="337">
        <f t="shared" si="7"/>
        <v>138800.65999999997</v>
      </c>
      <c r="D79" s="318"/>
      <c r="E79" s="642">
        <f>'Sch 1, pg 2 - Restated'!T79</f>
        <v>-138800.65999999997</v>
      </c>
      <c r="F79" s="318" t="s">
        <v>109</v>
      </c>
      <c r="G79" s="642">
        <f t="shared" si="8"/>
        <v>0</v>
      </c>
      <c r="H79" s="642"/>
      <c r="I79" s="318"/>
      <c r="J79" s="642">
        <f t="shared" si="5"/>
        <v>0</v>
      </c>
      <c r="K79" s="125"/>
      <c r="L79" s="603"/>
    </row>
    <row r="80" spans="1:12" ht="15.75">
      <c r="A80" s="297">
        <v>65</v>
      </c>
      <c r="B80" s="71" t="s">
        <v>43</v>
      </c>
      <c r="C80" s="337">
        <f t="shared" si="7"/>
        <v>14275.8</v>
      </c>
      <c r="D80" s="318"/>
      <c r="E80" s="663">
        <f>+'Sch 1, pg 2 - Restated'!R80</f>
        <v>9308.3034200000038</v>
      </c>
      <c r="F80" s="318" t="s">
        <v>1079</v>
      </c>
      <c r="G80" s="642">
        <f t="shared" si="8"/>
        <v>23584.103420000003</v>
      </c>
      <c r="H80" s="642"/>
      <c r="I80" s="318"/>
      <c r="J80" s="642">
        <f t="shared" si="5"/>
        <v>23584.103420000003</v>
      </c>
      <c r="K80" s="125"/>
      <c r="L80" s="603"/>
    </row>
    <row r="81" spans="1:12" ht="15.75">
      <c r="A81" s="297">
        <v>66</v>
      </c>
      <c r="B81" s="71" t="s">
        <v>44</v>
      </c>
      <c r="C81" s="337">
        <f t="shared" si="7"/>
        <v>2301</v>
      </c>
      <c r="D81" s="318"/>
      <c r="E81" s="642"/>
      <c r="F81" s="318"/>
      <c r="G81" s="642">
        <f t="shared" si="8"/>
        <v>2301</v>
      </c>
      <c r="H81" s="642"/>
      <c r="I81" s="318"/>
      <c r="J81" s="642">
        <f t="shared" si="5"/>
        <v>2301</v>
      </c>
      <c r="K81" s="125"/>
      <c r="L81" s="603"/>
    </row>
    <row r="82" spans="1:12" ht="15.75">
      <c r="A82" s="297">
        <v>67</v>
      </c>
      <c r="B82" s="71" t="s">
        <v>81</v>
      </c>
      <c r="C82" s="337">
        <f t="shared" si="7"/>
        <v>66634.06</v>
      </c>
      <c r="D82" s="318"/>
      <c r="E82" s="642">
        <f>'Sch 1, pg 2 - Restated'!T82</f>
        <v>-66634.06</v>
      </c>
      <c r="F82" s="318" t="s">
        <v>109</v>
      </c>
      <c r="G82" s="642">
        <f t="shared" si="8"/>
        <v>0</v>
      </c>
      <c r="H82" s="642"/>
      <c r="I82" s="318"/>
      <c r="J82" s="642">
        <f t="shared" si="5"/>
        <v>0</v>
      </c>
      <c r="K82" s="125"/>
      <c r="L82" s="603"/>
    </row>
    <row r="83" spans="1:12" ht="15.75">
      <c r="A83" s="297">
        <v>68</v>
      </c>
      <c r="B83" s="71" t="s">
        <v>66</v>
      </c>
      <c r="C83" s="337">
        <f t="shared" si="7"/>
        <v>13892.949999999999</v>
      </c>
      <c r="D83" s="318"/>
      <c r="E83" s="642">
        <f>'Sch 1, pg 2 - Restated'!T83</f>
        <v>-13892.949999999999</v>
      </c>
      <c r="F83" s="318" t="s">
        <v>110</v>
      </c>
      <c r="G83" s="642">
        <f t="shared" si="8"/>
        <v>0</v>
      </c>
      <c r="H83" s="642"/>
      <c r="I83" s="318"/>
      <c r="J83" s="642">
        <f t="shared" si="5"/>
        <v>0</v>
      </c>
      <c r="K83" s="125"/>
      <c r="L83" s="603"/>
    </row>
    <row r="84" spans="1:12" ht="15.75">
      <c r="A84" s="297">
        <v>69</v>
      </c>
      <c r="B84" s="71" t="s">
        <v>45</v>
      </c>
      <c r="C84" s="337">
        <f t="shared" si="7"/>
        <v>0</v>
      </c>
      <c r="D84" s="318"/>
      <c r="E84" s="642"/>
      <c r="F84" s="318"/>
      <c r="G84" s="642">
        <f t="shared" si="8"/>
        <v>0</v>
      </c>
      <c r="H84" s="642"/>
      <c r="I84" s="318"/>
      <c r="J84" s="642">
        <f t="shared" si="5"/>
        <v>0</v>
      </c>
      <c r="K84" s="125"/>
      <c r="L84" s="603"/>
    </row>
    <row r="85" spans="1:12" ht="15.75">
      <c r="A85" s="297">
        <v>70</v>
      </c>
      <c r="B85" s="71" t="s">
        <v>46</v>
      </c>
      <c r="C85" s="337">
        <f t="shared" si="7"/>
        <v>4492.8599999999997</v>
      </c>
      <c r="D85" s="318"/>
      <c r="E85" s="642"/>
      <c r="F85" s="318"/>
      <c r="G85" s="642">
        <f t="shared" si="8"/>
        <v>4492.8599999999997</v>
      </c>
      <c r="H85" s="642"/>
      <c r="I85" s="318"/>
      <c r="J85" s="642">
        <f t="shared" si="5"/>
        <v>4492.8599999999997</v>
      </c>
      <c r="K85" s="125"/>
      <c r="L85" s="603"/>
    </row>
    <row r="86" spans="1:12" ht="15.75">
      <c r="A86" s="297">
        <v>71</v>
      </c>
      <c r="B86" s="71" t="s">
        <v>120</v>
      </c>
      <c r="C86" s="337">
        <f t="shared" si="7"/>
        <v>9687.1999999999989</v>
      </c>
      <c r="D86" s="318"/>
      <c r="E86" s="642"/>
      <c r="F86" s="318"/>
      <c r="G86" s="642">
        <f t="shared" si="8"/>
        <v>9687.1999999999989</v>
      </c>
      <c r="H86" s="642"/>
      <c r="I86" s="318"/>
      <c r="J86" s="642">
        <f t="shared" si="5"/>
        <v>9687.1999999999989</v>
      </c>
      <c r="K86" s="125"/>
      <c r="L86" s="603"/>
    </row>
    <row r="87" spans="1:12" ht="15.75">
      <c r="A87" s="297">
        <v>72</v>
      </c>
      <c r="B87" s="71" t="s">
        <v>47</v>
      </c>
      <c r="C87" s="337">
        <f>'Sch 4 - 12 Months'!O86</f>
        <v>259351.93000000002</v>
      </c>
      <c r="D87" s="318"/>
      <c r="E87" s="642">
        <f>'Sch 1, pg 2 - Restated'!T87</f>
        <v>-259351.93000000002</v>
      </c>
      <c r="F87" s="318" t="s">
        <v>107</v>
      </c>
      <c r="G87" s="642">
        <f t="shared" si="8"/>
        <v>0</v>
      </c>
      <c r="H87" s="642"/>
      <c r="I87" s="318"/>
      <c r="J87" s="642">
        <f t="shared" si="5"/>
        <v>0</v>
      </c>
      <c r="K87" s="125"/>
      <c r="L87" s="603"/>
    </row>
    <row r="88" spans="1:12" ht="15.75">
      <c r="B88" s="71" t="s">
        <v>49</v>
      </c>
      <c r="C88" s="337"/>
      <c r="D88" s="318"/>
      <c r="E88" s="642">
        <f>'Sch 1, pg 2 - Restated'!T88</f>
        <v>138881.10977619048</v>
      </c>
      <c r="F88" s="318" t="s">
        <v>695</v>
      </c>
      <c r="G88" s="642">
        <f t="shared" ref="G88:G97" si="9">C88+E88+D88</f>
        <v>138881.10977619048</v>
      </c>
      <c r="H88" s="642"/>
      <c r="I88" s="318"/>
      <c r="J88" s="642">
        <f t="shared" si="5"/>
        <v>138881.10977619048</v>
      </c>
      <c r="K88" s="125"/>
      <c r="L88" s="603"/>
    </row>
    <row r="89" spans="1:12" ht="15.75">
      <c r="B89" s="71" t="s">
        <v>50</v>
      </c>
      <c r="C89" s="337"/>
      <c r="D89" s="318"/>
      <c r="E89" s="642">
        <f>'Sch 1, pg 2 - Restated'!T89</f>
        <v>2782.7370630000269</v>
      </c>
      <c r="F89" s="318" t="s">
        <v>107</v>
      </c>
      <c r="G89" s="642">
        <f t="shared" si="9"/>
        <v>2782.7370630000269</v>
      </c>
      <c r="H89" s="642"/>
      <c r="I89" s="318"/>
      <c r="J89" s="642">
        <f t="shared" ref="J89:J97" si="10">G89+H89</f>
        <v>2782.7370630000269</v>
      </c>
      <c r="K89" s="125"/>
      <c r="L89" s="603"/>
    </row>
    <row r="90" spans="1:12" ht="15.75">
      <c r="B90" s="71" t="s">
        <v>51</v>
      </c>
      <c r="C90" s="337"/>
      <c r="D90" s="318"/>
      <c r="E90" s="642">
        <f>'Sch 1, pg 2 - Restated'!T90</f>
        <v>350</v>
      </c>
      <c r="F90" s="318" t="s">
        <v>107</v>
      </c>
      <c r="G90" s="642">
        <f t="shared" si="9"/>
        <v>350</v>
      </c>
      <c r="H90" s="642"/>
      <c r="I90" s="318"/>
      <c r="J90" s="642">
        <f t="shared" si="10"/>
        <v>350</v>
      </c>
      <c r="K90" s="125"/>
      <c r="L90" s="603"/>
    </row>
    <row r="91" spans="1:12" ht="15.75">
      <c r="B91" s="71" t="s">
        <v>367</v>
      </c>
      <c r="C91" s="337"/>
      <c r="D91" s="318"/>
      <c r="E91" s="642">
        <f>'Sch 1, pg 2 - Restated'!T91</f>
        <v>1123.9561666666675</v>
      </c>
      <c r="F91" s="318" t="s">
        <v>107</v>
      </c>
      <c r="G91" s="642">
        <f t="shared" si="9"/>
        <v>1123.9561666666675</v>
      </c>
      <c r="H91" s="642"/>
      <c r="I91" s="318"/>
      <c r="J91" s="642">
        <f t="shared" si="10"/>
        <v>1123.9561666666675</v>
      </c>
      <c r="K91" s="125"/>
      <c r="L91" s="603"/>
    </row>
    <row r="92" spans="1:12" ht="15.75">
      <c r="B92" s="71" t="s">
        <v>366</v>
      </c>
      <c r="C92" s="337"/>
      <c r="D92" s="318"/>
      <c r="E92" s="642">
        <f>'Sch 1, pg 2 - Restated'!T92</f>
        <v>2736.8334999999997</v>
      </c>
      <c r="F92" s="318" t="s">
        <v>107</v>
      </c>
      <c r="G92" s="642">
        <f t="shared" si="9"/>
        <v>2736.8334999999997</v>
      </c>
      <c r="H92" s="642"/>
      <c r="I92" s="318"/>
      <c r="J92" s="642">
        <f t="shared" si="10"/>
        <v>2736.8334999999997</v>
      </c>
      <c r="K92" s="125"/>
      <c r="L92" s="603"/>
    </row>
    <row r="93" spans="1:12" ht="15.75">
      <c r="B93" s="71" t="s">
        <v>52</v>
      </c>
      <c r="C93" s="337"/>
      <c r="D93" s="318"/>
      <c r="E93" s="642">
        <f>'Sch 1, pg 2 - Restated'!T93</f>
        <v>4518.5499166666687</v>
      </c>
      <c r="F93" s="318" t="s">
        <v>107</v>
      </c>
      <c r="G93" s="642">
        <f t="shared" si="9"/>
        <v>4518.5499166666687</v>
      </c>
      <c r="H93" s="642"/>
      <c r="I93" s="318"/>
      <c r="J93" s="642">
        <f t="shared" si="10"/>
        <v>4518.5499166666687</v>
      </c>
      <c r="K93" s="125"/>
      <c r="L93" s="603"/>
    </row>
    <row r="94" spans="1:12" ht="15.75">
      <c r="B94" s="71" t="s">
        <v>53</v>
      </c>
      <c r="C94" s="337"/>
      <c r="D94" s="318"/>
      <c r="E94" s="642">
        <f>'Sch 1, pg 2 - Restated'!T94</f>
        <v>34896.613000000005</v>
      </c>
      <c r="F94" s="318" t="s">
        <v>107</v>
      </c>
      <c r="G94" s="642">
        <f t="shared" si="9"/>
        <v>34896.613000000005</v>
      </c>
      <c r="H94" s="642"/>
      <c r="I94" s="318"/>
      <c r="J94" s="642">
        <f t="shared" si="10"/>
        <v>34896.613000000005</v>
      </c>
      <c r="K94" s="125"/>
      <c r="L94" s="603"/>
    </row>
    <row r="95" spans="1:12" ht="15.75">
      <c r="B95" s="71" t="s">
        <v>54</v>
      </c>
      <c r="C95" s="337"/>
      <c r="D95" s="318"/>
      <c r="E95" s="642">
        <f>'Sch 1, pg 2 - Restated'!T95</f>
        <v>23687.906285714282</v>
      </c>
      <c r="F95" s="318" t="s">
        <v>107</v>
      </c>
      <c r="G95" s="642">
        <f t="shared" si="9"/>
        <v>23687.906285714282</v>
      </c>
      <c r="H95" s="642"/>
      <c r="I95" s="318"/>
      <c r="J95" s="642">
        <f t="shared" si="10"/>
        <v>23687.906285714282</v>
      </c>
      <c r="K95" s="125"/>
      <c r="L95" s="603"/>
    </row>
    <row r="96" spans="1:12" ht="15.75">
      <c r="B96" s="71" t="s">
        <v>55</v>
      </c>
      <c r="C96" s="337"/>
      <c r="D96" s="318"/>
      <c r="E96" s="642">
        <f>'Sch 1, pg 2 - Restated'!T96</f>
        <v>8542.3845000000074</v>
      </c>
      <c r="F96" s="318" t="s">
        <v>107</v>
      </c>
      <c r="G96" s="642">
        <f t="shared" si="9"/>
        <v>8542.3845000000074</v>
      </c>
      <c r="H96" s="642"/>
      <c r="I96" s="318"/>
      <c r="J96" s="642">
        <f t="shared" si="10"/>
        <v>8542.3845000000074</v>
      </c>
      <c r="K96" s="125"/>
      <c r="L96" s="603"/>
    </row>
    <row r="97" spans="2:13" ht="15.75">
      <c r="B97" s="71"/>
      <c r="C97" s="337"/>
      <c r="D97" s="318"/>
      <c r="E97" s="642"/>
      <c r="F97" s="318"/>
      <c r="G97" s="642">
        <f t="shared" si="9"/>
        <v>0</v>
      </c>
      <c r="H97" s="642"/>
      <c r="I97" s="318"/>
      <c r="J97" s="642">
        <f t="shared" si="10"/>
        <v>0</v>
      </c>
      <c r="K97" s="125"/>
    </row>
    <row r="98" spans="2:13" ht="15.75">
      <c r="B98" s="303" t="s">
        <v>56</v>
      </c>
      <c r="C98" s="302">
        <f>SUM(C24:C97)</f>
        <v>4267003.4800000004</v>
      </c>
      <c r="D98" s="338">
        <f>SUM(D24:D97)</f>
        <v>274.38000000004831</v>
      </c>
      <c r="E98" s="338">
        <f>SUM(E24:E97)</f>
        <v>-28305.658321761912</v>
      </c>
      <c r="F98" s="338"/>
      <c r="G98" s="338">
        <f>SUM(G24:G97)</f>
        <v>4238972.2016782379</v>
      </c>
      <c r="H98" s="338">
        <f>SUM(H24:H97)</f>
        <v>157219.4307110832</v>
      </c>
      <c r="I98" s="338"/>
      <c r="J98" s="338">
        <f>SUM(J24:J97)</f>
        <v>4396191.6323893219</v>
      </c>
      <c r="K98" s="338">
        <f>SUM(K24:K97)</f>
        <v>0</v>
      </c>
      <c r="M98" s="614"/>
    </row>
    <row r="99" spans="2:13" ht="15.75">
      <c r="B99" s="61"/>
      <c r="C99" s="300"/>
      <c r="D99" s="318"/>
      <c r="E99" s="642"/>
      <c r="F99" s="318"/>
      <c r="G99" s="642"/>
      <c r="H99" s="642"/>
      <c r="I99" s="318"/>
      <c r="J99" s="642"/>
    </row>
    <row r="100" spans="2:13" ht="15.75">
      <c r="B100" s="61"/>
      <c r="C100" s="300"/>
      <c r="D100" s="318"/>
      <c r="E100" s="642"/>
      <c r="F100" s="318"/>
      <c r="G100" s="642"/>
      <c r="H100" s="642"/>
      <c r="I100" s="318"/>
      <c r="J100" s="642"/>
    </row>
    <row r="101" spans="2:13">
      <c r="B101" s="93" t="s">
        <v>58</v>
      </c>
      <c r="C101" s="337">
        <f>C20-C98</f>
        <v>123091.69999999925</v>
      </c>
      <c r="D101" s="642">
        <f>D20-D98</f>
        <v>-274.38000000004831</v>
      </c>
      <c r="E101" s="642">
        <f>E20-E98</f>
        <v>28305.658321761912</v>
      </c>
      <c r="F101" s="318"/>
      <c r="G101" s="642">
        <f>G20-G98</f>
        <v>151122.97832176182</v>
      </c>
      <c r="H101" s="642">
        <f>H20-H98</f>
        <v>-149804.4113056995</v>
      </c>
      <c r="I101" s="318"/>
      <c r="J101" s="642">
        <f>J20-J98</f>
        <v>1318.5670160613954</v>
      </c>
    </row>
    <row r="102" spans="2:13">
      <c r="B102" s="93" t="s">
        <v>199</v>
      </c>
      <c r="C102" s="300"/>
      <c r="D102" s="318"/>
      <c r="E102" s="642"/>
      <c r="F102" s="318"/>
      <c r="G102" s="642"/>
      <c r="H102" s="642"/>
      <c r="I102" s="318"/>
      <c r="J102" s="642"/>
    </row>
    <row r="103" spans="2:13">
      <c r="B103" s="93" t="s">
        <v>1160</v>
      </c>
      <c r="C103" s="300">
        <f>-'IS-PBC'!O154</f>
        <v>38000</v>
      </c>
      <c r="D103" s="318"/>
      <c r="E103" s="642"/>
      <c r="F103" s="318"/>
      <c r="G103" s="642"/>
      <c r="H103" s="642"/>
      <c r="I103" s="318"/>
      <c r="J103" s="642"/>
    </row>
    <row r="104" spans="2:13">
      <c r="B104" s="93" t="s">
        <v>1161</v>
      </c>
      <c r="C104" s="977">
        <f>-'IS-PBC'!O156</f>
        <v>7.1399999999999988</v>
      </c>
      <c r="D104" s="318"/>
      <c r="E104" s="642"/>
      <c r="F104" s="318"/>
      <c r="G104" s="642"/>
      <c r="H104" s="642"/>
      <c r="I104" s="318"/>
      <c r="J104" s="642"/>
    </row>
    <row r="105" spans="2:13">
      <c r="B105" s="93" t="s">
        <v>1162</v>
      </c>
      <c r="C105" s="300">
        <f>SUM(C101:C104)</f>
        <v>161098.83999999927</v>
      </c>
      <c r="D105" s="318"/>
      <c r="E105" s="642"/>
      <c r="F105" s="318"/>
      <c r="G105" s="642"/>
      <c r="H105" s="642"/>
      <c r="I105" s="318"/>
      <c r="J105" s="642"/>
    </row>
    <row r="106" spans="2:13">
      <c r="B106" s="93" t="s">
        <v>83</v>
      </c>
      <c r="C106" s="304">
        <f>C98/C20</f>
        <v>0.97196149628810569</v>
      </c>
      <c r="D106" s="656"/>
      <c r="E106" s="643"/>
      <c r="F106" s="656"/>
      <c r="G106" s="643">
        <f>G98/G20</f>
        <v>0.96557637770355542</v>
      </c>
      <c r="H106" s="643"/>
      <c r="I106" s="656"/>
      <c r="J106" s="643">
        <f>J98/J20</f>
        <v>0.99970015600731532</v>
      </c>
    </row>
    <row r="107" spans="2:13">
      <c r="B107" s="93"/>
      <c r="C107" s="300"/>
      <c r="D107" s="308"/>
      <c r="E107" s="337"/>
      <c r="F107" s="308"/>
      <c r="G107" s="300"/>
      <c r="H107" s="300"/>
      <c r="I107" s="308"/>
      <c r="J107" s="300"/>
    </row>
    <row r="108" spans="2:13">
      <c r="B108" s="93" t="s">
        <v>1158</v>
      </c>
      <c r="C108" s="300"/>
      <c r="D108" s="308"/>
      <c r="E108" s="337"/>
      <c r="F108" s="308"/>
      <c r="G108" s="300"/>
      <c r="H108" s="300"/>
      <c r="I108" s="308"/>
      <c r="J108" s="300"/>
    </row>
    <row r="109" spans="2:13">
      <c r="B109" s="93"/>
      <c r="C109" s="300"/>
      <c r="D109" s="308"/>
      <c r="E109" s="337"/>
      <c r="F109" s="308"/>
      <c r="G109" s="300"/>
      <c r="H109" s="300"/>
      <c r="I109" s="308"/>
      <c r="J109" s="300"/>
    </row>
    <row r="110" spans="2:13" ht="15.75">
      <c r="B110" s="61" t="s">
        <v>1053</v>
      </c>
      <c r="C110" s="300"/>
      <c r="D110" s="308"/>
      <c r="E110" s="337"/>
      <c r="F110" s="308"/>
      <c r="G110" s="300"/>
      <c r="H110" s="300"/>
      <c r="I110" s="308"/>
      <c r="J110" s="300"/>
    </row>
    <row r="111" spans="2:13" ht="15.75">
      <c r="B111" s="61" t="s">
        <v>1054</v>
      </c>
      <c r="C111" s="300"/>
      <c r="D111" s="308"/>
      <c r="E111" s="337"/>
      <c r="F111" s="308"/>
      <c r="G111" s="300"/>
      <c r="H111" s="300"/>
      <c r="I111" s="308"/>
      <c r="J111" s="300"/>
    </row>
    <row r="112" spans="2:13" ht="15.75">
      <c r="B112" s="61" t="s">
        <v>1163</v>
      </c>
    </row>
  </sheetData>
  <mergeCells count="4">
    <mergeCell ref="B1:J1"/>
    <mergeCell ref="B3:J3"/>
    <mergeCell ref="B5:J5"/>
    <mergeCell ref="B6:J6"/>
  </mergeCells>
  <printOptions horizontalCentered="1"/>
  <pageMargins left="0.7" right="0.7" top="0.75" bottom="0.75" header="0.3" footer="0.3"/>
  <pageSetup scale="73" fitToHeight="100" orientation="landscape" horizontalDpi="300" verticalDpi="300" r:id="rId1"/>
  <rowBreaks count="2" manualBreakCount="2">
    <brk id="40" max="9" man="1"/>
    <brk id="80" max="9"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S308"/>
  <sheetViews>
    <sheetView zoomScale="70" zoomScaleNormal="70" zoomScaleSheetLayoutView="55" workbookViewId="0">
      <selection sqref="A1:G1"/>
    </sheetView>
  </sheetViews>
  <sheetFormatPr defaultRowHeight="15.75"/>
  <cols>
    <col min="1" max="1" width="32.109375" style="340" customWidth="1"/>
    <col min="2" max="13" width="10.77734375" style="340" customWidth="1"/>
    <col min="14" max="14" width="1.77734375" style="340" customWidth="1"/>
    <col min="15" max="15" width="9.77734375" style="340" customWidth="1"/>
    <col min="16" max="16" width="1.77734375" style="340" customWidth="1"/>
    <col min="17" max="17" width="13.33203125" style="340" customWidth="1"/>
    <col min="18" max="18" width="12.109375" style="340" customWidth="1"/>
    <col min="19" max="19" width="13.44140625" style="340" customWidth="1"/>
    <col min="20" max="16384" width="8.88671875" style="340"/>
  </cols>
  <sheetData>
    <row r="1" spans="1:19">
      <c r="A1" s="1371" t="str">
        <f>'WP-12 Property Taxes'!$A$1</f>
        <v>WASTE CONTROL, INC.</v>
      </c>
      <c r="B1" s="1371"/>
      <c r="C1" s="1371"/>
      <c r="D1" s="1371"/>
      <c r="E1" s="1371"/>
      <c r="F1" s="1371"/>
      <c r="G1" s="1371"/>
    </row>
    <row r="2" spans="1:19" ht="18" customHeight="1">
      <c r="A2" s="51"/>
      <c r="B2" s="52"/>
      <c r="C2" s="52"/>
      <c r="D2" s="52"/>
      <c r="E2" s="50"/>
      <c r="F2" s="52"/>
      <c r="G2" s="50"/>
      <c r="H2" s="373"/>
      <c r="I2" s="373"/>
      <c r="J2" s="373"/>
      <c r="K2" s="366"/>
      <c r="L2" s="366"/>
      <c r="M2" s="366"/>
    </row>
    <row r="3" spans="1:19">
      <c r="A3" s="1372" t="s">
        <v>1013</v>
      </c>
      <c r="B3" s="1372"/>
      <c r="C3" s="1372"/>
      <c r="D3" s="1372"/>
      <c r="E3" s="1372"/>
      <c r="F3" s="1372"/>
      <c r="G3" s="1372"/>
      <c r="H3" s="367"/>
      <c r="I3" s="769"/>
      <c r="J3" s="769"/>
      <c r="K3" s="769"/>
      <c r="L3" s="769"/>
      <c r="M3" s="769"/>
      <c r="N3" s="769"/>
      <c r="O3" s="769"/>
    </row>
    <row r="4" spans="1:19">
      <c r="A4" s="56"/>
      <c r="B4" s="56"/>
      <c r="C4" s="56"/>
      <c r="D4" s="55"/>
      <c r="E4" s="56"/>
      <c r="F4" s="56"/>
      <c r="G4" s="56"/>
      <c r="H4" s="368"/>
      <c r="I4" s="769"/>
      <c r="J4" s="769"/>
      <c r="K4" s="769"/>
      <c r="L4" s="769"/>
      <c r="M4" s="769"/>
      <c r="N4" s="769"/>
      <c r="O4" s="769"/>
    </row>
    <row r="5" spans="1:19">
      <c r="A5" s="1373" t="str">
        <f>'WP-12 Property Taxes'!$A$5</f>
        <v>In Support of Tariff 19 effective September 7, 2018</v>
      </c>
      <c r="B5" s="1373"/>
      <c r="C5" s="1373"/>
      <c r="D5" s="1373"/>
      <c r="E5" s="1373"/>
      <c r="F5" s="1373"/>
      <c r="G5" s="1373"/>
      <c r="H5" s="368"/>
      <c r="I5" s="368"/>
      <c r="J5" s="368"/>
      <c r="K5" s="368"/>
      <c r="L5" s="367"/>
      <c r="M5" s="367"/>
    </row>
    <row r="6" spans="1:19">
      <c r="A6" s="694"/>
      <c r="B6" s="694"/>
      <c r="C6" s="694"/>
      <c r="D6" s="694"/>
      <c r="E6" s="694"/>
      <c r="F6" s="694"/>
      <c r="G6" s="694"/>
      <c r="H6" s="368"/>
      <c r="I6" s="368"/>
      <c r="J6" s="368"/>
      <c r="K6" s="368"/>
      <c r="L6" s="367"/>
      <c r="M6" s="367"/>
    </row>
    <row r="7" spans="1:19" customFormat="1">
      <c r="A7" s="340" t="s">
        <v>735</v>
      </c>
      <c r="B7" s="340"/>
      <c r="C7" s="340"/>
      <c r="D7" s="340"/>
      <c r="E7" s="340"/>
      <c r="F7" s="340"/>
      <c r="G7" s="340"/>
      <c r="H7" s="340"/>
      <c r="I7" s="340"/>
      <c r="J7" s="340"/>
      <c r="K7" s="340"/>
      <c r="L7" s="340"/>
      <c r="M7" s="340"/>
      <c r="N7" s="340"/>
      <c r="O7" s="340"/>
    </row>
    <row r="8" spans="1:19" customFormat="1">
      <c r="A8" s="340"/>
      <c r="B8" s="340"/>
      <c r="C8" s="340"/>
      <c r="D8" s="340"/>
      <c r="E8" s="340"/>
      <c r="F8" s="340"/>
      <c r="G8" s="340"/>
      <c r="H8" s="340"/>
      <c r="I8" s="340"/>
      <c r="J8" s="340"/>
      <c r="K8" s="340"/>
      <c r="L8" s="340"/>
      <c r="M8" s="340"/>
      <c r="N8" s="340"/>
      <c r="O8" s="340"/>
      <c r="Q8" t="s">
        <v>969</v>
      </c>
    </row>
    <row r="9" spans="1:19" customFormat="1">
      <c r="A9" s="340"/>
      <c r="B9" s="341">
        <v>2017</v>
      </c>
      <c r="C9" s="341">
        <v>2017</v>
      </c>
      <c r="D9" s="341">
        <v>2017</v>
      </c>
      <c r="E9" s="341">
        <v>2017</v>
      </c>
      <c r="F9" s="341">
        <v>2017</v>
      </c>
      <c r="G9" s="341">
        <v>2017</v>
      </c>
      <c r="H9" s="341">
        <v>2017</v>
      </c>
      <c r="I9" s="341">
        <v>2017</v>
      </c>
      <c r="J9" s="341">
        <v>2017</v>
      </c>
      <c r="K9" s="341">
        <v>2018</v>
      </c>
      <c r="L9" s="341">
        <v>2018</v>
      </c>
      <c r="M9" s="341">
        <v>2018</v>
      </c>
      <c r="N9" s="340"/>
      <c r="O9" s="340"/>
    </row>
    <row r="10" spans="1:19" customFormat="1">
      <c r="A10" s="342"/>
      <c r="B10" s="343" t="s">
        <v>143</v>
      </c>
      <c r="C10" s="343" t="s">
        <v>144</v>
      </c>
      <c r="D10" s="343" t="s">
        <v>145</v>
      </c>
      <c r="E10" s="343" t="s">
        <v>146</v>
      </c>
      <c r="F10" s="343" t="s">
        <v>147</v>
      </c>
      <c r="G10" s="343" t="s">
        <v>139</v>
      </c>
      <c r="H10" s="343" t="s">
        <v>138</v>
      </c>
      <c r="I10" s="343" t="s">
        <v>137</v>
      </c>
      <c r="J10" s="343" t="s">
        <v>136</v>
      </c>
      <c r="K10" s="343" t="s">
        <v>140</v>
      </c>
      <c r="L10" s="343" t="s">
        <v>141</v>
      </c>
      <c r="M10" s="343" t="s">
        <v>142</v>
      </c>
      <c r="N10" s="340"/>
      <c r="O10" s="343" t="s">
        <v>6</v>
      </c>
      <c r="Q10" s="365" t="s">
        <v>970</v>
      </c>
      <c r="R10" s="365" t="s">
        <v>971</v>
      </c>
      <c r="S10" s="365" t="s">
        <v>0</v>
      </c>
    </row>
    <row r="11" spans="1:19" customFormat="1">
      <c r="A11" s="340"/>
      <c r="B11" s="340"/>
      <c r="C11" s="340"/>
      <c r="D11" s="340"/>
      <c r="E11" s="340"/>
      <c r="F11" s="340"/>
      <c r="G11" s="340"/>
      <c r="H11" s="340"/>
      <c r="I11" s="340"/>
      <c r="J11" s="340"/>
      <c r="K11" s="340"/>
      <c r="L11" s="340"/>
      <c r="M11" s="340"/>
      <c r="N11" s="340"/>
      <c r="O11" s="340"/>
      <c r="Q11" s="364">
        <v>2537412.73</v>
      </c>
      <c r="R11" s="364">
        <v>707301.04</v>
      </c>
      <c r="S11" s="364">
        <f>SUM(Q11:R11)</f>
        <v>3244713.77</v>
      </c>
    </row>
    <row r="12" spans="1:19" customFormat="1">
      <c r="A12" s="344" t="s">
        <v>972</v>
      </c>
      <c r="B12" s="340">
        <f>1075.95+139.72</f>
        <v>1215.67</v>
      </c>
      <c r="C12" s="340">
        <f>1348.91+162.6</f>
        <v>1511.51</v>
      </c>
      <c r="D12" s="340">
        <f>1211.35+169.07</f>
        <v>1380.4199999999998</v>
      </c>
      <c r="E12" s="340">
        <f>1153.4+158.42</f>
        <v>1311.8200000000002</v>
      </c>
      <c r="F12" s="345">
        <f>1258.8+182.29</f>
        <v>1441.09</v>
      </c>
      <c r="G12" s="345">
        <f>1108.39+160.13</f>
        <v>1268.52</v>
      </c>
      <c r="H12" s="345">
        <f>1206.54+148.88</f>
        <v>1355.42</v>
      </c>
      <c r="I12" s="345">
        <f>1223.37+173.55</f>
        <v>1396.9199999999998</v>
      </c>
      <c r="J12" s="345">
        <f>1086.43+155.79</f>
        <v>1242.22</v>
      </c>
      <c r="K12" s="345">
        <f>1249.23+159.12</f>
        <v>1408.35</v>
      </c>
      <c r="L12" s="345">
        <f>1030.55+133.7</f>
        <v>1164.25</v>
      </c>
      <c r="M12" s="345">
        <f>1154.35+166.77</f>
        <v>1321.12</v>
      </c>
      <c r="N12" s="340"/>
      <c r="O12" s="346">
        <f>SUM(B12:M12)</f>
        <v>16017.310000000001</v>
      </c>
    </row>
    <row r="13" spans="1:19" customFormat="1">
      <c r="A13" s="344" t="s">
        <v>736</v>
      </c>
      <c r="B13" s="340">
        <f>88.08+431.63+53.78</f>
        <v>573.49</v>
      </c>
      <c r="C13" s="340">
        <f>275.19+494.34+52.94</f>
        <v>822.47</v>
      </c>
      <c r="D13" s="340">
        <f>175.42+561.63+44.3</f>
        <v>781.34999999999991</v>
      </c>
      <c r="E13" s="345">
        <f>71.83+508.78+79.66</f>
        <v>660.27</v>
      </c>
      <c r="F13" s="345">
        <f>34.44+314.43+63.99</f>
        <v>412.86</v>
      </c>
      <c r="G13" s="345">
        <f>62.76+345.83+65.89</f>
        <v>474.47999999999996</v>
      </c>
      <c r="H13" s="345">
        <f>55.68+537.79+52.37</f>
        <v>645.83999999999992</v>
      </c>
      <c r="I13" s="345">
        <f>61.52+286.07+40.77</f>
        <v>388.35999999999996</v>
      </c>
      <c r="J13" s="345">
        <f>51.73+226.04+37.53</f>
        <v>315.29999999999995</v>
      </c>
      <c r="K13" s="345">
        <f>167.39+280.22+38.51</f>
        <v>486.12</v>
      </c>
      <c r="L13" s="345">
        <f>89.92+300.08+44.35</f>
        <v>434.35</v>
      </c>
      <c r="M13" s="345">
        <f>115.25+351.46+52.26</f>
        <v>518.97</v>
      </c>
      <c r="N13" s="340"/>
      <c r="O13" s="346">
        <f>SUM(B13:M13)</f>
        <v>6513.8600000000006</v>
      </c>
    </row>
    <row r="14" spans="1:19" customFormat="1">
      <c r="A14" s="347"/>
      <c r="B14" s="342"/>
      <c r="C14" s="342"/>
      <c r="D14" s="342"/>
      <c r="E14" s="342"/>
      <c r="F14" s="348"/>
      <c r="G14" s="348"/>
      <c r="H14" s="348"/>
      <c r="I14" s="348"/>
      <c r="J14" s="348"/>
      <c r="K14" s="348"/>
      <c r="L14" s="348"/>
      <c r="M14" s="348"/>
      <c r="N14" s="340"/>
      <c r="O14" s="349"/>
    </row>
    <row r="15" spans="1:19" customFormat="1">
      <c r="A15" s="344" t="s">
        <v>737</v>
      </c>
      <c r="B15" s="340">
        <f>SUM(B12:B13)</f>
        <v>1789.16</v>
      </c>
      <c r="C15" s="340">
        <f t="shared" ref="C15:M15" si="0">SUM(C12:C13)</f>
        <v>2333.98</v>
      </c>
      <c r="D15" s="340">
        <f t="shared" si="0"/>
        <v>2161.7699999999995</v>
      </c>
      <c r="E15" s="340">
        <f t="shared" si="0"/>
        <v>1972.0900000000001</v>
      </c>
      <c r="F15" s="340">
        <f t="shared" si="0"/>
        <v>1853.9499999999998</v>
      </c>
      <c r="G15" s="340">
        <f t="shared" si="0"/>
        <v>1743</v>
      </c>
      <c r="H15" s="340">
        <f t="shared" si="0"/>
        <v>2001.26</v>
      </c>
      <c r="I15" s="340">
        <f t="shared" si="0"/>
        <v>1785.2799999999997</v>
      </c>
      <c r="J15" s="340">
        <f t="shared" si="0"/>
        <v>1557.52</v>
      </c>
      <c r="K15" s="340">
        <f t="shared" si="0"/>
        <v>1894.4699999999998</v>
      </c>
      <c r="L15" s="340">
        <f t="shared" si="0"/>
        <v>1598.6</v>
      </c>
      <c r="M15" s="340">
        <f t="shared" si="0"/>
        <v>1840.09</v>
      </c>
      <c r="N15" s="340"/>
      <c r="O15" s="346">
        <f>SUM(B15:M15)</f>
        <v>22531.170000000002</v>
      </c>
    </row>
    <row r="16" spans="1:19" customFormat="1" ht="15"/>
    <row r="17" spans="1:16" customFormat="1" ht="15"/>
    <row r="18" spans="1:16" customFormat="1">
      <c r="A18" s="344" t="s">
        <v>829</v>
      </c>
      <c r="B18" s="705">
        <f>(($Q$11/$S$11)*(B12-B20-B21))</f>
        <v>782.14729250651305</v>
      </c>
      <c r="C18" s="705">
        <f>(($Q$11/$S$11)*(C12-C20-C21))</f>
        <v>990.50719593836482</v>
      </c>
      <c r="D18" s="705">
        <f>(($Q$11/$S$11)*(D12-D20-D21))</f>
        <v>881.5256761130272</v>
      </c>
      <c r="E18" s="705">
        <f t="shared" ref="E18:M18" si="1">(($Q$11/$S$11)*(E12-E20-E21))</f>
        <v>841.75242626861984</v>
      </c>
      <c r="F18" s="705">
        <f t="shared" si="1"/>
        <v>941.63129905917708</v>
      </c>
      <c r="G18" s="705">
        <f t="shared" si="1"/>
        <v>824.97821845968258</v>
      </c>
      <c r="H18" s="705">
        <f t="shared" si="1"/>
        <v>871.36730970565725</v>
      </c>
      <c r="I18" s="705">
        <f t="shared" si="1"/>
        <v>891.30085548886473</v>
      </c>
      <c r="J18" s="705">
        <f t="shared" si="1"/>
        <v>792.89998981993415</v>
      </c>
      <c r="K18" s="705">
        <f t="shared" si="1"/>
        <v>920.74369576888739</v>
      </c>
      <c r="L18" s="705">
        <f t="shared" si="1"/>
        <v>744.38381954177737</v>
      </c>
      <c r="M18" s="705">
        <f t="shared" si="1"/>
        <v>845.09944768690639</v>
      </c>
      <c r="O18" s="346">
        <f>SUM(B18:M18)</f>
        <v>10328.337226357413</v>
      </c>
    </row>
    <row r="19" spans="1:16" customFormat="1">
      <c r="A19" s="344" t="s">
        <v>830</v>
      </c>
      <c r="B19" s="705">
        <f>(($R$11/$S$11)*(B12-B20-B21))</f>
        <v>218.02270749348722</v>
      </c>
      <c r="C19" s="705">
        <f>(($R$11/$S$11)*(C12-C20-C21))</f>
        <v>276.10280406163537</v>
      </c>
      <c r="D19" s="705">
        <f t="shared" ref="D19:M19" si="2">(($R$11/$S$11)*(D12-D20-D21))</f>
        <v>245.7243238869726</v>
      </c>
      <c r="E19" s="705">
        <f t="shared" si="2"/>
        <v>234.63757373138034</v>
      </c>
      <c r="F19" s="705">
        <f t="shared" si="2"/>
        <v>262.47870094082288</v>
      </c>
      <c r="G19" s="705">
        <f t="shared" si="2"/>
        <v>229.96178154031753</v>
      </c>
      <c r="H19" s="705">
        <f t="shared" si="2"/>
        <v>242.89269029434303</v>
      </c>
      <c r="I19" s="705">
        <f t="shared" si="2"/>
        <v>248.44914451113507</v>
      </c>
      <c r="J19" s="705">
        <f t="shared" si="2"/>
        <v>221.0200101800659</v>
      </c>
      <c r="K19" s="705">
        <f t="shared" si="2"/>
        <v>256.65630423111247</v>
      </c>
      <c r="L19" s="705">
        <f t="shared" si="2"/>
        <v>207.49618045822268</v>
      </c>
      <c r="M19" s="705">
        <f t="shared" si="2"/>
        <v>235.57055231309354</v>
      </c>
      <c r="O19" s="346">
        <f>SUM(B19:M19)</f>
        <v>2879.0127736425884</v>
      </c>
    </row>
    <row r="20" spans="1:16" customFormat="1">
      <c r="A20" s="344" t="s">
        <v>831</v>
      </c>
      <c r="B20" s="705">
        <f>'[17]Kalama TK#7'!H18+'[17]Kalama TK#24'!F14</f>
        <v>196.20971867007671</v>
      </c>
      <c r="C20" s="705">
        <f>'[17]Kalama TK#7'!H31+'[17]Kalama TK#24'!F23</f>
        <v>222.9780051150895</v>
      </c>
      <c r="D20" s="705">
        <f>'[17]Kalama TK#7'!H45+'[17]Kalama TK#24'!F32</f>
        <v>230.50772378516626</v>
      </c>
      <c r="E20" s="705">
        <f>'[17]Kalama TK#7'!H58+'[17]Kalama TK#24'!F41</f>
        <v>214.35570332480819</v>
      </c>
      <c r="F20" s="705">
        <f>'[17]Kalama TK#7'!H71+'[17]Kalama TK#24'!F50</f>
        <v>215.7669565217391</v>
      </c>
      <c r="G20" s="705">
        <f>'[17]Kalama TK#7'!H84+'[17]Kalama TK#24'!F58</f>
        <v>194.46158567774933</v>
      </c>
      <c r="H20" s="705">
        <f>'[17]Kalama TK#7'!H97+'[17]Kalama TK#24'!F67</f>
        <v>219.57278772378513</v>
      </c>
      <c r="I20" s="705">
        <f>'[17]Kalama TK#7'!H110+'[17]Kalama TK#24'!F76</f>
        <v>234.14966751918158</v>
      </c>
      <c r="J20" s="705">
        <f>'[17]Kalama TK#7'!H123+'[17]Kalama TK#24'!F84</f>
        <v>207.86393861892583</v>
      </c>
      <c r="K20" s="705">
        <f>'[17]Kalama TK#7'!H136+'[17]Kalama TK#24'!F93</f>
        <v>210.27672634271102</v>
      </c>
      <c r="L20" s="705">
        <f>'[17]Kalama TK#7'!H148+'[17]Kalama TK#24'!F101</f>
        <v>193.35989769820972</v>
      </c>
      <c r="M20" s="705">
        <f>'[17]Kalama TK#7'!H162+'[17]Kalama TK#24'!F110</f>
        <v>218.92634271099746</v>
      </c>
      <c r="O20" s="346">
        <f>SUM(B20:M20)</f>
        <v>2558.4290537084398</v>
      </c>
    </row>
    <row r="21" spans="1:16" customFormat="1">
      <c r="A21" s="344" t="s">
        <v>832</v>
      </c>
      <c r="B21" s="705">
        <f>'[17]Kalama TK#7'!I18+'[17]Kalama TK#24'!G14</f>
        <v>19.290281329923275</v>
      </c>
      <c r="C21" s="705">
        <f>'[17]Kalama TK#7'!I31+'[17]Kalama TK#24'!G23</f>
        <v>21.921994884910482</v>
      </c>
      <c r="D21" s="705">
        <f>'[17]Kalama TK#7'!I45+'[17]Kalama TK#24'!G32</f>
        <v>22.66227621483376</v>
      </c>
      <c r="E21" s="705">
        <f>'[17]Kalama TK#7'!I58+'[17]Kalama TK#24'!G41</f>
        <v>21.074296675191814</v>
      </c>
      <c r="F21" s="705">
        <f>'[17]Kalama TK#7'!I71+'[17]Kalama TK#24'!G50</f>
        <v>21.213043478260865</v>
      </c>
      <c r="G21" s="705">
        <f>'[17]Kalama TK#7'!I84+'[17]Kalama TK#24'!G58</f>
        <v>19.118414322250636</v>
      </c>
      <c r="H21" s="705">
        <f>'[17]Kalama TK#7'!I97+'[17]Kalama TK#24'!G67</f>
        <v>21.587212276214832</v>
      </c>
      <c r="I21" s="705">
        <f>'[17]Kalama TK#7'!I110+'[17]Kalama TK#24'!G76</f>
        <v>23.020332480818414</v>
      </c>
      <c r="J21" s="705">
        <f>'[17]Kalama TK#7'!I123+'[17]Kalama TK#24'!G84</f>
        <v>20.436061381074168</v>
      </c>
      <c r="K21" s="705">
        <f>'[17]Kalama TK#7'!I136+'[17]Kalama TK#24'!G93</f>
        <v>20.673273657289002</v>
      </c>
      <c r="L21" s="705">
        <f>'[17]Kalama TK#7'!I148+'[17]Kalama TK#24'!G101</f>
        <v>19.010102301790283</v>
      </c>
      <c r="M21" s="705">
        <f>'[17]Kalama TK#7'!I162+'[17]Kalama TK#24'!G110</f>
        <v>21.523657289002557</v>
      </c>
      <c r="O21" s="346">
        <f>SUM(B21:M21)</f>
        <v>251.53094629156007</v>
      </c>
    </row>
    <row r="22" spans="1:16" customFormat="1" ht="15"/>
    <row r="23" spans="1:16" customFormat="1">
      <c r="A23" s="344" t="s">
        <v>736</v>
      </c>
      <c r="B23" s="345">
        <f t="shared" ref="B23:I23" si="3">B13</f>
        <v>573.49</v>
      </c>
      <c r="C23" s="345">
        <f t="shared" si="3"/>
        <v>822.47</v>
      </c>
      <c r="D23" s="345">
        <f t="shared" si="3"/>
        <v>781.34999999999991</v>
      </c>
      <c r="E23" s="345">
        <f t="shared" si="3"/>
        <v>660.27</v>
      </c>
      <c r="F23" s="345">
        <f t="shared" si="3"/>
        <v>412.86</v>
      </c>
      <c r="G23" s="345">
        <f t="shared" si="3"/>
        <v>474.47999999999996</v>
      </c>
      <c r="H23" s="345">
        <f t="shared" si="3"/>
        <v>645.83999999999992</v>
      </c>
      <c r="I23" s="345">
        <f t="shared" si="3"/>
        <v>388.35999999999996</v>
      </c>
      <c r="J23" s="345">
        <f>J13</f>
        <v>315.29999999999995</v>
      </c>
      <c r="K23" s="345">
        <f>K13</f>
        <v>486.12</v>
      </c>
      <c r="L23" s="345">
        <f>L13</f>
        <v>434.35</v>
      </c>
      <c r="M23" s="345">
        <f>M13</f>
        <v>518.97</v>
      </c>
      <c r="N23" s="340"/>
      <c r="O23" s="346">
        <f>SUM(B23:M23)</f>
        <v>6513.8600000000006</v>
      </c>
    </row>
    <row r="24" spans="1:16" customFormat="1" ht="15">
      <c r="A24" s="365"/>
      <c r="B24" s="365"/>
      <c r="C24" s="365"/>
      <c r="D24" s="365"/>
      <c r="E24" s="365"/>
      <c r="F24" s="365"/>
      <c r="G24" s="365"/>
      <c r="H24" s="365"/>
      <c r="I24" s="365"/>
      <c r="J24" s="365"/>
      <c r="K24" s="365"/>
      <c r="L24" s="365"/>
      <c r="M24" s="365"/>
      <c r="O24" s="365"/>
    </row>
    <row r="25" spans="1:16" customFormat="1" ht="15">
      <c r="B25">
        <f>SUM(B18:B24)</f>
        <v>1789.1600000000003</v>
      </c>
      <c r="C25">
        <f t="shared" ref="C25:M25" si="4">SUM(C18:C24)</f>
        <v>2333.98</v>
      </c>
      <c r="D25">
        <f t="shared" si="4"/>
        <v>2161.7699999999995</v>
      </c>
      <c r="E25">
        <f t="shared" si="4"/>
        <v>1972.0900000000001</v>
      </c>
      <c r="F25">
        <f t="shared" si="4"/>
        <v>1853.9499999999998</v>
      </c>
      <c r="G25">
        <f t="shared" si="4"/>
        <v>1743</v>
      </c>
      <c r="H25">
        <f t="shared" si="4"/>
        <v>2001.26</v>
      </c>
      <c r="I25">
        <f t="shared" si="4"/>
        <v>1785.2799999999997</v>
      </c>
      <c r="J25">
        <f t="shared" si="4"/>
        <v>1557.52</v>
      </c>
      <c r="K25">
        <f t="shared" si="4"/>
        <v>1894.4699999999998</v>
      </c>
      <c r="L25">
        <f t="shared" si="4"/>
        <v>1598.6000000000004</v>
      </c>
      <c r="M25">
        <f t="shared" si="4"/>
        <v>1840.09</v>
      </c>
      <c r="O25">
        <f>SUM(O18:O24)</f>
        <v>22531.170000000002</v>
      </c>
      <c r="P25" s="791" t="s">
        <v>973</v>
      </c>
    </row>
    <row r="26" spans="1:16" customFormat="1" ht="15"/>
    <row r="27" spans="1:16" customFormat="1" ht="15">
      <c r="A27" s="791" t="s">
        <v>833</v>
      </c>
      <c r="B27" s="791">
        <f>+B19+B21</f>
        <v>237.31298882341048</v>
      </c>
      <c r="C27" s="791">
        <f t="shared" ref="C27:M27" si="5">+C19+C21</f>
        <v>298.02479894654584</v>
      </c>
      <c r="D27" s="791">
        <f t="shared" si="5"/>
        <v>268.38660010180638</v>
      </c>
      <c r="E27" s="791">
        <f t="shared" si="5"/>
        <v>255.71187040657216</v>
      </c>
      <c r="F27" s="791">
        <f t="shared" si="5"/>
        <v>283.69174441908376</v>
      </c>
      <c r="G27" s="791">
        <f t="shared" si="5"/>
        <v>249.08019586256816</v>
      </c>
      <c r="H27" s="791">
        <f t="shared" si="5"/>
        <v>264.47990257055784</v>
      </c>
      <c r="I27" s="791">
        <f t="shared" si="5"/>
        <v>271.46947699195351</v>
      </c>
      <c r="J27" s="791">
        <f t="shared" si="5"/>
        <v>241.45607156114005</v>
      </c>
      <c r="K27" s="791">
        <f t="shared" si="5"/>
        <v>277.32957788840145</v>
      </c>
      <c r="L27" s="791">
        <f t="shared" si="5"/>
        <v>226.50628276001297</v>
      </c>
      <c r="M27" s="791">
        <f t="shared" si="5"/>
        <v>257.0942096020961</v>
      </c>
      <c r="N27" s="791"/>
      <c r="O27" s="791">
        <f>SUM(B27:M27)</f>
        <v>3130.5437199341495</v>
      </c>
    </row>
    <row r="28" spans="1:16" customFormat="1" ht="15">
      <c r="A28" s="710"/>
    </row>
    <row r="29" spans="1:16">
      <c r="A29" s="340" t="s">
        <v>1101</v>
      </c>
      <c r="D29" s="350"/>
      <c r="E29" s="350"/>
    </row>
    <row r="30" spans="1:16">
      <c r="A30" s="352">
        <v>49.78</v>
      </c>
      <c r="B30" s="340" t="s">
        <v>464</v>
      </c>
      <c r="E30" s="350"/>
    </row>
    <row r="31" spans="1:16">
      <c r="A31" s="352">
        <v>51.02</v>
      </c>
      <c r="B31" s="340" t="s">
        <v>1100</v>
      </c>
      <c r="E31" s="350"/>
      <c r="F31" s="742"/>
    </row>
    <row r="32" spans="1:16">
      <c r="A32" s="355">
        <f>A31-A30</f>
        <v>1.240000000000002</v>
      </c>
      <c r="B32" s="340" t="s">
        <v>4</v>
      </c>
      <c r="E32" s="350"/>
    </row>
    <row r="33" spans="1:13">
      <c r="A33" s="351"/>
      <c r="C33" s="350"/>
      <c r="E33" s="350"/>
    </row>
    <row r="34" spans="1:13">
      <c r="A34" s="792">
        <f>A32/A30</f>
        <v>2.4909602249899597E-2</v>
      </c>
      <c r="B34" s="340" t="s">
        <v>722</v>
      </c>
      <c r="E34" s="742"/>
    </row>
    <row r="35" spans="1:13">
      <c r="A35" s="833"/>
      <c r="B35" s="359"/>
      <c r="C35" s="359"/>
      <c r="D35" s="359"/>
      <c r="E35" s="359"/>
      <c r="F35" s="359"/>
      <c r="G35" s="359"/>
      <c r="H35" s="359"/>
      <c r="I35" s="359"/>
      <c r="J35" s="359"/>
      <c r="K35" s="359"/>
      <c r="L35" s="359"/>
      <c r="M35" s="359"/>
    </row>
    <row r="36" spans="1:13" customFormat="1" ht="16.5" thickBot="1">
      <c r="A36" s="882" t="s">
        <v>738</v>
      </c>
      <c r="B36" s="340"/>
      <c r="C36" s="340"/>
      <c r="D36" s="340"/>
      <c r="E36" s="340"/>
    </row>
    <row r="37" spans="1:13">
      <c r="A37" s="793"/>
      <c r="B37" s="794" t="s">
        <v>723</v>
      </c>
      <c r="C37" s="795">
        <f>+Operations!C38+Operations!C39</f>
        <v>799096.06999999983</v>
      </c>
      <c r="D37" s="794"/>
      <c r="E37" s="796"/>
      <c r="G37" s="340">
        <f>49.78*1.025</f>
        <v>51.024499999999996</v>
      </c>
    </row>
    <row r="38" spans="1:13">
      <c r="A38" s="358" t="s">
        <v>464</v>
      </c>
      <c r="B38" s="359" t="s">
        <v>739</v>
      </c>
      <c r="C38" s="797">
        <f>A30</f>
        <v>49.78</v>
      </c>
      <c r="D38" s="359"/>
      <c r="E38" s="360"/>
    </row>
    <row r="39" spans="1:13">
      <c r="A39" s="358"/>
      <c r="B39" s="359" t="s">
        <v>725</v>
      </c>
      <c r="C39" s="797">
        <f>C37/C38</f>
        <v>16052.552631578943</v>
      </c>
      <c r="D39" s="359"/>
      <c r="E39" s="360"/>
    </row>
    <row r="40" spans="1:13">
      <c r="A40" s="358"/>
      <c r="B40" s="359"/>
      <c r="C40" s="359"/>
      <c r="D40" s="359"/>
      <c r="E40" s="360"/>
    </row>
    <row r="41" spans="1:13">
      <c r="A41" s="358"/>
      <c r="B41" s="359"/>
      <c r="C41" s="613" t="s">
        <v>688</v>
      </c>
      <c r="D41" s="359"/>
      <c r="E41" s="360"/>
    </row>
    <row r="42" spans="1:13">
      <c r="A42" s="358"/>
      <c r="B42" s="359" t="s">
        <v>725</v>
      </c>
      <c r="C42" s="797">
        <f>C39</f>
        <v>16052.552631578943</v>
      </c>
      <c r="D42" s="797"/>
      <c r="E42" s="360"/>
    </row>
    <row r="43" spans="1:13" ht="16.5" thickBot="1">
      <c r="A43" s="358"/>
      <c r="B43" s="798" t="s">
        <v>740</v>
      </c>
      <c r="C43" s="799">
        <f>C42*A30</f>
        <v>799096.06999999983</v>
      </c>
      <c r="D43" s="800"/>
      <c r="E43" s="360"/>
    </row>
    <row r="44" spans="1:13" ht="17.25" thickTop="1" thickBot="1">
      <c r="A44" s="361"/>
      <c r="B44" s="362"/>
      <c r="C44" s="362"/>
      <c r="D44" s="362"/>
      <c r="E44" s="363"/>
    </row>
    <row r="46" spans="1:13" ht="16.5" thickBot="1">
      <c r="A46" s="882" t="s">
        <v>741</v>
      </c>
      <c r="B46" s="350"/>
      <c r="C46" s="350"/>
      <c r="D46" s="350"/>
      <c r="E46" s="350"/>
    </row>
    <row r="47" spans="1:13">
      <c r="A47" s="793"/>
      <c r="B47" s="794"/>
      <c r="C47" s="840" t="s">
        <v>688</v>
      </c>
      <c r="D47" s="794"/>
      <c r="E47" s="796"/>
    </row>
    <row r="48" spans="1:13">
      <c r="A48" s="358"/>
      <c r="B48" s="359" t="s">
        <v>725</v>
      </c>
      <c r="C48" s="797">
        <f>C39</f>
        <v>16052.552631578943</v>
      </c>
      <c r="D48" s="797"/>
      <c r="E48" s="360"/>
    </row>
    <row r="49" spans="1:17">
      <c r="A49" s="358"/>
      <c r="B49" s="359" t="s">
        <v>4</v>
      </c>
      <c r="C49" s="797">
        <f>A32</f>
        <v>1.240000000000002</v>
      </c>
      <c r="D49" s="359"/>
      <c r="E49" s="360"/>
    </row>
    <row r="50" spans="1:17" ht="16.5" thickBot="1">
      <c r="A50" s="358"/>
      <c r="B50" s="798" t="s">
        <v>742</v>
      </c>
      <c r="C50" s="801">
        <f>C48*C49</f>
        <v>19905.16526315792</v>
      </c>
      <c r="D50" s="359"/>
      <c r="E50" s="360"/>
    </row>
    <row r="51" spans="1:17" ht="17.25" thickTop="1" thickBot="1">
      <c r="A51" s="361"/>
      <c r="B51" s="362"/>
      <c r="C51" s="362"/>
      <c r="D51" s="362"/>
      <c r="E51" s="363"/>
    </row>
    <row r="52" spans="1:17">
      <c r="A52" s="834"/>
      <c r="B52" s="835"/>
      <c r="C52" s="835"/>
      <c r="D52" s="835"/>
      <c r="E52" s="359"/>
      <c r="F52" s="359"/>
      <c r="G52" s="359"/>
      <c r="H52" s="359"/>
      <c r="I52" s="359"/>
      <c r="J52" s="353"/>
      <c r="K52" s="353"/>
      <c r="L52" s="353"/>
      <c r="M52" s="353"/>
      <c r="N52" s="353"/>
      <c r="O52" s="353"/>
    </row>
    <row r="53" spans="1:17">
      <c r="A53" s="883" t="s">
        <v>974</v>
      </c>
      <c r="P53" s="350"/>
      <c r="Q53" s="350"/>
    </row>
    <row r="54" spans="1:17">
      <c r="A54" s="884" t="s">
        <v>1102</v>
      </c>
      <c r="M54" s="352"/>
      <c r="Q54" s="350"/>
    </row>
    <row r="55" spans="1:17">
      <c r="A55" s="834" t="s">
        <v>991</v>
      </c>
      <c r="B55" s="835"/>
      <c r="C55" s="835"/>
      <c r="D55" s="835"/>
      <c r="E55" s="836"/>
      <c r="F55" s="359"/>
      <c r="G55" s="359"/>
      <c r="H55" s="359"/>
      <c r="I55" s="353"/>
      <c r="J55" s="356"/>
      <c r="K55" s="357"/>
      <c r="L55" s="357"/>
      <c r="M55" s="353"/>
      <c r="N55" s="353"/>
      <c r="O55" s="353"/>
    </row>
    <row r="56" spans="1:17">
      <c r="A56" s="834"/>
      <c r="B56" s="835"/>
      <c r="C56" s="835"/>
      <c r="D56" s="835"/>
      <c r="E56" s="836"/>
      <c r="F56" s="359"/>
      <c r="G56" s="359"/>
      <c r="H56" s="359"/>
      <c r="I56" s="353"/>
      <c r="J56" s="356"/>
      <c r="K56" s="357"/>
      <c r="L56" s="357"/>
      <c r="M56" s="353"/>
      <c r="N56" s="353"/>
      <c r="O56" s="353"/>
    </row>
    <row r="57" spans="1:17">
      <c r="A57" s="834"/>
      <c r="B57" s="835"/>
      <c r="C57" s="835"/>
      <c r="D57" s="835"/>
      <c r="E57" s="836"/>
      <c r="F57" s="359"/>
      <c r="G57" s="359"/>
      <c r="H57" s="359"/>
      <c r="I57" s="353"/>
      <c r="J57" s="353"/>
      <c r="K57" s="353"/>
      <c r="L57" s="353"/>
      <c r="M57" s="353"/>
      <c r="N57" s="353"/>
      <c r="O57" s="353"/>
    </row>
    <row r="58" spans="1:17">
      <c r="A58" s="834"/>
      <c r="B58" s="835"/>
      <c r="C58" s="835"/>
      <c r="D58" s="835"/>
      <c r="E58" s="836"/>
      <c r="F58" s="359"/>
      <c r="G58" s="359"/>
      <c r="H58" s="359"/>
      <c r="I58" s="353"/>
      <c r="J58" s="353"/>
      <c r="K58" s="353"/>
      <c r="L58" s="353"/>
      <c r="M58" s="353"/>
      <c r="N58" s="353"/>
      <c r="O58" s="353"/>
    </row>
    <row r="59" spans="1:17">
      <c r="A59" s="834"/>
      <c r="B59" s="835"/>
      <c r="C59" s="835"/>
      <c r="D59" s="835"/>
      <c r="E59" s="836"/>
      <c r="F59" s="359"/>
      <c r="G59" s="359"/>
      <c r="H59" s="359"/>
      <c r="I59" s="353"/>
      <c r="J59" s="353"/>
      <c r="K59" s="353"/>
      <c r="L59" s="353"/>
      <c r="M59" s="353"/>
      <c r="N59" s="353"/>
      <c r="O59" s="353"/>
    </row>
    <row r="60" spans="1:17">
      <c r="A60" s="834"/>
      <c r="B60" s="835"/>
      <c r="C60" s="835"/>
      <c r="D60" s="835"/>
      <c r="E60" s="359"/>
      <c r="F60" s="359"/>
      <c r="G60" s="359"/>
      <c r="H60" s="359"/>
      <c r="I60" s="359"/>
      <c r="J60" s="353"/>
      <c r="K60" s="353"/>
      <c r="L60" s="353"/>
      <c r="M60" s="353"/>
      <c r="N60" s="353"/>
      <c r="O60" s="353"/>
    </row>
    <row r="61" spans="1:17">
      <c r="A61" s="834"/>
      <c r="B61" s="835"/>
      <c r="C61" s="835"/>
      <c r="D61" s="835"/>
      <c r="E61" s="836"/>
      <c r="F61" s="797"/>
      <c r="G61" s="359"/>
      <c r="H61" s="797"/>
      <c r="I61" s="708"/>
      <c r="J61" s="353"/>
      <c r="K61" s="353"/>
      <c r="L61" s="353"/>
      <c r="M61" s="353"/>
      <c r="N61" s="353"/>
      <c r="O61" s="353"/>
    </row>
    <row r="62" spans="1:17">
      <c r="A62" s="834"/>
      <c r="B62" s="835"/>
      <c r="C62" s="835"/>
      <c r="D62" s="835"/>
      <c r="E62" s="836"/>
      <c r="F62" s="797"/>
      <c r="G62" s="359"/>
      <c r="H62" s="797"/>
      <c r="I62" s="708"/>
      <c r="J62" s="353"/>
      <c r="K62" s="353"/>
      <c r="L62" s="353"/>
      <c r="M62" s="353"/>
      <c r="N62" s="353"/>
      <c r="O62" s="353"/>
    </row>
    <row r="63" spans="1:17">
      <c r="A63" s="834"/>
      <c r="B63" s="835"/>
      <c r="C63" s="835"/>
      <c r="D63" s="835"/>
      <c r="E63" s="836"/>
      <c r="F63" s="797"/>
      <c r="G63" s="359"/>
      <c r="H63" s="359"/>
      <c r="I63" s="353"/>
      <c r="J63" s="353"/>
      <c r="K63" s="353"/>
      <c r="L63" s="353"/>
      <c r="M63" s="353"/>
      <c r="N63" s="353"/>
      <c r="O63" s="353"/>
    </row>
    <row r="64" spans="1:17">
      <c r="A64" s="834"/>
      <c r="B64" s="835"/>
      <c r="C64" s="835"/>
      <c r="D64" s="835"/>
      <c r="E64" s="836"/>
      <c r="F64" s="797"/>
      <c r="G64" s="359"/>
      <c r="H64" s="359"/>
      <c r="I64" s="353"/>
      <c r="J64" s="353"/>
      <c r="K64" s="353"/>
      <c r="L64" s="353"/>
      <c r="M64" s="353"/>
      <c r="N64" s="353"/>
      <c r="O64" s="353"/>
    </row>
    <row r="65" spans="1:15">
      <c r="A65" s="834"/>
      <c r="B65" s="835"/>
      <c r="C65" s="835"/>
      <c r="D65" s="835"/>
      <c r="E65" s="836"/>
      <c r="F65" s="797"/>
      <c r="G65" s="359"/>
      <c r="H65" s="359"/>
      <c r="I65" s="353"/>
      <c r="J65" s="353"/>
      <c r="K65" s="353"/>
      <c r="L65" s="353"/>
      <c r="M65" s="353"/>
      <c r="N65" s="353"/>
      <c r="O65" s="353"/>
    </row>
    <row r="66" spans="1:15">
      <c r="A66" s="834"/>
      <c r="B66" s="835"/>
      <c r="C66" s="835"/>
      <c r="D66" s="835"/>
      <c r="E66" s="836"/>
      <c r="F66" s="359"/>
      <c r="G66" s="359"/>
      <c r="H66" s="359"/>
      <c r="I66" s="353"/>
      <c r="J66" s="353"/>
      <c r="K66" s="353"/>
      <c r="L66" s="353"/>
      <c r="M66" s="353"/>
      <c r="N66" s="353"/>
      <c r="O66" s="353"/>
    </row>
    <row r="67" spans="1:15">
      <c r="A67" s="834"/>
      <c r="B67" s="835"/>
      <c r="C67" s="835"/>
      <c r="D67" s="835"/>
      <c r="E67" s="836"/>
      <c r="F67" s="359"/>
      <c r="G67" s="359"/>
      <c r="H67" s="359"/>
      <c r="I67" s="353"/>
      <c r="J67" s="353"/>
      <c r="K67" s="353"/>
      <c r="L67" s="353"/>
      <c r="M67" s="353"/>
      <c r="N67" s="353"/>
      <c r="O67" s="353"/>
    </row>
    <row r="68" spans="1:15">
      <c r="A68" s="834"/>
      <c r="B68" s="835"/>
      <c r="C68" s="835"/>
      <c r="D68" s="835"/>
      <c r="E68" s="836"/>
      <c r="F68" s="359"/>
      <c r="G68" s="359"/>
      <c r="H68" s="359"/>
      <c r="I68" s="353"/>
      <c r="J68" s="353"/>
      <c r="K68" s="353"/>
      <c r="L68" s="353"/>
      <c r="M68" s="353"/>
      <c r="N68" s="353"/>
      <c r="O68" s="353"/>
    </row>
    <row r="69" spans="1:15">
      <c r="A69" s="834"/>
      <c r="B69" s="835"/>
      <c r="C69" s="835"/>
      <c r="D69" s="835"/>
      <c r="E69" s="836"/>
      <c r="F69" s="359"/>
      <c r="G69" s="359"/>
      <c r="H69" s="359"/>
      <c r="I69" s="353"/>
      <c r="J69" s="353"/>
      <c r="K69" s="353"/>
      <c r="L69" s="353"/>
      <c r="M69" s="353"/>
      <c r="N69" s="353"/>
      <c r="O69" s="353"/>
    </row>
    <row r="70" spans="1:15">
      <c r="A70" s="834"/>
      <c r="B70" s="835"/>
      <c r="C70" s="835"/>
      <c r="D70" s="835"/>
      <c r="E70" s="836"/>
      <c r="F70" s="359"/>
      <c r="G70" s="359"/>
      <c r="H70" s="359"/>
      <c r="I70" s="353"/>
      <c r="J70" s="353"/>
      <c r="K70" s="353"/>
      <c r="L70" s="353"/>
      <c r="M70" s="353"/>
      <c r="N70" s="353"/>
      <c r="O70" s="353"/>
    </row>
    <row r="71" spans="1:15">
      <c r="A71" s="834"/>
      <c r="B71" s="835"/>
      <c r="C71" s="835"/>
      <c r="D71" s="835"/>
      <c r="E71" s="836"/>
      <c r="F71" s="359"/>
      <c r="G71" s="359"/>
      <c r="H71" s="359"/>
      <c r="I71" s="353"/>
      <c r="J71" s="353"/>
      <c r="K71" s="353"/>
      <c r="L71" s="353"/>
      <c r="M71" s="353"/>
      <c r="N71" s="353"/>
      <c r="O71" s="353"/>
    </row>
    <row r="72" spans="1:15">
      <c r="A72" s="834"/>
      <c r="B72" s="835"/>
      <c r="C72" s="835"/>
      <c r="D72" s="835"/>
      <c r="E72" s="836"/>
      <c r="F72" s="359"/>
      <c r="G72" s="359"/>
      <c r="H72" s="359"/>
      <c r="I72" s="353"/>
      <c r="J72" s="353"/>
      <c r="K72" s="353"/>
      <c r="L72" s="353"/>
      <c r="M72" s="353"/>
      <c r="N72" s="353"/>
      <c r="O72" s="353"/>
    </row>
    <row r="73" spans="1:15">
      <c r="A73" s="834"/>
      <c r="B73" s="835"/>
      <c r="C73" s="835"/>
      <c r="D73" s="835"/>
      <c r="E73" s="836"/>
      <c r="F73" s="359"/>
      <c r="G73" s="359"/>
      <c r="H73" s="359"/>
      <c r="I73" s="353"/>
      <c r="J73" s="353"/>
      <c r="K73" s="353"/>
      <c r="L73" s="353"/>
      <c r="M73" s="353"/>
      <c r="N73" s="353"/>
      <c r="O73" s="353"/>
    </row>
    <row r="74" spans="1:15">
      <c r="A74" s="834"/>
      <c r="B74" s="835"/>
      <c r="C74" s="835"/>
      <c r="D74" s="835"/>
      <c r="E74" s="836"/>
      <c r="F74" s="359"/>
      <c r="G74" s="359"/>
      <c r="H74" s="359"/>
      <c r="I74" s="353"/>
      <c r="J74" s="353"/>
      <c r="K74" s="353"/>
      <c r="L74" s="353"/>
      <c r="M74" s="353"/>
      <c r="N74" s="353"/>
      <c r="O74" s="353"/>
    </row>
    <row r="75" spans="1:15">
      <c r="A75" s="834"/>
      <c r="B75" s="835"/>
      <c r="C75" s="835"/>
      <c r="D75" s="835"/>
      <c r="E75" s="359"/>
      <c r="F75" s="359"/>
      <c r="G75" s="359"/>
      <c r="H75" s="359"/>
      <c r="I75" s="359"/>
      <c r="J75" s="353"/>
      <c r="K75" s="354"/>
      <c r="L75" s="354"/>
      <c r="M75" s="353"/>
      <c r="N75" s="353"/>
      <c r="O75" s="353"/>
    </row>
    <row r="76" spans="1:15">
      <c r="A76" s="834"/>
      <c r="B76" s="835"/>
      <c r="C76" s="835"/>
      <c r="D76" s="835"/>
      <c r="E76" s="836"/>
      <c r="F76" s="797"/>
      <c r="G76" s="359"/>
      <c r="H76" s="797"/>
      <c r="I76" s="708"/>
      <c r="J76" s="353"/>
      <c r="K76" s="354"/>
      <c r="L76" s="354"/>
      <c r="M76" s="353"/>
      <c r="N76" s="353"/>
      <c r="O76" s="353"/>
    </row>
    <row r="77" spans="1:15">
      <c r="A77" s="834"/>
      <c r="B77" s="835"/>
      <c r="C77" s="835"/>
      <c r="D77" s="835"/>
      <c r="E77" s="836"/>
      <c r="F77" s="797"/>
      <c r="G77" s="359"/>
      <c r="H77" s="797"/>
      <c r="I77" s="708"/>
      <c r="J77" s="353"/>
      <c r="K77" s="354"/>
      <c r="L77" s="354"/>
      <c r="M77" s="353"/>
      <c r="N77" s="353"/>
      <c r="O77" s="353"/>
    </row>
    <row r="78" spans="1:15">
      <c r="A78" s="834"/>
      <c r="B78" s="835"/>
      <c r="C78" s="835"/>
      <c r="D78" s="835"/>
      <c r="E78" s="836"/>
      <c r="F78" s="359"/>
      <c r="G78" s="359"/>
      <c r="H78" s="359"/>
      <c r="I78" s="359"/>
      <c r="J78" s="353"/>
      <c r="K78" s="354"/>
      <c r="L78" s="359"/>
      <c r="M78" s="359"/>
      <c r="N78" s="359"/>
      <c r="O78" s="359"/>
    </row>
    <row r="79" spans="1:15">
      <c r="A79" s="834"/>
      <c r="B79" s="835"/>
      <c r="C79" s="835"/>
      <c r="D79" s="835"/>
      <c r="E79" s="836"/>
      <c r="F79" s="359"/>
      <c r="G79" s="359"/>
      <c r="H79" s="359"/>
      <c r="I79" s="359"/>
      <c r="J79" s="353"/>
      <c r="K79" s="354"/>
      <c r="L79" s="359"/>
      <c r="M79" s="359"/>
      <c r="N79" s="359"/>
      <c r="O79" s="359"/>
    </row>
    <row r="80" spans="1:15">
      <c r="A80" s="834"/>
      <c r="B80" s="835"/>
      <c r="C80" s="835"/>
      <c r="D80" s="835"/>
      <c r="E80" s="836"/>
      <c r="F80" s="359"/>
      <c r="G80" s="359"/>
      <c r="H80" s="359"/>
      <c r="I80" s="359"/>
      <c r="J80" s="353"/>
      <c r="K80" s="354"/>
      <c r="L80" s="359"/>
      <c r="M80" s="359"/>
      <c r="N80" s="359"/>
      <c r="O80" s="359"/>
    </row>
    <row r="81" spans="1:15">
      <c r="A81" s="834"/>
      <c r="B81" s="835"/>
      <c r="C81" s="835"/>
      <c r="D81" s="835"/>
      <c r="E81" s="836"/>
      <c r="F81" s="359"/>
      <c r="G81" s="359"/>
      <c r="H81" s="359"/>
      <c r="I81" s="359"/>
      <c r="J81" s="356"/>
      <c r="K81" s="709"/>
      <c r="L81" s="359"/>
      <c r="M81" s="359"/>
      <c r="N81" s="359"/>
      <c r="O81" s="359"/>
    </row>
    <row r="82" spans="1:15">
      <c r="A82" s="834"/>
      <c r="B82" s="835"/>
      <c r="C82" s="835"/>
      <c r="D82" s="835"/>
      <c r="E82" s="836"/>
      <c r="F82" s="359"/>
      <c r="G82" s="359"/>
      <c r="H82" s="359"/>
      <c r="I82" s="359"/>
      <c r="J82" s="356"/>
      <c r="K82" s="709"/>
      <c r="L82" s="359"/>
      <c r="M82" s="359"/>
      <c r="N82" s="359"/>
      <c r="O82" s="359"/>
    </row>
    <row r="83" spans="1:15">
      <c r="A83" s="834"/>
      <c r="B83" s="835"/>
      <c r="C83" s="835"/>
      <c r="D83" s="835"/>
      <c r="E83" s="836"/>
      <c r="F83" s="359"/>
      <c r="G83" s="359"/>
      <c r="H83" s="359"/>
      <c r="I83" s="359"/>
      <c r="J83" s="356"/>
      <c r="K83" s="709"/>
      <c r="L83" s="359"/>
      <c r="M83" s="359"/>
      <c r="N83" s="359"/>
      <c r="O83" s="359"/>
    </row>
    <row r="84" spans="1:15">
      <c r="A84" s="834"/>
      <c r="B84" s="835"/>
      <c r="C84" s="835"/>
      <c r="D84" s="835"/>
      <c r="E84" s="836"/>
      <c r="F84" s="359"/>
      <c r="G84" s="359"/>
      <c r="H84" s="359"/>
      <c r="I84" s="359"/>
      <c r="J84" s="359"/>
      <c r="K84" s="359"/>
      <c r="L84" s="359"/>
      <c r="M84" s="359"/>
      <c r="N84" s="359"/>
      <c r="O84" s="359"/>
    </row>
    <row r="85" spans="1:15">
      <c r="A85" s="834"/>
      <c r="B85" s="835"/>
      <c r="C85" s="835"/>
      <c r="D85" s="835"/>
      <c r="E85" s="836"/>
      <c r="F85" s="359"/>
      <c r="G85" s="359"/>
      <c r="H85" s="359"/>
      <c r="I85" s="359"/>
      <c r="J85" s="359"/>
      <c r="K85" s="359"/>
      <c r="L85" s="359"/>
      <c r="M85" s="359"/>
      <c r="N85" s="359"/>
      <c r="O85" s="359"/>
    </row>
    <row r="86" spans="1:15">
      <c r="A86" s="834"/>
      <c r="B86" s="835"/>
      <c r="C86" s="835"/>
      <c r="D86" s="835"/>
      <c r="E86" s="836"/>
      <c r="F86" s="359"/>
      <c r="G86" s="359"/>
      <c r="H86" s="359"/>
      <c r="I86" s="359"/>
      <c r="J86" s="359"/>
      <c r="K86" s="359"/>
      <c r="L86" s="359"/>
      <c r="M86" s="359"/>
      <c r="N86" s="359"/>
      <c r="O86" s="359"/>
    </row>
    <row r="87" spans="1:15">
      <c r="A87" s="834"/>
      <c r="B87" s="835"/>
      <c r="C87" s="835"/>
      <c r="D87" s="835"/>
      <c r="E87" s="359"/>
      <c r="F87" s="359"/>
      <c r="G87" s="359"/>
      <c r="H87" s="359"/>
      <c r="I87" s="359"/>
      <c r="J87" s="359"/>
      <c r="K87" s="359"/>
      <c r="L87" s="359"/>
      <c r="M87" s="359"/>
      <c r="N87" s="359"/>
      <c r="O87" s="359"/>
    </row>
    <row r="88" spans="1:15">
      <c r="A88" s="834"/>
      <c r="B88" s="835"/>
      <c r="C88" s="835"/>
      <c r="D88" s="835"/>
      <c r="E88" s="836"/>
      <c r="F88" s="797"/>
      <c r="G88" s="359"/>
      <c r="H88" s="797"/>
      <c r="I88" s="708"/>
      <c r="J88" s="359"/>
      <c r="K88" s="359"/>
      <c r="L88" s="359"/>
      <c r="M88" s="359"/>
      <c r="N88" s="359"/>
      <c r="O88" s="359"/>
    </row>
    <row r="89" spans="1:15">
      <c r="A89" s="834"/>
      <c r="B89" s="835"/>
      <c r="C89" s="835"/>
      <c r="D89" s="835"/>
      <c r="E89" s="836"/>
      <c r="F89" s="797"/>
      <c r="G89" s="359"/>
      <c r="H89" s="797"/>
      <c r="I89" s="708"/>
      <c r="J89" s="359"/>
      <c r="K89" s="359"/>
      <c r="L89" s="359"/>
      <c r="M89" s="359"/>
      <c r="N89" s="359"/>
      <c r="O89" s="359"/>
    </row>
    <row r="90" spans="1:15">
      <c r="A90" s="834"/>
      <c r="B90" s="835"/>
      <c r="C90" s="835"/>
      <c r="D90" s="835"/>
      <c r="E90" s="836"/>
      <c r="F90" s="797"/>
      <c r="G90" s="359"/>
      <c r="H90" s="359"/>
      <c r="I90" s="359"/>
      <c r="J90" s="359"/>
      <c r="K90" s="359"/>
      <c r="L90" s="359"/>
      <c r="M90" s="359"/>
      <c r="N90" s="359"/>
      <c r="O90" s="359"/>
    </row>
    <row r="91" spans="1:15">
      <c r="A91" s="834"/>
      <c r="B91" s="835"/>
      <c r="C91" s="835"/>
      <c r="D91" s="835"/>
      <c r="E91" s="836"/>
      <c r="F91" s="797"/>
      <c r="G91" s="359"/>
      <c r="H91" s="359"/>
      <c r="I91" s="359"/>
      <c r="J91" s="359"/>
      <c r="K91" s="359"/>
      <c r="L91" s="359"/>
      <c r="M91" s="359"/>
      <c r="N91" s="359"/>
      <c r="O91" s="359"/>
    </row>
    <row r="92" spans="1:15">
      <c r="A92" s="834"/>
      <c r="B92" s="835"/>
      <c r="C92" s="835"/>
      <c r="D92" s="835"/>
      <c r="E92" s="836"/>
      <c r="F92" s="797"/>
      <c r="G92" s="359"/>
      <c r="H92" s="359"/>
      <c r="I92" s="359"/>
      <c r="J92" s="359"/>
      <c r="K92" s="359"/>
      <c r="L92" s="359"/>
      <c r="M92" s="359"/>
      <c r="N92" s="359"/>
      <c r="O92" s="359"/>
    </row>
    <row r="93" spans="1:15">
      <c r="A93" s="834"/>
      <c r="B93" s="835"/>
      <c r="C93" s="835"/>
      <c r="D93" s="835"/>
      <c r="E93" s="836"/>
      <c r="F93" s="359"/>
      <c r="G93" s="359"/>
      <c r="H93" s="359"/>
      <c r="I93" s="359"/>
      <c r="J93" s="359"/>
      <c r="K93" s="359"/>
      <c r="L93" s="359"/>
      <c r="M93" s="359"/>
    </row>
    <row r="94" spans="1:15">
      <c r="A94" s="834"/>
      <c r="B94" s="835"/>
      <c r="C94" s="835"/>
      <c r="D94" s="835"/>
      <c r="E94" s="836"/>
      <c r="F94" s="359"/>
      <c r="G94" s="359"/>
      <c r="H94" s="359"/>
      <c r="I94" s="359"/>
      <c r="J94" s="359"/>
      <c r="K94" s="359"/>
      <c r="L94" s="359"/>
      <c r="M94" s="359"/>
    </row>
    <row r="95" spans="1:15">
      <c r="A95" s="834"/>
      <c r="B95" s="835"/>
      <c r="C95" s="835"/>
      <c r="D95" s="835"/>
      <c r="E95" s="836"/>
      <c r="F95" s="359"/>
      <c r="G95" s="359"/>
      <c r="H95" s="359"/>
      <c r="I95" s="359"/>
      <c r="J95" s="359"/>
      <c r="K95" s="359"/>
      <c r="L95" s="359"/>
      <c r="M95" s="359"/>
    </row>
    <row r="96" spans="1:15">
      <c r="A96" s="834"/>
      <c r="B96" s="835"/>
      <c r="C96" s="835"/>
      <c r="D96" s="835"/>
      <c r="E96" s="836"/>
      <c r="F96" s="359"/>
      <c r="G96" s="359"/>
      <c r="H96" s="359"/>
      <c r="I96" s="359"/>
      <c r="J96" s="359"/>
      <c r="K96" s="359"/>
      <c r="L96" s="359"/>
      <c r="M96" s="359"/>
    </row>
    <row r="97" spans="1:13">
      <c r="A97" s="834"/>
      <c r="B97" s="835"/>
      <c r="C97" s="835"/>
      <c r="D97" s="835"/>
      <c r="E97" s="836"/>
      <c r="F97" s="359"/>
      <c r="G97" s="359"/>
      <c r="H97" s="359"/>
      <c r="I97" s="359"/>
      <c r="J97" s="359"/>
      <c r="K97" s="359"/>
      <c r="L97" s="359"/>
      <c r="M97" s="359"/>
    </row>
    <row r="98" spans="1:13">
      <c r="A98" s="834"/>
      <c r="B98" s="835"/>
      <c r="C98" s="835"/>
      <c r="D98" s="835"/>
      <c r="E98" s="836"/>
      <c r="F98" s="359"/>
      <c r="G98" s="359"/>
      <c r="H98" s="359"/>
      <c r="I98" s="359"/>
      <c r="J98" s="359"/>
      <c r="K98" s="359"/>
      <c r="L98" s="359"/>
      <c r="M98" s="359"/>
    </row>
    <row r="99" spans="1:13">
      <c r="A99" s="834"/>
      <c r="B99" s="835"/>
      <c r="C99" s="835"/>
      <c r="D99" s="835"/>
      <c r="E99" s="836"/>
      <c r="F99" s="359"/>
      <c r="G99" s="359"/>
      <c r="H99" s="359"/>
      <c r="I99" s="359"/>
      <c r="J99" s="359"/>
      <c r="K99" s="359"/>
      <c r="L99" s="359"/>
      <c r="M99" s="359"/>
    </row>
    <row r="100" spans="1:13">
      <c r="A100" s="834"/>
      <c r="B100" s="835"/>
      <c r="C100" s="835"/>
      <c r="D100" s="835"/>
      <c r="E100" s="836"/>
      <c r="F100" s="359"/>
      <c r="G100" s="359"/>
      <c r="H100" s="359"/>
      <c r="I100" s="359"/>
      <c r="J100" s="359"/>
      <c r="K100" s="359"/>
      <c r="L100" s="359"/>
      <c r="M100" s="359"/>
    </row>
    <row r="101" spans="1:13">
      <c r="A101" s="834"/>
      <c r="B101" s="835"/>
      <c r="C101" s="835"/>
      <c r="D101" s="835"/>
      <c r="E101" s="836"/>
      <c r="F101" s="359"/>
      <c r="G101" s="359"/>
      <c r="H101" s="359"/>
      <c r="I101" s="359"/>
      <c r="J101" s="359"/>
      <c r="K101" s="359"/>
      <c r="L101" s="359"/>
      <c r="M101" s="359"/>
    </row>
    <row r="102" spans="1:13">
      <c r="A102" s="834"/>
      <c r="B102" s="835"/>
      <c r="C102" s="835"/>
      <c r="D102" s="835"/>
      <c r="E102" s="836"/>
      <c r="F102" s="797"/>
      <c r="G102" s="359"/>
      <c r="H102" s="797"/>
      <c r="I102" s="708"/>
      <c r="J102" s="359"/>
      <c r="K102" s="359"/>
      <c r="L102" s="359"/>
      <c r="M102" s="359"/>
    </row>
    <row r="103" spans="1:13">
      <c r="A103" s="834"/>
      <c r="B103" s="835"/>
      <c r="C103" s="835"/>
      <c r="D103" s="835"/>
      <c r="E103" s="836"/>
      <c r="F103" s="797"/>
      <c r="G103" s="359"/>
      <c r="H103" s="797"/>
      <c r="I103" s="708"/>
      <c r="J103" s="359"/>
      <c r="K103" s="359"/>
      <c r="L103" s="359"/>
      <c r="M103" s="359"/>
    </row>
    <row r="104" spans="1:13">
      <c r="A104" s="834"/>
      <c r="B104" s="835"/>
      <c r="C104" s="835"/>
      <c r="D104" s="835"/>
      <c r="E104" s="836"/>
      <c r="F104" s="797"/>
      <c r="G104" s="359"/>
      <c r="H104" s="797"/>
      <c r="I104" s="708"/>
      <c r="J104" s="359"/>
      <c r="K104" s="359"/>
      <c r="L104" s="359"/>
      <c r="M104" s="359"/>
    </row>
    <row r="105" spans="1:13">
      <c r="A105" s="834"/>
      <c r="B105" s="835"/>
      <c r="C105" s="835"/>
      <c r="D105" s="835"/>
      <c r="E105" s="836"/>
      <c r="F105" s="359"/>
      <c r="G105" s="359"/>
      <c r="H105" s="359"/>
      <c r="I105" s="359"/>
      <c r="J105" s="359"/>
      <c r="K105" s="359"/>
      <c r="L105" s="359"/>
      <c r="M105" s="359"/>
    </row>
    <row r="106" spans="1:13">
      <c r="A106" s="834"/>
      <c r="B106" s="835"/>
      <c r="C106" s="835"/>
      <c r="D106" s="835"/>
      <c r="E106" s="836"/>
      <c r="F106" s="359"/>
      <c r="G106" s="359"/>
      <c r="H106" s="359"/>
      <c r="I106" s="359"/>
      <c r="J106" s="359"/>
      <c r="K106" s="359"/>
      <c r="L106" s="359"/>
      <c r="M106" s="359"/>
    </row>
    <row r="107" spans="1:13">
      <c r="A107" s="834"/>
      <c r="B107" s="835"/>
      <c r="C107" s="835"/>
      <c r="D107" s="835"/>
      <c r="E107" s="836"/>
      <c r="F107" s="359"/>
      <c r="G107" s="359"/>
      <c r="H107" s="359"/>
      <c r="I107" s="359"/>
      <c r="J107" s="359"/>
      <c r="K107" s="359"/>
      <c r="L107" s="359"/>
      <c r="M107" s="359"/>
    </row>
    <row r="108" spans="1:13">
      <c r="A108" s="834"/>
      <c r="B108" s="835"/>
      <c r="C108" s="835"/>
      <c r="D108" s="835"/>
      <c r="E108" s="836"/>
      <c r="F108" s="359"/>
      <c r="G108" s="359"/>
      <c r="H108" s="359"/>
      <c r="I108" s="359"/>
      <c r="J108" s="359"/>
      <c r="K108" s="359"/>
      <c r="L108" s="359"/>
      <c r="M108" s="359"/>
    </row>
    <row r="109" spans="1:13">
      <c r="A109" s="834"/>
      <c r="B109" s="835"/>
      <c r="C109" s="835"/>
      <c r="D109" s="835"/>
      <c r="E109" s="836"/>
      <c r="F109" s="359"/>
      <c r="G109" s="359"/>
      <c r="H109" s="359"/>
      <c r="I109" s="359"/>
      <c r="J109" s="359"/>
      <c r="K109" s="359"/>
      <c r="L109" s="359"/>
      <c r="M109" s="359"/>
    </row>
    <row r="110" spans="1:13">
      <c r="A110" s="834"/>
      <c r="B110" s="835"/>
      <c r="C110" s="835"/>
      <c r="D110" s="835"/>
      <c r="E110" s="836"/>
      <c r="F110" s="359"/>
      <c r="G110" s="359"/>
      <c r="H110" s="359"/>
      <c r="I110" s="359"/>
      <c r="J110" s="359"/>
      <c r="K110" s="359"/>
      <c r="L110" s="359"/>
      <c r="M110" s="359"/>
    </row>
    <row r="111" spans="1:13">
      <c r="A111" s="834"/>
      <c r="B111" s="835"/>
      <c r="C111" s="835"/>
      <c r="D111" s="835"/>
      <c r="E111" s="836"/>
      <c r="F111" s="359"/>
      <c r="G111" s="359"/>
      <c r="H111" s="359"/>
      <c r="I111" s="359"/>
      <c r="J111" s="359"/>
      <c r="K111" s="359"/>
      <c r="L111" s="359"/>
      <c r="M111" s="359"/>
    </row>
    <row r="112" spans="1:13">
      <c r="A112" s="834"/>
      <c r="B112" s="835"/>
      <c r="C112" s="835"/>
      <c r="D112" s="835"/>
      <c r="E112" s="836"/>
      <c r="F112" s="359"/>
      <c r="G112" s="359"/>
      <c r="H112" s="359"/>
      <c r="I112" s="359"/>
      <c r="J112" s="359"/>
      <c r="K112" s="359"/>
      <c r="L112" s="359"/>
      <c r="M112" s="359"/>
    </row>
    <row r="113" spans="1:13">
      <c r="A113" s="834"/>
      <c r="B113" s="835"/>
      <c r="C113" s="835"/>
      <c r="D113" s="835"/>
      <c r="E113" s="836"/>
      <c r="F113" s="359"/>
      <c r="G113" s="359"/>
      <c r="H113" s="359"/>
      <c r="I113" s="359"/>
      <c r="J113" s="359"/>
      <c r="K113" s="359"/>
      <c r="L113" s="359"/>
      <c r="M113" s="359"/>
    </row>
    <row r="114" spans="1:13">
      <c r="A114" s="834"/>
      <c r="B114" s="835"/>
      <c r="C114" s="835"/>
      <c r="D114" s="835"/>
      <c r="E114" s="359"/>
      <c r="F114" s="359"/>
      <c r="G114" s="359"/>
      <c r="H114" s="359"/>
      <c r="I114" s="359"/>
      <c r="J114" s="359"/>
      <c r="K114" s="359"/>
      <c r="L114" s="359"/>
      <c r="M114" s="359"/>
    </row>
    <row r="115" spans="1:13">
      <c r="A115" s="834"/>
      <c r="B115" s="835"/>
      <c r="C115" s="835"/>
      <c r="D115" s="835"/>
      <c r="E115" s="836"/>
      <c r="F115" s="797"/>
      <c r="G115" s="359"/>
      <c r="H115" s="797"/>
      <c r="I115" s="708"/>
      <c r="J115" s="359"/>
      <c r="K115" s="359"/>
      <c r="L115" s="359"/>
      <c r="M115" s="359"/>
    </row>
    <row r="116" spans="1:13">
      <c r="A116" s="834"/>
      <c r="B116" s="835"/>
      <c r="C116" s="835"/>
      <c r="D116" s="835"/>
      <c r="E116" s="836"/>
      <c r="F116" s="797"/>
      <c r="G116" s="359"/>
      <c r="H116" s="797"/>
      <c r="I116" s="708"/>
      <c r="J116" s="359"/>
      <c r="K116" s="359"/>
      <c r="L116" s="359"/>
      <c r="M116" s="359"/>
    </row>
    <row r="117" spans="1:13">
      <c r="A117" s="834"/>
      <c r="B117" s="835"/>
      <c r="C117" s="835"/>
      <c r="D117" s="835"/>
      <c r="E117" s="836"/>
      <c r="F117" s="797"/>
      <c r="G117" s="359"/>
      <c r="H117" s="359"/>
      <c r="I117" s="359"/>
      <c r="J117" s="359"/>
      <c r="K117" s="359"/>
      <c r="L117" s="359"/>
      <c r="M117" s="359"/>
    </row>
    <row r="118" spans="1:13">
      <c r="A118" s="834"/>
      <c r="B118" s="835"/>
      <c r="C118" s="835"/>
      <c r="D118" s="835"/>
      <c r="E118" s="836"/>
      <c r="F118" s="797"/>
      <c r="G118" s="359"/>
      <c r="H118" s="359"/>
      <c r="I118" s="359"/>
      <c r="J118" s="359"/>
      <c r="K118" s="359"/>
      <c r="L118" s="359"/>
      <c r="M118" s="359"/>
    </row>
    <row r="119" spans="1:13">
      <c r="A119" s="834"/>
      <c r="B119" s="835"/>
      <c r="C119" s="835"/>
      <c r="D119" s="835"/>
      <c r="E119" s="836"/>
      <c r="F119" s="797"/>
      <c r="G119" s="359"/>
      <c r="H119" s="359"/>
      <c r="I119" s="359"/>
      <c r="J119" s="359"/>
      <c r="K119" s="359"/>
      <c r="L119" s="359"/>
      <c r="M119" s="359"/>
    </row>
    <row r="120" spans="1:13">
      <c r="A120" s="834"/>
      <c r="B120" s="835"/>
      <c r="C120" s="835"/>
      <c r="D120" s="835"/>
      <c r="E120" s="836"/>
      <c r="F120" s="359"/>
      <c r="G120" s="359"/>
      <c r="H120" s="359"/>
      <c r="I120" s="359"/>
      <c r="J120" s="359"/>
      <c r="K120" s="359"/>
      <c r="L120" s="359"/>
      <c r="M120" s="359"/>
    </row>
    <row r="121" spans="1:13">
      <c r="A121" s="834"/>
      <c r="B121" s="835"/>
      <c r="C121" s="835"/>
      <c r="D121" s="835"/>
      <c r="E121" s="836"/>
      <c r="F121" s="359"/>
      <c r="G121" s="359"/>
      <c r="H121" s="359"/>
      <c r="I121" s="359"/>
      <c r="J121" s="359"/>
      <c r="K121" s="359"/>
      <c r="L121" s="359"/>
      <c r="M121" s="359"/>
    </row>
    <row r="122" spans="1:13">
      <c r="A122" s="834"/>
      <c r="B122" s="835"/>
      <c r="C122" s="835"/>
      <c r="D122" s="835"/>
      <c r="E122" s="836"/>
      <c r="F122" s="359"/>
      <c r="G122" s="359"/>
      <c r="H122" s="359"/>
      <c r="I122" s="359"/>
      <c r="J122" s="359"/>
      <c r="K122" s="359"/>
      <c r="L122" s="359"/>
      <c r="M122" s="359"/>
    </row>
    <row r="123" spans="1:13">
      <c r="A123" s="834"/>
      <c r="B123" s="835"/>
      <c r="C123" s="835"/>
      <c r="D123" s="835"/>
      <c r="E123" s="836"/>
      <c r="F123" s="359"/>
      <c r="G123" s="359"/>
      <c r="H123" s="359"/>
      <c r="I123" s="359"/>
      <c r="J123" s="359"/>
      <c r="K123" s="359"/>
      <c r="L123" s="359"/>
      <c r="M123" s="359"/>
    </row>
    <row r="124" spans="1:13">
      <c r="A124" s="834"/>
      <c r="B124" s="835"/>
      <c r="C124" s="835"/>
      <c r="D124" s="835"/>
      <c r="E124" s="836"/>
      <c r="F124" s="359"/>
      <c r="G124" s="359"/>
      <c r="H124" s="359"/>
      <c r="I124" s="359"/>
      <c r="J124" s="359"/>
      <c r="K124" s="359"/>
      <c r="L124" s="359"/>
      <c r="M124" s="359"/>
    </row>
    <row r="125" spans="1:13">
      <c r="A125" s="834"/>
      <c r="B125" s="835"/>
      <c r="C125" s="835"/>
      <c r="D125" s="835"/>
      <c r="E125" s="836"/>
      <c r="F125" s="359"/>
      <c r="G125" s="359"/>
      <c r="H125" s="359"/>
      <c r="I125" s="359"/>
      <c r="J125" s="359"/>
      <c r="K125" s="359"/>
      <c r="L125" s="359"/>
      <c r="M125" s="359"/>
    </row>
    <row r="126" spans="1:13">
      <c r="A126" s="834"/>
      <c r="B126" s="835"/>
      <c r="C126" s="835"/>
      <c r="D126" s="835"/>
      <c r="E126" s="359"/>
      <c r="F126" s="359"/>
      <c r="G126" s="359"/>
      <c r="H126" s="359"/>
      <c r="I126" s="359"/>
      <c r="J126" s="359"/>
      <c r="K126" s="359"/>
      <c r="L126" s="359"/>
      <c r="M126" s="359"/>
    </row>
    <row r="127" spans="1:13">
      <c r="A127" s="834"/>
      <c r="B127" s="835"/>
      <c r="C127" s="835"/>
      <c r="D127" s="835"/>
      <c r="E127" s="836"/>
      <c r="F127" s="797"/>
      <c r="G127" s="359"/>
      <c r="H127" s="797"/>
      <c r="I127" s="708"/>
      <c r="J127" s="359"/>
      <c r="K127" s="359"/>
      <c r="L127" s="359"/>
      <c r="M127" s="359"/>
    </row>
    <row r="128" spans="1:13">
      <c r="A128" s="834"/>
      <c r="B128" s="835"/>
      <c r="C128" s="835"/>
      <c r="D128" s="835"/>
      <c r="E128" s="836"/>
      <c r="F128" s="797"/>
      <c r="G128" s="359"/>
      <c r="H128" s="797"/>
      <c r="I128" s="708"/>
      <c r="J128" s="359"/>
      <c r="K128" s="359"/>
      <c r="L128" s="359"/>
      <c r="M128" s="359"/>
    </row>
    <row r="129" spans="1:13">
      <c r="A129" s="834"/>
      <c r="B129" s="835"/>
      <c r="C129" s="835"/>
      <c r="D129" s="835"/>
      <c r="E129" s="836"/>
      <c r="F129" s="797"/>
      <c r="G129" s="359"/>
      <c r="H129" s="359"/>
      <c r="I129" s="359"/>
      <c r="J129" s="359"/>
      <c r="K129" s="359"/>
      <c r="L129" s="359"/>
      <c r="M129" s="359"/>
    </row>
    <row r="130" spans="1:13">
      <c r="A130" s="834"/>
      <c r="B130" s="835"/>
      <c r="C130" s="835"/>
      <c r="D130" s="835"/>
      <c r="E130" s="836"/>
      <c r="F130" s="797"/>
      <c r="G130" s="359"/>
      <c r="H130" s="359"/>
      <c r="I130" s="359"/>
      <c r="J130" s="359"/>
      <c r="K130" s="359"/>
      <c r="L130" s="359"/>
      <c r="M130" s="359"/>
    </row>
    <row r="131" spans="1:13">
      <c r="A131" s="834"/>
      <c r="B131" s="835"/>
      <c r="C131" s="835"/>
      <c r="D131" s="835"/>
      <c r="E131" s="836"/>
      <c r="F131" s="797"/>
      <c r="G131" s="359"/>
      <c r="H131" s="359"/>
      <c r="I131" s="359"/>
      <c r="J131" s="359"/>
      <c r="K131" s="359"/>
      <c r="L131" s="359"/>
      <c r="M131" s="359"/>
    </row>
    <row r="132" spans="1:13">
      <c r="A132" s="834"/>
      <c r="B132" s="835"/>
      <c r="C132" s="835"/>
      <c r="D132" s="835"/>
      <c r="E132" s="836"/>
      <c r="F132" s="359"/>
      <c r="G132" s="359"/>
      <c r="H132" s="359"/>
      <c r="I132" s="359"/>
      <c r="J132" s="359"/>
      <c r="K132" s="359"/>
      <c r="L132" s="359"/>
      <c r="M132" s="359"/>
    </row>
    <row r="133" spans="1:13">
      <c r="A133" s="834"/>
      <c r="B133" s="835"/>
      <c r="C133" s="835"/>
      <c r="D133" s="835"/>
      <c r="E133" s="836"/>
      <c r="F133" s="359"/>
      <c r="G133" s="359"/>
      <c r="H133" s="359"/>
      <c r="I133" s="359"/>
      <c r="J133" s="359"/>
      <c r="K133" s="359"/>
      <c r="L133" s="359"/>
      <c r="M133" s="359"/>
    </row>
    <row r="134" spans="1:13">
      <c r="A134" s="834"/>
      <c r="B134" s="835"/>
      <c r="C134" s="835"/>
      <c r="D134" s="835"/>
      <c r="E134" s="836"/>
      <c r="F134" s="359"/>
      <c r="G134" s="359"/>
      <c r="H134" s="359"/>
      <c r="I134" s="359"/>
      <c r="J134" s="359"/>
      <c r="K134" s="359"/>
      <c r="L134" s="359"/>
      <c r="M134" s="359"/>
    </row>
    <row r="135" spans="1:13">
      <c r="A135" s="834"/>
      <c r="B135" s="835"/>
      <c r="C135" s="835"/>
      <c r="D135" s="835"/>
      <c r="E135" s="836"/>
      <c r="F135" s="359"/>
      <c r="G135" s="359"/>
      <c r="H135" s="359"/>
      <c r="I135" s="359"/>
      <c r="J135" s="359"/>
      <c r="K135" s="359"/>
      <c r="L135" s="359"/>
      <c r="M135" s="359"/>
    </row>
    <row r="136" spans="1:13">
      <c r="A136" s="834"/>
      <c r="B136" s="835"/>
      <c r="C136" s="835"/>
      <c r="D136" s="835"/>
      <c r="E136" s="836"/>
      <c r="F136" s="359"/>
      <c r="G136" s="359"/>
      <c r="H136" s="359"/>
      <c r="I136" s="359"/>
      <c r="J136" s="359"/>
      <c r="K136" s="359"/>
      <c r="L136" s="359"/>
      <c r="M136" s="359"/>
    </row>
    <row r="137" spans="1:13">
      <c r="A137" s="834"/>
      <c r="B137" s="835"/>
      <c r="C137" s="835"/>
      <c r="D137" s="835"/>
      <c r="E137" s="836"/>
      <c r="F137" s="359"/>
      <c r="G137" s="359"/>
      <c r="H137" s="359"/>
      <c r="I137" s="359"/>
      <c r="J137" s="359"/>
      <c r="K137" s="359"/>
      <c r="L137" s="359"/>
      <c r="M137" s="359"/>
    </row>
    <row r="138" spans="1:13">
      <c r="A138" s="834"/>
      <c r="B138" s="835"/>
      <c r="C138" s="835"/>
      <c r="D138" s="835"/>
      <c r="E138" s="836"/>
      <c r="F138" s="359"/>
      <c r="G138" s="359"/>
      <c r="H138" s="359"/>
      <c r="I138" s="359"/>
      <c r="J138" s="359"/>
      <c r="K138" s="359"/>
      <c r="L138" s="359"/>
      <c r="M138" s="359"/>
    </row>
    <row r="139" spans="1:13">
      <c r="A139" s="834"/>
      <c r="B139" s="835"/>
      <c r="C139" s="835"/>
      <c r="D139" s="835"/>
      <c r="E139" s="836"/>
      <c r="F139" s="359"/>
      <c r="G139" s="359"/>
      <c r="H139" s="359"/>
      <c r="I139" s="359"/>
      <c r="J139" s="359"/>
      <c r="K139" s="359"/>
      <c r="L139" s="359"/>
      <c r="M139" s="359"/>
    </row>
    <row r="140" spans="1:13">
      <c r="A140" s="834"/>
      <c r="B140" s="835"/>
      <c r="C140" s="835"/>
      <c r="D140" s="835"/>
      <c r="E140" s="836"/>
      <c r="F140" s="359"/>
      <c r="G140" s="359"/>
      <c r="H140" s="359"/>
      <c r="I140" s="359"/>
      <c r="J140" s="359"/>
      <c r="K140" s="359"/>
      <c r="L140" s="359"/>
      <c r="M140" s="359"/>
    </row>
    <row r="141" spans="1:13">
      <c r="A141" s="834"/>
      <c r="B141" s="835"/>
      <c r="C141" s="835"/>
      <c r="D141" s="835"/>
      <c r="E141" s="836"/>
      <c r="F141" s="797"/>
      <c r="G141" s="359"/>
      <c r="H141" s="797"/>
      <c r="I141" s="708"/>
      <c r="J141" s="359"/>
      <c r="K141" s="359"/>
      <c r="L141" s="359"/>
      <c r="M141" s="359"/>
    </row>
    <row r="142" spans="1:13">
      <c r="A142" s="834"/>
      <c r="B142" s="835"/>
      <c r="C142" s="835"/>
      <c r="D142" s="835"/>
      <c r="E142" s="836"/>
      <c r="F142" s="797"/>
      <c r="G142" s="359"/>
      <c r="H142" s="797"/>
      <c r="I142" s="708"/>
      <c r="J142" s="359"/>
      <c r="K142" s="359"/>
      <c r="L142" s="359"/>
      <c r="M142" s="359"/>
    </row>
    <row r="143" spans="1:13">
      <c r="A143" s="834"/>
      <c r="B143" s="835"/>
      <c r="C143" s="835"/>
      <c r="D143" s="835"/>
      <c r="E143" s="836"/>
      <c r="F143" s="797"/>
      <c r="G143" s="359"/>
      <c r="H143" s="797"/>
      <c r="I143" s="708"/>
      <c r="J143" s="359"/>
      <c r="K143" s="359"/>
      <c r="L143" s="359"/>
      <c r="M143" s="359"/>
    </row>
    <row r="144" spans="1:13">
      <c r="A144" s="834"/>
      <c r="B144" s="835"/>
      <c r="C144" s="835"/>
      <c r="D144" s="835"/>
      <c r="E144" s="836"/>
      <c r="F144" s="359"/>
      <c r="G144" s="359"/>
      <c r="H144" s="359"/>
      <c r="I144" s="359"/>
      <c r="J144" s="359"/>
      <c r="K144" s="359"/>
      <c r="L144" s="359"/>
      <c r="M144" s="359"/>
    </row>
    <row r="145" spans="1:13">
      <c r="A145" s="834"/>
      <c r="B145" s="835"/>
      <c r="C145" s="835"/>
      <c r="D145" s="835"/>
      <c r="E145" s="836"/>
      <c r="F145" s="359"/>
      <c r="G145" s="359"/>
      <c r="H145" s="359"/>
      <c r="I145" s="359"/>
      <c r="J145" s="359"/>
      <c r="K145" s="359"/>
      <c r="L145" s="359"/>
      <c r="M145" s="359"/>
    </row>
    <row r="146" spans="1:13">
      <c r="A146" s="834"/>
      <c r="B146" s="835"/>
      <c r="C146" s="835"/>
      <c r="D146" s="835"/>
      <c r="E146" s="836"/>
      <c r="F146" s="359"/>
      <c r="G146" s="359"/>
      <c r="H146" s="359"/>
      <c r="I146" s="359"/>
      <c r="J146" s="359"/>
      <c r="K146" s="359"/>
      <c r="L146" s="359"/>
      <c r="M146" s="359"/>
    </row>
    <row r="147" spans="1:13">
      <c r="A147" s="834"/>
      <c r="B147" s="835"/>
      <c r="C147" s="835"/>
      <c r="D147" s="835"/>
      <c r="E147" s="836"/>
      <c r="F147" s="359"/>
      <c r="G147" s="359"/>
      <c r="H147" s="359"/>
      <c r="I147" s="359"/>
      <c r="J147" s="359"/>
      <c r="K147" s="359"/>
      <c r="L147" s="359"/>
      <c r="M147" s="359"/>
    </row>
    <row r="148" spans="1:13">
      <c r="A148" s="834"/>
      <c r="B148" s="835"/>
      <c r="C148" s="835"/>
      <c r="D148" s="835"/>
      <c r="E148" s="836"/>
      <c r="F148" s="359"/>
      <c r="G148" s="359"/>
      <c r="H148" s="359"/>
      <c r="I148" s="359"/>
      <c r="J148" s="359"/>
      <c r="K148" s="359"/>
      <c r="L148" s="359"/>
      <c r="M148" s="359"/>
    </row>
    <row r="149" spans="1:13">
      <c r="A149" s="834"/>
      <c r="B149" s="835"/>
      <c r="C149" s="835"/>
      <c r="D149" s="835"/>
      <c r="E149" s="836"/>
      <c r="F149" s="359"/>
      <c r="G149" s="359"/>
      <c r="H149" s="359"/>
      <c r="I149" s="359"/>
      <c r="J149" s="359"/>
      <c r="K149" s="359"/>
      <c r="L149" s="359"/>
      <c r="M149" s="359"/>
    </row>
    <row r="150" spans="1:13">
      <c r="A150" s="834"/>
      <c r="B150" s="835"/>
      <c r="C150" s="835"/>
      <c r="D150" s="835"/>
      <c r="E150" s="836"/>
      <c r="F150" s="359"/>
      <c r="G150" s="359"/>
      <c r="H150" s="359"/>
      <c r="I150" s="359"/>
      <c r="J150" s="359"/>
      <c r="K150" s="359"/>
      <c r="L150" s="359"/>
      <c r="M150" s="359"/>
    </row>
    <row r="151" spans="1:13">
      <c r="A151" s="834"/>
      <c r="B151" s="835"/>
      <c r="C151" s="835"/>
      <c r="D151" s="835"/>
      <c r="E151" s="836"/>
      <c r="F151" s="359"/>
      <c r="G151" s="359"/>
      <c r="H151" s="359"/>
      <c r="I151" s="359"/>
      <c r="J151" s="359"/>
      <c r="K151" s="359"/>
      <c r="L151" s="359"/>
      <c r="M151" s="359"/>
    </row>
    <row r="152" spans="1:13">
      <c r="A152" s="834"/>
      <c r="B152" s="835"/>
      <c r="C152" s="835"/>
      <c r="D152" s="835"/>
      <c r="E152" s="836"/>
      <c r="F152" s="359"/>
      <c r="G152" s="359"/>
      <c r="H152" s="359"/>
      <c r="I152" s="359"/>
      <c r="J152" s="359"/>
      <c r="K152" s="359"/>
      <c r="L152" s="359"/>
      <c r="M152" s="359"/>
    </row>
    <row r="153" spans="1:13">
      <c r="A153" s="834"/>
      <c r="B153" s="835"/>
      <c r="C153" s="835"/>
      <c r="D153" s="835"/>
      <c r="E153" s="359"/>
      <c r="F153" s="359"/>
      <c r="G153" s="359"/>
      <c r="H153" s="359"/>
      <c r="I153" s="359"/>
      <c r="J153" s="359"/>
      <c r="K153" s="359"/>
      <c r="L153" s="359"/>
      <c r="M153" s="359"/>
    </row>
    <row r="154" spans="1:13">
      <c r="A154" s="834"/>
      <c r="B154" s="835"/>
      <c r="C154" s="835"/>
      <c r="D154" s="835"/>
      <c r="E154" s="836"/>
      <c r="F154" s="797"/>
      <c r="G154" s="359"/>
      <c r="H154" s="797"/>
      <c r="I154" s="708"/>
      <c r="J154" s="359"/>
      <c r="K154" s="359"/>
      <c r="L154" s="359"/>
      <c r="M154" s="359"/>
    </row>
    <row r="155" spans="1:13">
      <c r="A155" s="834"/>
      <c r="B155" s="835"/>
      <c r="C155" s="835"/>
      <c r="D155" s="835"/>
      <c r="E155" s="836"/>
      <c r="F155" s="797"/>
      <c r="G155" s="359"/>
      <c r="H155" s="797"/>
      <c r="I155" s="708"/>
      <c r="J155" s="359"/>
      <c r="K155" s="359"/>
      <c r="L155" s="359"/>
      <c r="M155" s="359"/>
    </row>
    <row r="156" spans="1:13">
      <c r="A156" s="834"/>
      <c r="B156" s="835"/>
      <c r="C156" s="835"/>
      <c r="D156" s="835"/>
      <c r="E156" s="836"/>
      <c r="F156" s="359"/>
      <c r="G156" s="359"/>
      <c r="H156" s="359"/>
      <c r="I156" s="359"/>
      <c r="J156" s="359"/>
      <c r="K156" s="359"/>
      <c r="L156" s="359"/>
      <c r="M156" s="359"/>
    </row>
    <row r="157" spans="1:13">
      <c r="A157" s="834"/>
      <c r="B157" s="835"/>
      <c r="C157" s="835"/>
      <c r="D157" s="835"/>
      <c r="E157" s="836"/>
      <c r="F157" s="359"/>
      <c r="G157" s="359"/>
      <c r="H157" s="359"/>
      <c r="I157" s="359"/>
      <c r="J157" s="359"/>
      <c r="K157" s="359"/>
      <c r="L157" s="359"/>
      <c r="M157" s="359"/>
    </row>
    <row r="158" spans="1:13">
      <c r="A158" s="834"/>
      <c r="B158" s="835"/>
      <c r="C158" s="835"/>
      <c r="D158" s="835"/>
      <c r="E158" s="836"/>
      <c r="F158" s="359"/>
      <c r="G158" s="359"/>
      <c r="H158" s="359"/>
      <c r="I158" s="359"/>
      <c r="J158" s="359"/>
      <c r="K158" s="359"/>
      <c r="L158" s="359"/>
      <c r="M158" s="359"/>
    </row>
    <row r="159" spans="1:13">
      <c r="A159" s="834"/>
      <c r="B159" s="835"/>
      <c r="C159" s="835"/>
      <c r="D159" s="835"/>
      <c r="E159" s="836"/>
      <c r="F159" s="359"/>
      <c r="G159" s="359"/>
      <c r="H159" s="359"/>
      <c r="I159" s="359"/>
      <c r="J159" s="359"/>
      <c r="K159" s="359"/>
      <c r="L159" s="359"/>
      <c r="M159" s="359"/>
    </row>
    <row r="160" spans="1:13">
      <c r="A160" s="834"/>
      <c r="B160" s="835"/>
      <c r="C160" s="835"/>
      <c r="D160" s="835"/>
      <c r="E160" s="836"/>
      <c r="F160" s="359"/>
      <c r="G160" s="359"/>
      <c r="H160" s="359"/>
      <c r="I160" s="359"/>
      <c r="J160" s="359"/>
      <c r="K160" s="359"/>
      <c r="L160" s="359"/>
      <c r="M160" s="359"/>
    </row>
    <row r="161" spans="1:13">
      <c r="A161" s="834"/>
      <c r="B161" s="835"/>
      <c r="C161" s="835"/>
      <c r="D161" s="835"/>
      <c r="E161" s="836"/>
      <c r="F161" s="359"/>
      <c r="G161" s="359"/>
      <c r="H161" s="359"/>
      <c r="I161" s="359"/>
      <c r="J161" s="359"/>
      <c r="K161" s="359"/>
      <c r="L161" s="359"/>
      <c r="M161" s="359"/>
    </row>
    <row r="162" spans="1:13">
      <c r="A162" s="834"/>
      <c r="B162" s="835"/>
      <c r="C162" s="835"/>
      <c r="D162" s="835"/>
      <c r="E162" s="836"/>
      <c r="F162" s="359"/>
      <c r="G162" s="359"/>
      <c r="H162" s="359"/>
      <c r="I162" s="359"/>
      <c r="J162" s="359"/>
      <c r="K162" s="359"/>
      <c r="L162" s="359"/>
      <c r="M162" s="359"/>
    </row>
    <row r="163" spans="1:13">
      <c r="A163" s="834"/>
      <c r="B163" s="835"/>
      <c r="C163" s="835"/>
      <c r="D163" s="835"/>
      <c r="E163" s="836"/>
      <c r="F163" s="359"/>
      <c r="G163" s="359"/>
      <c r="H163" s="359"/>
      <c r="I163" s="359"/>
      <c r="J163" s="359"/>
      <c r="K163" s="359"/>
      <c r="L163" s="359"/>
      <c r="M163" s="359"/>
    </row>
    <row r="164" spans="1:13">
      <c r="A164" s="834"/>
      <c r="B164" s="835"/>
      <c r="C164" s="835"/>
      <c r="D164" s="835"/>
      <c r="E164" s="836"/>
      <c r="F164" s="359"/>
      <c r="G164" s="359"/>
      <c r="H164" s="359"/>
      <c r="I164" s="359"/>
      <c r="J164" s="359"/>
      <c r="K164" s="359"/>
      <c r="L164" s="359"/>
      <c r="M164" s="359"/>
    </row>
    <row r="165" spans="1:13">
      <c r="A165" s="834"/>
      <c r="B165" s="835"/>
      <c r="C165" s="835"/>
      <c r="D165" s="835"/>
      <c r="E165" s="359"/>
      <c r="F165" s="359"/>
      <c r="G165" s="359"/>
      <c r="H165" s="359"/>
      <c r="I165" s="359"/>
      <c r="J165" s="359"/>
      <c r="K165" s="359"/>
      <c r="L165" s="359"/>
      <c r="M165" s="359"/>
    </row>
    <row r="166" spans="1:13">
      <c r="A166" s="834"/>
      <c r="B166" s="835"/>
      <c r="C166" s="835"/>
      <c r="D166" s="835"/>
      <c r="E166" s="836"/>
      <c r="F166" s="797"/>
      <c r="G166" s="359"/>
      <c r="H166" s="797"/>
      <c r="I166" s="708"/>
      <c r="J166" s="359"/>
      <c r="K166" s="359"/>
      <c r="L166" s="359"/>
      <c r="M166" s="359"/>
    </row>
    <row r="167" spans="1:13">
      <c r="A167" s="834"/>
      <c r="B167" s="835"/>
      <c r="C167" s="835"/>
      <c r="D167" s="835"/>
      <c r="E167" s="836"/>
      <c r="F167" s="797"/>
      <c r="G167" s="359"/>
      <c r="H167" s="797"/>
      <c r="I167" s="708"/>
      <c r="J167" s="359"/>
      <c r="K167" s="359"/>
      <c r="L167" s="359"/>
      <c r="M167" s="359"/>
    </row>
    <row r="168" spans="1:13">
      <c r="A168" s="834"/>
      <c r="B168" s="835"/>
      <c r="C168" s="835"/>
      <c r="D168" s="835"/>
      <c r="E168" s="836"/>
      <c r="F168" s="797"/>
      <c r="G168" s="359"/>
      <c r="H168" s="359"/>
      <c r="I168" s="359"/>
      <c r="J168" s="359"/>
      <c r="K168" s="359"/>
      <c r="L168" s="359"/>
      <c r="M168" s="359"/>
    </row>
    <row r="169" spans="1:13">
      <c r="A169" s="834"/>
      <c r="B169" s="835"/>
      <c r="C169" s="835"/>
      <c r="D169" s="835"/>
      <c r="E169" s="836"/>
      <c r="F169" s="797"/>
      <c r="G169" s="359"/>
      <c r="H169" s="359"/>
      <c r="I169" s="359"/>
      <c r="J169" s="359"/>
      <c r="K169" s="359"/>
      <c r="L169" s="359"/>
      <c r="M169" s="359"/>
    </row>
    <row r="170" spans="1:13">
      <c r="A170" s="834"/>
      <c r="B170" s="835"/>
      <c r="C170" s="835"/>
      <c r="D170" s="835"/>
      <c r="E170" s="836"/>
      <c r="F170" s="797"/>
      <c r="G170" s="359"/>
      <c r="H170" s="359"/>
      <c r="I170" s="359"/>
      <c r="J170" s="359"/>
      <c r="K170" s="359"/>
      <c r="L170" s="359"/>
      <c r="M170" s="359"/>
    </row>
    <row r="171" spans="1:13">
      <c r="A171" s="834"/>
      <c r="B171" s="835"/>
      <c r="C171" s="835"/>
      <c r="D171" s="835"/>
      <c r="E171" s="836"/>
      <c r="F171" s="359"/>
      <c r="G171" s="359"/>
      <c r="H171" s="359"/>
      <c r="I171" s="359"/>
      <c r="J171" s="359"/>
      <c r="K171" s="359"/>
      <c r="L171" s="359"/>
      <c r="M171" s="359"/>
    </row>
    <row r="172" spans="1:13">
      <c r="A172" s="834"/>
      <c r="B172" s="835"/>
      <c r="C172" s="835"/>
      <c r="D172" s="835"/>
      <c r="E172" s="836"/>
      <c r="F172" s="359"/>
      <c r="G172" s="359"/>
      <c r="H172" s="359"/>
      <c r="I172" s="359"/>
      <c r="J172" s="359"/>
      <c r="K172" s="359"/>
      <c r="L172" s="359"/>
      <c r="M172" s="359"/>
    </row>
    <row r="173" spans="1:13">
      <c r="A173" s="834"/>
      <c r="B173" s="835"/>
      <c r="C173" s="835"/>
      <c r="D173" s="835"/>
      <c r="E173" s="836"/>
      <c r="F173" s="359"/>
      <c r="G173" s="359"/>
      <c r="H173" s="359"/>
      <c r="I173" s="359"/>
      <c r="J173" s="359"/>
      <c r="K173" s="359"/>
      <c r="L173" s="359"/>
      <c r="M173" s="359"/>
    </row>
    <row r="174" spans="1:13">
      <c r="A174" s="834"/>
      <c r="B174" s="835"/>
      <c r="C174" s="835"/>
      <c r="D174" s="835"/>
      <c r="E174" s="836"/>
      <c r="F174" s="359"/>
      <c r="G174" s="359"/>
      <c r="H174" s="359"/>
      <c r="I174" s="359"/>
      <c r="J174" s="359"/>
      <c r="K174" s="359"/>
      <c r="L174" s="359"/>
      <c r="M174" s="359"/>
    </row>
    <row r="175" spans="1:13">
      <c r="A175" s="834"/>
      <c r="B175" s="835"/>
      <c r="C175" s="835"/>
      <c r="D175" s="835"/>
      <c r="E175" s="836"/>
      <c r="F175" s="359"/>
      <c r="G175" s="359"/>
      <c r="H175" s="359"/>
      <c r="I175" s="359"/>
      <c r="J175" s="359"/>
      <c r="K175" s="359"/>
      <c r="L175" s="359"/>
      <c r="M175" s="359"/>
    </row>
    <row r="176" spans="1:13">
      <c r="A176" s="834"/>
      <c r="B176" s="835"/>
      <c r="C176" s="835"/>
      <c r="D176" s="835"/>
      <c r="E176" s="836"/>
      <c r="F176" s="359"/>
      <c r="G176" s="359"/>
      <c r="H176" s="359"/>
      <c r="I176" s="359"/>
      <c r="J176" s="359"/>
      <c r="K176" s="359"/>
      <c r="L176" s="359"/>
      <c r="M176" s="359"/>
    </row>
    <row r="177" spans="1:13">
      <c r="A177" s="834"/>
      <c r="B177" s="835"/>
      <c r="C177" s="835"/>
      <c r="D177" s="835"/>
      <c r="E177" s="359"/>
      <c r="F177" s="359"/>
      <c r="G177" s="359"/>
      <c r="H177" s="359"/>
      <c r="I177" s="359"/>
      <c r="J177" s="359"/>
      <c r="K177" s="359"/>
      <c r="L177" s="359"/>
      <c r="M177" s="359"/>
    </row>
    <row r="178" spans="1:13">
      <c r="A178" s="834"/>
      <c r="B178" s="835"/>
      <c r="C178" s="835"/>
      <c r="D178" s="835"/>
      <c r="E178" s="836"/>
      <c r="F178" s="797"/>
      <c r="G178" s="359"/>
      <c r="H178" s="797"/>
      <c r="I178" s="708"/>
      <c r="J178" s="359"/>
      <c r="K178" s="359"/>
      <c r="L178" s="359"/>
      <c r="M178" s="359"/>
    </row>
    <row r="179" spans="1:13">
      <c r="A179" s="834"/>
      <c r="B179" s="835"/>
      <c r="C179" s="835"/>
      <c r="D179" s="835"/>
      <c r="E179" s="836"/>
      <c r="F179" s="797"/>
      <c r="G179" s="359"/>
      <c r="H179" s="797"/>
      <c r="I179" s="708"/>
      <c r="J179" s="359"/>
      <c r="K179" s="359"/>
      <c r="L179" s="359"/>
      <c r="M179" s="359"/>
    </row>
    <row r="180" spans="1:13">
      <c r="A180" s="834"/>
      <c r="B180" s="835"/>
      <c r="C180" s="835"/>
      <c r="D180" s="835"/>
      <c r="E180" s="836"/>
      <c r="F180" s="797"/>
      <c r="G180" s="359"/>
      <c r="H180" s="359"/>
      <c r="I180" s="359"/>
      <c r="J180" s="359"/>
      <c r="K180" s="359"/>
      <c r="L180" s="359"/>
      <c r="M180" s="359"/>
    </row>
    <row r="181" spans="1:13">
      <c r="A181" s="834"/>
      <c r="B181" s="835"/>
      <c r="C181" s="835"/>
      <c r="D181" s="835"/>
      <c r="E181" s="836"/>
      <c r="F181" s="797"/>
      <c r="G181" s="359"/>
      <c r="H181" s="359"/>
      <c r="I181" s="359"/>
      <c r="J181" s="359"/>
      <c r="K181" s="359"/>
      <c r="L181" s="359"/>
      <c r="M181" s="359"/>
    </row>
    <row r="182" spans="1:13">
      <c r="A182" s="834"/>
      <c r="B182" s="835"/>
      <c r="C182" s="835"/>
      <c r="D182" s="835"/>
      <c r="E182" s="836"/>
      <c r="F182" s="797"/>
      <c r="G182" s="359"/>
      <c r="H182" s="359"/>
      <c r="I182" s="359"/>
      <c r="J182" s="359"/>
      <c r="K182" s="359"/>
      <c r="L182" s="359"/>
      <c r="M182" s="359"/>
    </row>
    <row r="183" spans="1:13">
      <c r="A183" s="834"/>
      <c r="B183" s="835"/>
      <c r="C183" s="835"/>
      <c r="D183" s="835"/>
      <c r="E183" s="836"/>
      <c r="F183" s="359"/>
      <c r="G183" s="359"/>
      <c r="H183" s="359"/>
      <c r="I183" s="359"/>
      <c r="J183" s="359"/>
      <c r="K183" s="359"/>
      <c r="L183" s="359"/>
      <c r="M183" s="359"/>
    </row>
    <row r="184" spans="1:13">
      <c r="A184" s="834"/>
      <c r="B184" s="835"/>
      <c r="C184" s="835"/>
      <c r="D184" s="835"/>
      <c r="E184" s="836"/>
      <c r="F184" s="359"/>
      <c r="G184" s="359"/>
      <c r="H184" s="359"/>
      <c r="I184" s="359"/>
      <c r="J184" s="359"/>
      <c r="K184" s="359"/>
      <c r="L184" s="359"/>
      <c r="M184" s="359"/>
    </row>
    <row r="185" spans="1:13">
      <c r="A185" s="834"/>
      <c r="B185" s="835"/>
      <c r="C185" s="835"/>
      <c r="D185" s="835"/>
      <c r="E185" s="836"/>
      <c r="F185" s="359"/>
      <c r="G185" s="359"/>
      <c r="H185" s="359"/>
      <c r="I185" s="359"/>
      <c r="J185" s="359"/>
      <c r="K185" s="359"/>
      <c r="L185" s="359"/>
      <c r="M185" s="359"/>
    </row>
    <row r="186" spans="1:13">
      <c r="A186" s="834"/>
      <c r="B186" s="835"/>
      <c r="C186" s="835"/>
      <c r="D186" s="835"/>
      <c r="E186" s="836"/>
      <c r="F186" s="359"/>
      <c r="G186" s="359"/>
      <c r="H186" s="359"/>
      <c r="I186" s="359"/>
      <c r="J186" s="359"/>
      <c r="K186" s="359"/>
      <c r="L186" s="359"/>
      <c r="M186" s="359"/>
    </row>
    <row r="187" spans="1:13">
      <c r="A187" s="834"/>
      <c r="B187" s="835"/>
      <c r="C187" s="835"/>
      <c r="D187" s="835"/>
      <c r="E187" s="836"/>
      <c r="F187" s="359"/>
      <c r="G187" s="359"/>
      <c r="H187" s="359"/>
      <c r="I187" s="359"/>
      <c r="J187" s="359"/>
      <c r="K187" s="359"/>
      <c r="L187" s="359"/>
      <c r="M187" s="359"/>
    </row>
    <row r="188" spans="1:13">
      <c r="A188" s="834"/>
      <c r="B188" s="835"/>
      <c r="C188" s="835"/>
      <c r="D188" s="835"/>
      <c r="E188" s="836"/>
      <c r="F188" s="359"/>
      <c r="G188" s="359"/>
      <c r="H188" s="359"/>
      <c r="I188" s="359"/>
      <c r="J188" s="359"/>
      <c r="K188" s="359"/>
      <c r="L188" s="359"/>
      <c r="M188" s="359"/>
    </row>
    <row r="189" spans="1:13">
      <c r="A189" s="834"/>
      <c r="B189" s="835"/>
      <c r="C189" s="835"/>
      <c r="D189" s="835"/>
      <c r="E189" s="836"/>
      <c r="F189" s="359"/>
      <c r="G189" s="359"/>
      <c r="H189" s="359"/>
      <c r="I189" s="359"/>
      <c r="J189" s="359"/>
      <c r="K189" s="359"/>
      <c r="L189" s="359"/>
      <c r="M189" s="359"/>
    </row>
    <row r="190" spans="1:13">
      <c r="A190" s="834"/>
      <c r="B190" s="835"/>
      <c r="C190" s="835"/>
      <c r="D190" s="835"/>
      <c r="E190" s="836"/>
      <c r="F190" s="359"/>
      <c r="G190" s="359"/>
      <c r="H190" s="359"/>
      <c r="I190" s="359"/>
      <c r="J190" s="359"/>
      <c r="K190" s="359"/>
      <c r="L190" s="359"/>
      <c r="M190" s="359"/>
    </row>
    <row r="191" spans="1:13">
      <c r="A191" s="834"/>
      <c r="B191" s="835"/>
      <c r="C191" s="835"/>
      <c r="D191" s="835"/>
      <c r="E191" s="836"/>
      <c r="F191" s="359"/>
      <c r="G191" s="359"/>
      <c r="H191" s="359"/>
      <c r="I191" s="359"/>
      <c r="J191" s="359"/>
      <c r="K191" s="359"/>
      <c r="L191" s="359"/>
      <c r="M191" s="359"/>
    </row>
    <row r="192" spans="1:13">
      <c r="A192" s="834"/>
      <c r="B192" s="835"/>
      <c r="C192" s="835"/>
      <c r="D192" s="835"/>
      <c r="E192" s="359"/>
      <c r="F192" s="359"/>
      <c r="G192" s="359"/>
      <c r="H192" s="359"/>
      <c r="I192" s="359"/>
      <c r="J192" s="359"/>
      <c r="K192" s="359"/>
      <c r="L192" s="359"/>
      <c r="M192" s="359"/>
    </row>
    <row r="193" spans="1:13">
      <c r="A193" s="834"/>
      <c r="B193" s="835"/>
      <c r="C193" s="835"/>
      <c r="D193" s="835"/>
      <c r="E193" s="836"/>
      <c r="F193" s="797"/>
      <c r="G193" s="359"/>
      <c r="H193" s="797"/>
      <c r="I193" s="708"/>
      <c r="J193" s="359"/>
      <c r="K193" s="359"/>
      <c r="L193" s="359"/>
      <c r="M193" s="359"/>
    </row>
    <row r="194" spans="1:13">
      <c r="A194" s="837"/>
      <c r="B194" s="835"/>
      <c r="C194" s="835"/>
      <c r="D194" s="835"/>
      <c r="E194" s="359"/>
      <c r="F194" s="797"/>
      <c r="G194" s="797"/>
      <c r="H194" s="359"/>
      <c r="I194" s="359"/>
      <c r="J194" s="359"/>
      <c r="K194" s="359"/>
      <c r="L194" s="359"/>
      <c r="M194" s="359"/>
    </row>
    <row r="195" spans="1:13">
      <c r="A195" s="359"/>
      <c r="B195" s="359"/>
      <c r="C195" s="359"/>
      <c r="D195" s="359"/>
      <c r="E195" s="359"/>
      <c r="F195" s="359"/>
      <c r="G195" s="359"/>
      <c r="H195" s="359"/>
      <c r="I195" s="359"/>
      <c r="J195" s="359"/>
      <c r="K195" s="359"/>
      <c r="L195" s="359"/>
      <c r="M195" s="359"/>
    </row>
    <row r="196" spans="1:13" customFormat="1">
      <c r="A196" s="359"/>
      <c r="B196" s="359"/>
      <c r="C196" s="359"/>
      <c r="D196" s="359"/>
      <c r="E196" s="618"/>
      <c r="F196" s="618"/>
      <c r="G196" s="618"/>
      <c r="H196" s="618"/>
      <c r="I196" s="618"/>
      <c r="J196" s="618"/>
      <c r="K196" s="618"/>
      <c r="L196" s="618"/>
      <c r="M196" s="618"/>
    </row>
    <row r="197" spans="1:13" customFormat="1">
      <c r="A197" s="359"/>
      <c r="B197" s="359"/>
      <c r="C197" s="359"/>
      <c r="D197" s="359"/>
      <c r="E197" s="618"/>
      <c r="F197" s="618"/>
      <c r="G197" s="618"/>
      <c r="H197" s="618"/>
      <c r="I197" s="618"/>
      <c r="J197" s="618"/>
      <c r="K197" s="618"/>
      <c r="L197" s="618"/>
      <c r="M197" s="618"/>
    </row>
    <row r="198" spans="1:13" customFormat="1">
      <c r="A198" s="359"/>
      <c r="B198" s="359"/>
      <c r="C198" s="359"/>
      <c r="D198" s="359"/>
      <c r="E198" s="618"/>
      <c r="F198" s="618"/>
      <c r="G198" s="618"/>
      <c r="H198" s="618"/>
      <c r="I198" s="618"/>
      <c r="J198" s="618"/>
      <c r="K198" s="618"/>
      <c r="L198" s="618"/>
      <c r="M198" s="618"/>
    </row>
    <row r="199" spans="1:13" customFormat="1">
      <c r="A199" s="359"/>
      <c r="B199" s="359"/>
      <c r="C199" s="359"/>
      <c r="D199" s="359"/>
      <c r="E199" s="618"/>
      <c r="F199" s="618"/>
      <c r="G199" s="618"/>
      <c r="H199" s="618"/>
      <c r="I199" s="359"/>
      <c r="J199" s="359"/>
      <c r="K199" s="359"/>
      <c r="L199" s="618"/>
      <c r="M199" s="618"/>
    </row>
    <row r="200" spans="1:13" customFormat="1">
      <c r="A200" s="1401"/>
      <c r="B200" s="1401"/>
      <c r="C200" s="1401"/>
      <c r="D200" s="1401"/>
      <c r="E200" s="618"/>
      <c r="F200" s="618"/>
      <c r="G200" s="618"/>
      <c r="H200" s="618"/>
      <c r="I200" s="359"/>
      <c r="J200" s="359"/>
      <c r="K200" s="359"/>
      <c r="L200" s="618"/>
      <c r="M200" s="618"/>
    </row>
    <row r="201" spans="1:13" customFormat="1">
      <c r="A201" s="613"/>
      <c r="B201" s="613"/>
      <c r="C201" s="613"/>
      <c r="D201" s="613"/>
      <c r="E201" s="618"/>
      <c r="F201" s="359"/>
      <c r="G201" s="706"/>
      <c r="H201" s="618"/>
      <c r="I201" s="706"/>
      <c r="J201" s="707"/>
      <c r="K201" s="359"/>
      <c r="L201" s="618"/>
      <c r="M201" s="618"/>
    </row>
    <row r="202" spans="1:13" customFormat="1">
      <c r="A202" s="834"/>
      <c r="B202" s="838"/>
      <c r="C202" s="618"/>
      <c r="D202" s="618"/>
      <c r="E202" s="618"/>
      <c r="F202" s="618"/>
      <c r="G202" s="618"/>
      <c r="H202" s="618"/>
      <c r="I202" s="618"/>
      <c r="J202" s="618"/>
      <c r="K202" s="618"/>
      <c r="L202" s="618"/>
      <c r="M202" s="618"/>
    </row>
    <row r="203" spans="1:13" customFormat="1">
      <c r="A203" s="834"/>
      <c r="B203" s="838"/>
      <c r="C203" s="618"/>
      <c r="D203" s="618"/>
      <c r="E203" s="618"/>
      <c r="F203" s="618"/>
      <c r="G203" s="618"/>
      <c r="H203" s="618"/>
      <c r="I203" s="618"/>
      <c r="J203" s="618"/>
      <c r="K203" s="618"/>
      <c r="L203" s="618"/>
      <c r="M203" s="618"/>
    </row>
    <row r="204" spans="1:13" customFormat="1">
      <c r="A204" s="834"/>
      <c r="B204" s="838"/>
      <c r="C204" s="618"/>
      <c r="D204" s="618"/>
      <c r="E204" s="618"/>
      <c r="F204" s="618"/>
      <c r="G204" s="618"/>
      <c r="H204" s="618"/>
      <c r="I204" s="618"/>
      <c r="J204" s="618"/>
      <c r="K204" s="618"/>
      <c r="L204" s="618"/>
      <c r="M204" s="618"/>
    </row>
    <row r="205" spans="1:13" customFormat="1">
      <c r="A205" s="834"/>
      <c r="B205" s="838"/>
      <c r="C205" s="618"/>
      <c r="D205" s="618"/>
      <c r="E205" s="618"/>
      <c r="F205" s="618"/>
      <c r="G205" s="618"/>
      <c r="H205" s="618"/>
      <c r="I205" s="618"/>
      <c r="J205" s="618"/>
      <c r="K205" s="618"/>
      <c r="L205" s="618"/>
      <c r="M205" s="618"/>
    </row>
    <row r="206" spans="1:13" customFormat="1">
      <c r="A206" s="834"/>
      <c r="B206" s="838"/>
      <c r="C206" s="618"/>
      <c r="D206" s="618"/>
      <c r="E206" s="618"/>
      <c r="F206" s="618"/>
      <c r="G206" s="618"/>
      <c r="H206" s="618"/>
      <c r="I206" s="618"/>
      <c r="J206" s="618"/>
      <c r="K206" s="618"/>
      <c r="L206" s="618"/>
      <c r="M206" s="618"/>
    </row>
    <row r="207" spans="1:13" customFormat="1">
      <c r="A207" s="834"/>
      <c r="B207" s="838"/>
      <c r="C207" s="618"/>
      <c r="D207" s="618"/>
      <c r="E207" s="618"/>
      <c r="F207" s="618"/>
      <c r="G207" s="618"/>
      <c r="H207" s="618"/>
      <c r="I207" s="618"/>
      <c r="J207" s="618"/>
      <c r="K207" s="618"/>
      <c r="L207" s="618"/>
      <c r="M207" s="618"/>
    </row>
    <row r="208" spans="1:13" customFormat="1">
      <c r="A208" s="834"/>
      <c r="B208" s="838"/>
      <c r="C208" s="618"/>
      <c r="D208" s="618"/>
      <c r="E208" s="618"/>
      <c r="F208" s="618"/>
      <c r="G208" s="618"/>
      <c r="H208" s="618"/>
      <c r="I208" s="618"/>
      <c r="J208" s="618"/>
      <c r="K208" s="618"/>
      <c r="L208" s="618"/>
      <c r="M208" s="618"/>
    </row>
    <row r="209" spans="1:13" customFormat="1">
      <c r="A209" s="834"/>
      <c r="B209" s="838"/>
      <c r="C209" s="618"/>
      <c r="D209" s="838"/>
      <c r="E209" s="618"/>
      <c r="F209" s="839"/>
      <c r="G209" s="839"/>
      <c r="H209" s="618"/>
      <c r="I209" s="618"/>
      <c r="J209" s="618"/>
      <c r="K209" s="618"/>
      <c r="L209" s="618"/>
      <c r="M209" s="618"/>
    </row>
    <row r="210" spans="1:13" customFormat="1">
      <c r="A210" s="834"/>
      <c r="B210" s="838"/>
      <c r="C210" s="618"/>
      <c r="D210" s="618"/>
      <c r="E210" s="618"/>
      <c r="F210" s="618"/>
      <c r="G210" s="618"/>
      <c r="H210" s="618"/>
      <c r="I210" s="618"/>
      <c r="J210" s="618"/>
      <c r="K210" s="618"/>
      <c r="L210" s="618"/>
      <c r="M210" s="618"/>
    </row>
    <row r="211" spans="1:13" customFormat="1">
      <c r="A211" s="834"/>
      <c r="B211" s="838"/>
      <c r="C211" s="618"/>
      <c r="D211" s="618"/>
      <c r="E211" s="618"/>
      <c r="F211" s="618"/>
      <c r="G211" s="618"/>
      <c r="H211" s="618"/>
      <c r="I211" s="618"/>
      <c r="J211" s="618"/>
      <c r="K211" s="618"/>
      <c r="L211" s="618"/>
      <c r="M211" s="618"/>
    </row>
    <row r="212" spans="1:13" customFormat="1">
      <c r="A212" s="834"/>
      <c r="B212" s="838"/>
      <c r="C212" s="618"/>
      <c r="D212" s="618"/>
      <c r="E212" s="618"/>
      <c r="F212" s="618"/>
      <c r="G212" s="618"/>
      <c r="H212" s="618"/>
      <c r="I212" s="618"/>
      <c r="J212" s="618"/>
      <c r="K212" s="618"/>
      <c r="L212" s="618"/>
      <c r="M212" s="618"/>
    </row>
    <row r="213" spans="1:13" customFormat="1">
      <c r="A213" s="834"/>
      <c r="B213" s="838"/>
      <c r="C213" s="618"/>
      <c r="D213" s="618"/>
      <c r="E213" s="618"/>
      <c r="F213" s="618"/>
      <c r="G213" s="618"/>
      <c r="H213" s="618"/>
      <c r="I213" s="618"/>
      <c r="J213" s="618"/>
      <c r="K213" s="618"/>
      <c r="L213" s="618"/>
      <c r="M213" s="618"/>
    </row>
    <row r="214" spans="1:13" customFormat="1">
      <c r="A214" s="834"/>
      <c r="B214" s="838"/>
      <c r="C214" s="618"/>
      <c r="D214" s="618"/>
      <c r="E214" s="618"/>
      <c r="F214" s="618"/>
      <c r="G214" s="618"/>
      <c r="H214" s="618"/>
      <c r="I214" s="618"/>
      <c r="J214" s="618"/>
      <c r="K214" s="618"/>
      <c r="L214" s="618"/>
      <c r="M214" s="618"/>
    </row>
    <row r="215" spans="1:13" customFormat="1">
      <c r="A215" s="834"/>
      <c r="B215" s="838"/>
      <c r="C215" s="618"/>
      <c r="D215" s="618"/>
      <c r="E215" s="618"/>
      <c r="F215" s="618"/>
      <c r="G215" s="618"/>
      <c r="H215" s="618"/>
      <c r="I215" s="618"/>
      <c r="J215" s="618"/>
      <c r="K215" s="618"/>
      <c r="L215" s="618"/>
      <c r="M215" s="618"/>
    </row>
    <row r="216" spans="1:13" customFormat="1">
      <c r="A216" s="834"/>
      <c r="B216" s="838"/>
      <c r="C216" s="618"/>
      <c r="D216" s="618"/>
      <c r="E216" s="618"/>
      <c r="F216" s="618"/>
      <c r="G216" s="618"/>
      <c r="H216" s="618"/>
      <c r="I216" s="618"/>
      <c r="J216" s="618"/>
      <c r="K216" s="618"/>
      <c r="L216" s="618"/>
      <c r="M216" s="618"/>
    </row>
    <row r="217" spans="1:13" customFormat="1">
      <c r="A217" s="834"/>
      <c r="B217" s="838"/>
      <c r="C217" s="618"/>
      <c r="D217" s="618"/>
      <c r="E217" s="618"/>
      <c r="F217" s="618"/>
      <c r="G217" s="618"/>
      <c r="H217" s="618"/>
      <c r="I217" s="618"/>
      <c r="J217" s="618"/>
      <c r="K217" s="618"/>
      <c r="L217" s="618"/>
      <c r="M217" s="618"/>
    </row>
    <row r="218" spans="1:13" customFormat="1">
      <c r="A218" s="834"/>
      <c r="B218" s="838"/>
      <c r="C218" s="618"/>
      <c r="D218" s="838"/>
      <c r="E218" s="618"/>
      <c r="F218" s="839"/>
      <c r="G218" s="839"/>
      <c r="H218" s="618"/>
      <c r="I218" s="618"/>
      <c r="J218" s="618"/>
      <c r="K218" s="618"/>
      <c r="L218" s="618"/>
      <c r="M218" s="618"/>
    </row>
    <row r="219" spans="1:13" customFormat="1">
      <c r="A219" s="834"/>
      <c r="B219" s="838"/>
      <c r="C219" s="618"/>
      <c r="D219" s="618"/>
      <c r="E219" s="618"/>
      <c r="F219" s="618"/>
      <c r="G219" s="618"/>
      <c r="H219" s="618"/>
      <c r="I219" s="618"/>
      <c r="J219" s="618"/>
      <c r="K219" s="618"/>
      <c r="L219" s="618"/>
      <c r="M219" s="618"/>
    </row>
    <row r="220" spans="1:13" customFormat="1">
      <c r="A220" s="834"/>
      <c r="B220" s="838"/>
      <c r="C220" s="618"/>
      <c r="D220" s="618"/>
      <c r="E220" s="618"/>
      <c r="F220" s="618"/>
      <c r="G220" s="618"/>
      <c r="H220" s="618"/>
      <c r="I220" s="618"/>
      <c r="J220" s="618"/>
      <c r="K220" s="618"/>
      <c r="L220" s="618"/>
      <c r="M220" s="618"/>
    </row>
    <row r="221" spans="1:13" customFormat="1">
      <c r="A221" s="834"/>
      <c r="B221" s="838"/>
      <c r="C221" s="618"/>
      <c r="D221" s="618"/>
      <c r="E221" s="618"/>
      <c r="F221" s="618"/>
      <c r="G221" s="618"/>
      <c r="H221" s="618"/>
      <c r="I221" s="618"/>
      <c r="J221" s="618"/>
      <c r="K221" s="618"/>
      <c r="L221" s="618"/>
      <c r="M221" s="618"/>
    </row>
    <row r="222" spans="1:13" customFormat="1">
      <c r="A222" s="834"/>
      <c r="B222" s="838"/>
      <c r="C222" s="618"/>
      <c r="D222" s="618"/>
      <c r="E222" s="618"/>
      <c r="F222" s="618"/>
      <c r="G222" s="618"/>
      <c r="H222" s="618"/>
      <c r="I222" s="618"/>
      <c r="J222" s="618"/>
      <c r="K222" s="618"/>
      <c r="L222" s="618"/>
      <c r="M222" s="618"/>
    </row>
    <row r="223" spans="1:13" customFormat="1">
      <c r="A223" s="834"/>
      <c r="B223" s="838"/>
      <c r="C223" s="618"/>
      <c r="D223" s="618"/>
      <c r="E223" s="618"/>
      <c r="F223" s="618"/>
      <c r="G223" s="618"/>
      <c r="H223" s="618"/>
      <c r="I223" s="618"/>
      <c r="J223" s="618"/>
      <c r="K223" s="618"/>
      <c r="L223" s="618"/>
      <c r="M223" s="618"/>
    </row>
    <row r="224" spans="1:13" customFormat="1">
      <c r="A224" s="834"/>
      <c r="B224" s="838"/>
      <c r="C224" s="618"/>
      <c r="D224" s="618"/>
      <c r="E224" s="618"/>
      <c r="F224" s="618"/>
      <c r="G224" s="618"/>
      <c r="H224" s="618"/>
      <c r="I224" s="618"/>
      <c r="J224" s="618"/>
      <c r="K224" s="618"/>
      <c r="L224" s="618"/>
      <c r="M224" s="618"/>
    </row>
    <row r="225" spans="1:13" customFormat="1">
      <c r="A225" s="834"/>
      <c r="B225" s="838"/>
      <c r="C225" s="618"/>
      <c r="D225" s="618"/>
      <c r="E225" s="618"/>
      <c r="F225" s="618"/>
      <c r="G225" s="618"/>
      <c r="H225" s="618"/>
      <c r="I225" s="618"/>
      <c r="J225" s="618"/>
      <c r="K225" s="618"/>
      <c r="L225" s="618"/>
      <c r="M225" s="618"/>
    </row>
    <row r="226" spans="1:13" customFormat="1">
      <c r="A226" s="834"/>
      <c r="B226" s="838"/>
      <c r="C226" s="618"/>
      <c r="D226" s="618"/>
      <c r="E226" s="618"/>
      <c r="F226" s="618"/>
      <c r="G226" s="618"/>
      <c r="H226" s="618"/>
      <c r="I226" s="618"/>
      <c r="J226" s="618"/>
      <c r="K226" s="618"/>
      <c r="L226" s="618"/>
      <c r="M226" s="618"/>
    </row>
    <row r="227" spans="1:13" customFormat="1">
      <c r="A227" s="834"/>
      <c r="B227" s="838"/>
      <c r="C227" s="618"/>
      <c r="D227" s="838"/>
      <c r="E227" s="618"/>
      <c r="F227" s="839"/>
      <c r="G227" s="839"/>
      <c r="H227" s="618"/>
      <c r="I227" s="618"/>
      <c r="J227" s="618"/>
      <c r="K227" s="618"/>
      <c r="L227" s="618"/>
      <c r="M227" s="618"/>
    </row>
    <row r="228" spans="1:13" customFormat="1">
      <c r="A228" s="834"/>
      <c r="B228" s="838"/>
      <c r="C228" s="618"/>
      <c r="D228" s="618"/>
      <c r="E228" s="618"/>
      <c r="F228" s="618"/>
      <c r="G228" s="618"/>
      <c r="H228" s="618"/>
      <c r="I228" s="618"/>
      <c r="J228" s="618"/>
      <c r="K228" s="618"/>
      <c r="L228" s="618"/>
      <c r="M228" s="618"/>
    </row>
    <row r="229" spans="1:13" customFormat="1">
      <c r="A229" s="834"/>
      <c r="B229" s="838"/>
      <c r="C229" s="618"/>
      <c r="D229" s="618"/>
      <c r="E229" s="618"/>
      <c r="F229" s="618"/>
      <c r="G229" s="618"/>
      <c r="H229" s="618"/>
      <c r="I229" s="618"/>
      <c r="J229" s="618"/>
      <c r="K229" s="618"/>
      <c r="L229" s="618"/>
      <c r="M229" s="618"/>
    </row>
    <row r="230" spans="1:13" customFormat="1">
      <c r="A230" s="834"/>
      <c r="B230" s="838"/>
      <c r="C230" s="618"/>
      <c r="D230" s="618"/>
      <c r="E230" s="618"/>
      <c r="F230" s="618"/>
      <c r="G230" s="618"/>
      <c r="H230" s="618"/>
      <c r="I230" s="618"/>
      <c r="J230" s="618"/>
      <c r="K230" s="618"/>
      <c r="L230" s="618"/>
      <c r="M230" s="618"/>
    </row>
    <row r="231" spans="1:13" customFormat="1">
      <c r="A231" s="834"/>
      <c r="B231" s="838"/>
      <c r="C231" s="618"/>
      <c r="D231" s="618"/>
      <c r="E231" s="618"/>
      <c r="F231" s="618"/>
      <c r="G231" s="618"/>
      <c r="H231" s="618"/>
      <c r="I231" s="618"/>
      <c r="J231" s="618"/>
      <c r="K231" s="618"/>
      <c r="L231" s="618"/>
      <c r="M231" s="618"/>
    </row>
    <row r="232" spans="1:13" customFormat="1">
      <c r="A232" s="834"/>
      <c r="B232" s="838"/>
      <c r="C232" s="618"/>
      <c r="D232" s="618"/>
      <c r="E232" s="618"/>
      <c r="F232" s="618"/>
      <c r="G232" s="618"/>
      <c r="H232" s="618"/>
      <c r="I232" s="618"/>
      <c r="J232" s="618"/>
      <c r="K232" s="618"/>
      <c r="L232" s="618"/>
      <c r="M232" s="618"/>
    </row>
    <row r="233" spans="1:13" customFormat="1">
      <c r="A233" s="834"/>
      <c r="B233" s="838"/>
      <c r="C233" s="618"/>
      <c r="D233" s="618"/>
      <c r="E233" s="618"/>
      <c r="F233" s="618"/>
      <c r="G233" s="618"/>
      <c r="H233" s="618"/>
      <c r="I233" s="618"/>
      <c r="J233" s="618"/>
      <c r="K233" s="618"/>
      <c r="L233" s="618"/>
      <c r="M233" s="618"/>
    </row>
    <row r="234" spans="1:13" customFormat="1">
      <c r="A234" s="834"/>
      <c r="B234" s="838"/>
      <c r="C234" s="618"/>
      <c r="D234" s="618"/>
      <c r="E234" s="618"/>
      <c r="F234" s="618"/>
      <c r="G234" s="618"/>
      <c r="H234" s="618"/>
      <c r="I234" s="618"/>
      <c r="J234" s="618"/>
      <c r="K234" s="618"/>
      <c r="L234" s="618"/>
      <c r="M234" s="618"/>
    </row>
    <row r="235" spans="1:13" customFormat="1">
      <c r="A235" s="834"/>
      <c r="B235" s="838"/>
      <c r="C235" s="618"/>
      <c r="D235" s="618"/>
      <c r="E235" s="618"/>
      <c r="F235" s="618"/>
      <c r="G235" s="618"/>
      <c r="H235" s="618"/>
      <c r="I235" s="618"/>
      <c r="J235" s="618"/>
      <c r="K235" s="618"/>
      <c r="L235" s="618"/>
      <c r="M235" s="618"/>
    </row>
    <row r="236" spans="1:13" customFormat="1">
      <c r="A236" s="834"/>
      <c r="B236" s="838"/>
      <c r="C236" s="618"/>
      <c r="D236" s="838"/>
      <c r="E236" s="618"/>
      <c r="F236" s="839"/>
      <c r="G236" s="839"/>
      <c r="H236" s="618"/>
      <c r="I236" s="618"/>
      <c r="J236" s="618"/>
      <c r="K236" s="618"/>
      <c r="L236" s="618"/>
      <c r="M236" s="618"/>
    </row>
    <row r="237" spans="1:13" customFormat="1">
      <c r="A237" s="834"/>
      <c r="B237" s="838"/>
      <c r="C237" s="618"/>
      <c r="D237" s="618"/>
      <c r="E237" s="618"/>
      <c r="F237" s="618"/>
      <c r="G237" s="618"/>
      <c r="H237" s="618"/>
      <c r="I237" s="618"/>
      <c r="J237" s="618"/>
      <c r="K237" s="618"/>
      <c r="L237" s="618"/>
      <c r="M237" s="618"/>
    </row>
    <row r="238" spans="1:13" customFormat="1">
      <c r="A238" s="834"/>
      <c r="B238" s="838"/>
      <c r="C238" s="618"/>
      <c r="D238" s="618"/>
      <c r="E238" s="618"/>
      <c r="F238" s="618"/>
      <c r="G238" s="618"/>
      <c r="H238" s="618"/>
      <c r="I238" s="618"/>
      <c r="J238" s="618"/>
      <c r="K238" s="618"/>
      <c r="L238" s="618"/>
      <c r="M238" s="618"/>
    </row>
    <row r="239" spans="1:13" customFormat="1">
      <c r="A239" s="834"/>
      <c r="B239" s="838"/>
      <c r="C239" s="618"/>
      <c r="D239" s="618"/>
      <c r="E239" s="618"/>
      <c r="F239" s="618"/>
      <c r="G239" s="618"/>
      <c r="H239" s="618"/>
      <c r="I239" s="618"/>
      <c r="J239" s="618"/>
      <c r="K239" s="618"/>
      <c r="L239" s="618"/>
      <c r="M239" s="618"/>
    </row>
    <row r="240" spans="1:13" customFormat="1">
      <c r="A240" s="834"/>
      <c r="B240" s="838"/>
      <c r="C240" s="618"/>
      <c r="D240" s="618"/>
      <c r="E240" s="618"/>
      <c r="F240" s="618"/>
      <c r="G240" s="618"/>
      <c r="H240" s="618"/>
      <c r="I240" s="618"/>
      <c r="J240" s="618"/>
      <c r="K240" s="618"/>
      <c r="L240" s="618"/>
      <c r="M240" s="618"/>
    </row>
    <row r="241" spans="1:13" customFormat="1">
      <c r="A241" s="834"/>
      <c r="B241" s="838"/>
      <c r="C241" s="618"/>
      <c r="D241" s="618"/>
      <c r="E241" s="618"/>
      <c r="F241" s="618"/>
      <c r="G241" s="618"/>
      <c r="H241" s="618"/>
      <c r="I241" s="618"/>
      <c r="J241" s="618"/>
      <c r="K241" s="618"/>
      <c r="L241" s="618"/>
      <c r="M241" s="618"/>
    </row>
    <row r="242" spans="1:13" customFormat="1">
      <c r="A242" s="834"/>
      <c r="B242" s="838"/>
      <c r="C242" s="618"/>
      <c r="D242" s="618"/>
      <c r="E242" s="618"/>
      <c r="F242" s="618"/>
      <c r="G242" s="618"/>
      <c r="H242" s="618"/>
      <c r="I242" s="618"/>
      <c r="J242" s="618"/>
      <c r="K242" s="618"/>
      <c r="L242" s="618"/>
      <c r="M242" s="618"/>
    </row>
    <row r="243" spans="1:13" customFormat="1">
      <c r="A243" s="834"/>
      <c r="B243" s="838"/>
      <c r="C243" s="618"/>
      <c r="D243" s="618"/>
      <c r="E243" s="618"/>
      <c r="F243" s="618"/>
      <c r="G243" s="618"/>
      <c r="H243" s="618"/>
      <c r="I243" s="618"/>
      <c r="J243" s="618"/>
      <c r="K243" s="618"/>
      <c r="L243" s="618"/>
      <c r="M243" s="618"/>
    </row>
    <row r="244" spans="1:13" customFormat="1">
      <c r="A244" s="834"/>
      <c r="B244" s="838"/>
      <c r="C244" s="618"/>
      <c r="D244" s="618"/>
      <c r="E244" s="618"/>
      <c r="F244" s="618"/>
      <c r="G244" s="618"/>
      <c r="H244" s="618"/>
      <c r="I244" s="618"/>
      <c r="J244" s="618"/>
      <c r="K244" s="618"/>
      <c r="L244" s="618"/>
      <c r="M244" s="618"/>
    </row>
    <row r="245" spans="1:13" customFormat="1">
      <c r="A245" s="834"/>
      <c r="B245" s="838"/>
      <c r="C245" s="618"/>
      <c r="D245" s="838"/>
      <c r="E245" s="618"/>
      <c r="F245" s="839"/>
      <c r="G245" s="839"/>
      <c r="H245" s="618"/>
      <c r="I245" s="618"/>
      <c r="J245" s="618"/>
      <c r="K245" s="618"/>
      <c r="L245" s="618"/>
      <c r="M245" s="618"/>
    </row>
    <row r="246" spans="1:13" customFormat="1">
      <c r="A246" s="834"/>
      <c r="B246" s="838"/>
      <c r="C246" s="618"/>
      <c r="D246" s="618"/>
      <c r="E246" s="618"/>
      <c r="F246" s="618"/>
      <c r="G246" s="618"/>
      <c r="H246" s="618"/>
      <c r="I246" s="618"/>
      <c r="J246" s="618"/>
      <c r="K246" s="618"/>
      <c r="L246" s="618"/>
      <c r="M246" s="618"/>
    </row>
    <row r="247" spans="1:13" customFormat="1">
      <c r="A247" s="834"/>
      <c r="B247" s="838"/>
      <c r="C247" s="618"/>
      <c r="D247" s="618"/>
      <c r="E247" s="618"/>
      <c r="F247" s="618"/>
      <c r="G247" s="618"/>
      <c r="H247" s="618"/>
      <c r="I247" s="618"/>
      <c r="J247" s="618"/>
      <c r="K247" s="618"/>
      <c r="L247" s="618"/>
      <c r="M247" s="618"/>
    </row>
    <row r="248" spans="1:13" customFormat="1">
      <c r="A248" s="834"/>
      <c r="B248" s="838"/>
      <c r="C248" s="618"/>
      <c r="D248" s="618"/>
      <c r="E248" s="618"/>
      <c r="F248" s="618"/>
      <c r="G248" s="618"/>
      <c r="H248" s="618"/>
      <c r="I248" s="618"/>
      <c r="J248" s="618"/>
      <c r="K248" s="618"/>
      <c r="L248" s="618"/>
      <c r="M248" s="618"/>
    </row>
    <row r="249" spans="1:13" customFormat="1">
      <c r="A249" s="834"/>
      <c r="B249" s="838"/>
      <c r="C249" s="618"/>
      <c r="D249" s="618"/>
      <c r="E249" s="618"/>
      <c r="F249" s="618"/>
      <c r="G249" s="618"/>
      <c r="H249" s="618"/>
      <c r="I249" s="618"/>
      <c r="J249" s="618"/>
      <c r="K249" s="618"/>
      <c r="L249" s="618"/>
      <c r="M249" s="618"/>
    </row>
    <row r="250" spans="1:13" customFormat="1">
      <c r="A250" s="834"/>
      <c r="B250" s="838"/>
      <c r="C250" s="618"/>
      <c r="D250" s="618"/>
      <c r="E250" s="618"/>
      <c r="F250" s="618"/>
      <c r="G250" s="618"/>
      <c r="H250" s="618"/>
      <c r="I250" s="618"/>
      <c r="J250" s="618"/>
      <c r="K250" s="618"/>
      <c r="L250" s="618"/>
      <c r="M250" s="618"/>
    </row>
    <row r="251" spans="1:13" customFormat="1">
      <c r="A251" s="834"/>
      <c r="B251" s="838"/>
      <c r="C251" s="618"/>
      <c r="D251" s="618"/>
      <c r="E251" s="618"/>
      <c r="F251" s="618"/>
      <c r="G251" s="618"/>
      <c r="H251" s="618"/>
      <c r="I251" s="618"/>
      <c r="J251" s="618"/>
      <c r="K251" s="618"/>
      <c r="L251" s="618"/>
      <c r="M251" s="618"/>
    </row>
    <row r="252" spans="1:13" customFormat="1">
      <c r="A252" s="834"/>
      <c r="B252" s="838"/>
      <c r="C252" s="618"/>
      <c r="D252" s="618"/>
      <c r="E252" s="618"/>
      <c r="F252" s="618"/>
      <c r="G252" s="618"/>
      <c r="H252" s="618"/>
      <c r="I252" s="618"/>
      <c r="J252" s="618"/>
      <c r="K252" s="618"/>
      <c r="L252" s="618"/>
      <c r="M252" s="618"/>
    </row>
    <row r="253" spans="1:13" customFormat="1">
      <c r="A253" s="834"/>
      <c r="B253" s="838"/>
      <c r="C253" s="618"/>
      <c r="D253" s="838"/>
      <c r="E253" s="618"/>
      <c r="F253" s="839"/>
      <c r="G253" s="839"/>
      <c r="H253" s="618"/>
      <c r="I253" s="618"/>
      <c r="J253" s="618"/>
      <c r="K253" s="618"/>
      <c r="L253" s="618"/>
      <c r="M253" s="618"/>
    </row>
    <row r="254" spans="1:13" customFormat="1">
      <c r="A254" s="834"/>
      <c r="B254" s="838"/>
      <c r="C254" s="618"/>
      <c r="D254" s="618"/>
      <c r="E254" s="618"/>
      <c r="F254" s="618"/>
      <c r="G254" s="618"/>
      <c r="H254" s="618"/>
      <c r="I254" s="618"/>
      <c r="J254" s="618"/>
      <c r="K254" s="618"/>
      <c r="L254" s="618"/>
      <c r="M254" s="618"/>
    </row>
    <row r="255" spans="1:13" customFormat="1">
      <c r="A255" s="834"/>
      <c r="B255" s="838"/>
      <c r="C255" s="618"/>
      <c r="D255" s="618"/>
      <c r="E255" s="618"/>
      <c r="F255" s="618"/>
      <c r="G255" s="618"/>
      <c r="H255" s="618"/>
      <c r="I255" s="618"/>
      <c r="J255" s="618"/>
      <c r="K255" s="618"/>
      <c r="L255" s="618"/>
      <c r="M255" s="618"/>
    </row>
    <row r="256" spans="1:13" customFormat="1">
      <c r="A256" s="834"/>
      <c r="B256" s="838"/>
      <c r="C256" s="618"/>
      <c r="D256" s="618"/>
      <c r="E256" s="618"/>
      <c r="F256" s="618"/>
      <c r="G256" s="618"/>
      <c r="H256" s="618"/>
      <c r="I256" s="618"/>
      <c r="J256" s="618"/>
      <c r="K256" s="618"/>
      <c r="L256" s="618"/>
      <c r="M256" s="618"/>
    </row>
    <row r="257" spans="1:13" customFormat="1">
      <c r="A257" s="834"/>
      <c r="B257" s="838"/>
      <c r="C257" s="618"/>
      <c r="D257" s="618"/>
      <c r="E257" s="618"/>
      <c r="F257" s="618"/>
      <c r="G257" s="618"/>
      <c r="H257" s="618"/>
      <c r="I257" s="618"/>
      <c r="J257" s="618"/>
      <c r="K257" s="618"/>
      <c r="L257" s="618"/>
      <c r="M257" s="618"/>
    </row>
    <row r="258" spans="1:13" customFormat="1">
      <c r="A258" s="834"/>
      <c r="B258" s="838"/>
      <c r="C258" s="618"/>
      <c r="D258" s="618"/>
      <c r="E258" s="618"/>
      <c r="F258" s="618"/>
      <c r="G258" s="618"/>
      <c r="H258" s="618"/>
      <c r="I258" s="618"/>
      <c r="J258" s="618"/>
      <c r="K258" s="618"/>
      <c r="L258" s="618"/>
      <c r="M258" s="618"/>
    </row>
    <row r="259" spans="1:13" customFormat="1">
      <c r="A259" s="834"/>
      <c r="B259" s="838"/>
      <c r="C259" s="618"/>
      <c r="D259" s="618"/>
      <c r="E259" s="618"/>
      <c r="F259" s="618"/>
      <c r="G259" s="618"/>
      <c r="H259" s="618"/>
      <c r="I259" s="618"/>
      <c r="J259" s="618"/>
      <c r="K259" s="618"/>
      <c r="L259" s="618"/>
      <c r="M259" s="618"/>
    </row>
    <row r="260" spans="1:13" customFormat="1">
      <c r="A260" s="834"/>
      <c r="B260" s="838"/>
      <c r="C260" s="618"/>
      <c r="D260" s="618"/>
      <c r="E260" s="618"/>
      <c r="F260" s="618"/>
      <c r="G260" s="618"/>
      <c r="H260" s="618"/>
      <c r="I260" s="618"/>
      <c r="J260" s="618"/>
      <c r="K260" s="618"/>
      <c r="L260" s="618"/>
      <c r="M260" s="618"/>
    </row>
    <row r="261" spans="1:13" customFormat="1">
      <c r="A261" s="834"/>
      <c r="B261" s="838"/>
      <c r="C261" s="618"/>
      <c r="D261" s="618"/>
      <c r="E261" s="618"/>
      <c r="F261" s="618"/>
      <c r="G261" s="618"/>
      <c r="H261" s="618"/>
      <c r="I261" s="618"/>
      <c r="J261" s="618"/>
      <c r="K261" s="618"/>
      <c r="L261" s="618"/>
      <c r="M261" s="618"/>
    </row>
    <row r="262" spans="1:13" customFormat="1">
      <c r="A262" s="834"/>
      <c r="B262" s="838"/>
      <c r="C262" s="618"/>
      <c r="D262" s="838"/>
      <c r="E262" s="618"/>
      <c r="F262" s="839"/>
      <c r="G262" s="839"/>
      <c r="H262" s="618"/>
      <c r="I262" s="618"/>
      <c r="J262" s="618"/>
      <c r="K262" s="618"/>
      <c r="L262" s="618"/>
      <c r="M262" s="618"/>
    </row>
    <row r="263" spans="1:13" customFormat="1">
      <c r="A263" s="834"/>
      <c r="B263" s="838"/>
      <c r="C263" s="618"/>
      <c r="D263" s="618"/>
      <c r="E263" s="618"/>
      <c r="F263" s="618"/>
      <c r="G263" s="618"/>
      <c r="H263" s="618"/>
      <c r="I263" s="618"/>
      <c r="J263" s="618"/>
      <c r="K263" s="618"/>
      <c r="L263" s="618"/>
      <c r="M263" s="618"/>
    </row>
    <row r="264" spans="1:13" customFormat="1">
      <c r="A264" s="834"/>
      <c r="B264" s="838"/>
      <c r="C264" s="618"/>
      <c r="D264" s="618"/>
      <c r="E264" s="618"/>
      <c r="F264" s="618"/>
      <c r="G264" s="618"/>
      <c r="H264" s="618"/>
      <c r="I264" s="618"/>
      <c r="J264" s="618"/>
      <c r="K264" s="618"/>
      <c r="L264" s="618"/>
      <c r="M264" s="618"/>
    </row>
    <row r="265" spans="1:13" customFormat="1">
      <c r="A265" s="834"/>
      <c r="B265" s="838"/>
      <c r="C265" s="618"/>
      <c r="D265" s="618"/>
      <c r="E265" s="618"/>
      <c r="F265" s="618"/>
      <c r="G265" s="618"/>
      <c r="H265" s="618"/>
      <c r="I265" s="618"/>
      <c r="J265" s="618"/>
      <c r="K265" s="618"/>
      <c r="L265" s="618"/>
      <c r="M265" s="618"/>
    </row>
    <row r="266" spans="1:13" customFormat="1">
      <c r="A266" s="834"/>
      <c r="B266" s="838"/>
      <c r="C266" s="618"/>
      <c r="D266" s="618"/>
      <c r="E266" s="618"/>
      <c r="F266" s="618"/>
      <c r="G266" s="618"/>
      <c r="H266" s="618"/>
      <c r="I266" s="618"/>
      <c r="J266" s="618"/>
      <c r="K266" s="618"/>
      <c r="L266" s="618"/>
      <c r="M266" s="618"/>
    </row>
    <row r="267" spans="1:13" customFormat="1">
      <c r="A267" s="834"/>
      <c r="B267" s="838"/>
      <c r="C267" s="618"/>
      <c r="D267" s="618"/>
      <c r="E267" s="618"/>
      <c r="F267" s="618"/>
      <c r="G267" s="618"/>
      <c r="H267" s="618"/>
      <c r="I267" s="618"/>
      <c r="J267" s="618"/>
      <c r="K267" s="618"/>
      <c r="L267" s="618"/>
      <c r="M267" s="618"/>
    </row>
    <row r="268" spans="1:13" customFormat="1">
      <c r="A268" s="834"/>
      <c r="B268" s="838"/>
      <c r="C268" s="618"/>
      <c r="D268" s="618"/>
      <c r="E268" s="618"/>
      <c r="F268" s="618"/>
      <c r="G268" s="618"/>
      <c r="H268" s="618"/>
      <c r="I268" s="618"/>
      <c r="J268" s="618"/>
      <c r="K268" s="618"/>
      <c r="L268" s="618"/>
      <c r="M268" s="618"/>
    </row>
    <row r="269" spans="1:13" customFormat="1">
      <c r="A269" s="834"/>
      <c r="B269" s="838"/>
      <c r="C269" s="618"/>
      <c r="D269" s="618"/>
      <c r="E269" s="618"/>
      <c r="F269" s="618"/>
      <c r="G269" s="618"/>
      <c r="H269" s="618"/>
      <c r="I269" s="618"/>
      <c r="J269" s="618"/>
      <c r="K269" s="618"/>
      <c r="L269" s="618"/>
      <c r="M269" s="618"/>
    </row>
    <row r="270" spans="1:13" customFormat="1">
      <c r="A270" s="834"/>
      <c r="B270" s="838"/>
      <c r="C270" s="618"/>
      <c r="D270" s="618"/>
      <c r="E270" s="618"/>
      <c r="F270" s="618"/>
      <c r="G270" s="618"/>
      <c r="H270" s="618"/>
      <c r="I270" s="618"/>
      <c r="J270" s="618"/>
      <c r="K270" s="618"/>
      <c r="L270" s="618"/>
      <c r="M270" s="618"/>
    </row>
    <row r="271" spans="1:13" customFormat="1">
      <c r="A271" s="834"/>
      <c r="B271" s="838"/>
      <c r="C271" s="618"/>
      <c r="D271" s="838"/>
      <c r="E271" s="618"/>
      <c r="F271" s="839"/>
      <c r="G271" s="839"/>
      <c r="H271" s="618"/>
      <c r="I271" s="618"/>
      <c r="J271" s="618"/>
      <c r="K271" s="618"/>
      <c r="L271" s="618"/>
      <c r="M271" s="618"/>
    </row>
    <row r="272" spans="1:13" customFormat="1">
      <c r="A272" s="834"/>
      <c r="B272" s="838"/>
      <c r="C272" s="618"/>
      <c r="D272" s="618"/>
      <c r="E272" s="618"/>
      <c r="F272" s="618"/>
      <c r="G272" s="618"/>
      <c r="H272" s="618"/>
      <c r="I272" s="618"/>
      <c r="J272" s="618"/>
      <c r="K272" s="618"/>
      <c r="L272" s="618"/>
      <c r="M272" s="618"/>
    </row>
    <row r="273" spans="1:13" customFormat="1">
      <c r="A273" s="834"/>
      <c r="B273" s="838"/>
      <c r="C273" s="618"/>
      <c r="D273" s="618"/>
      <c r="E273" s="618"/>
      <c r="F273" s="618"/>
      <c r="G273" s="618"/>
      <c r="H273" s="618"/>
      <c r="I273" s="618"/>
      <c r="J273" s="618"/>
      <c r="K273" s="618"/>
      <c r="L273" s="618"/>
      <c r="M273" s="618"/>
    </row>
    <row r="274" spans="1:13" customFormat="1">
      <c r="A274" s="834"/>
      <c r="B274" s="838"/>
      <c r="C274" s="618"/>
      <c r="D274" s="618"/>
      <c r="E274" s="618"/>
      <c r="F274" s="618"/>
      <c r="G274" s="618"/>
      <c r="H274" s="618"/>
      <c r="I274" s="618"/>
      <c r="J274" s="618"/>
      <c r="K274" s="618"/>
      <c r="L274" s="618"/>
      <c r="M274" s="618"/>
    </row>
    <row r="275" spans="1:13" customFormat="1">
      <c r="A275" s="834"/>
      <c r="B275" s="838"/>
      <c r="C275" s="618"/>
      <c r="D275" s="618"/>
      <c r="E275" s="618"/>
      <c r="F275" s="618"/>
      <c r="G275" s="618"/>
      <c r="H275" s="618"/>
      <c r="I275" s="618"/>
      <c r="J275" s="618"/>
      <c r="K275" s="618"/>
      <c r="L275" s="618"/>
      <c r="M275" s="618"/>
    </row>
    <row r="276" spans="1:13" customFormat="1">
      <c r="A276" s="834"/>
      <c r="B276" s="838"/>
      <c r="C276" s="618"/>
      <c r="D276" s="618"/>
      <c r="E276" s="618"/>
      <c r="F276" s="618"/>
      <c r="G276" s="618"/>
      <c r="H276" s="618"/>
      <c r="I276" s="618"/>
      <c r="J276" s="618"/>
      <c r="K276" s="618"/>
      <c r="L276" s="618"/>
      <c r="M276" s="618"/>
    </row>
    <row r="277" spans="1:13" customFormat="1">
      <c r="A277" s="834"/>
      <c r="B277" s="838"/>
      <c r="C277" s="618"/>
      <c r="D277" s="618"/>
      <c r="E277" s="618"/>
      <c r="F277" s="618"/>
      <c r="G277" s="618"/>
      <c r="H277" s="618"/>
      <c r="I277" s="618"/>
      <c r="J277" s="618"/>
      <c r="K277" s="618"/>
      <c r="L277" s="618"/>
      <c r="M277" s="618"/>
    </row>
    <row r="278" spans="1:13" customFormat="1">
      <c r="A278" s="834"/>
      <c r="B278" s="838"/>
      <c r="C278" s="618"/>
      <c r="D278" s="618"/>
      <c r="E278" s="618"/>
      <c r="F278" s="618"/>
      <c r="G278" s="618"/>
      <c r="H278" s="618"/>
      <c r="I278" s="618"/>
      <c r="J278" s="618"/>
      <c r="K278" s="618"/>
      <c r="L278" s="618"/>
      <c r="M278" s="618"/>
    </row>
    <row r="279" spans="1:13" customFormat="1">
      <c r="A279" s="834"/>
      <c r="B279" s="838"/>
      <c r="C279" s="618"/>
      <c r="D279" s="838"/>
      <c r="E279" s="618"/>
      <c r="F279" s="839"/>
      <c r="G279" s="839"/>
      <c r="H279" s="618"/>
      <c r="I279" s="618"/>
      <c r="J279" s="618"/>
      <c r="K279" s="618"/>
      <c r="L279" s="618"/>
      <c r="M279" s="618"/>
    </row>
    <row r="280" spans="1:13" customFormat="1">
      <c r="A280" s="834"/>
      <c r="B280" s="838"/>
      <c r="C280" s="618"/>
      <c r="D280" s="618"/>
      <c r="E280" s="618"/>
      <c r="F280" s="618"/>
      <c r="G280" s="618"/>
      <c r="H280" s="618"/>
      <c r="I280" s="618"/>
      <c r="J280" s="618"/>
      <c r="K280" s="618"/>
      <c r="L280" s="618"/>
      <c r="M280" s="618"/>
    </row>
    <row r="281" spans="1:13" customFormat="1">
      <c r="A281" s="834"/>
      <c r="B281" s="838"/>
      <c r="C281" s="618"/>
      <c r="D281" s="618"/>
      <c r="E281" s="618"/>
      <c r="F281" s="618"/>
      <c r="G281" s="618"/>
      <c r="H281" s="618"/>
      <c r="I281" s="618"/>
      <c r="J281" s="618"/>
      <c r="K281" s="618"/>
      <c r="L281" s="618"/>
      <c r="M281" s="618"/>
    </row>
    <row r="282" spans="1:13" customFormat="1">
      <c r="A282" s="834"/>
      <c r="B282" s="838"/>
      <c r="C282" s="618"/>
      <c r="D282" s="618"/>
      <c r="E282" s="618"/>
      <c r="F282" s="618"/>
      <c r="G282" s="618"/>
      <c r="H282" s="618"/>
      <c r="I282" s="618"/>
      <c r="J282" s="618"/>
      <c r="K282" s="618"/>
      <c r="L282" s="618"/>
      <c r="M282" s="618"/>
    </row>
    <row r="283" spans="1:13" customFormat="1">
      <c r="A283" s="834"/>
      <c r="B283" s="838"/>
      <c r="C283" s="618"/>
      <c r="D283" s="618"/>
      <c r="E283" s="618"/>
      <c r="F283" s="618"/>
      <c r="G283" s="618"/>
      <c r="H283" s="618"/>
      <c r="I283" s="618"/>
      <c r="J283" s="618"/>
      <c r="K283" s="618"/>
      <c r="L283" s="618"/>
      <c r="M283" s="618"/>
    </row>
    <row r="284" spans="1:13" customFormat="1">
      <c r="A284" s="834"/>
      <c r="B284" s="838"/>
      <c r="C284" s="618"/>
      <c r="D284" s="618"/>
      <c r="E284" s="618"/>
      <c r="F284" s="618"/>
      <c r="G284" s="618"/>
      <c r="H284" s="618"/>
      <c r="I284" s="618"/>
      <c r="J284" s="618"/>
      <c r="K284" s="618"/>
      <c r="L284" s="618"/>
      <c r="M284" s="618"/>
    </row>
    <row r="285" spans="1:13" customFormat="1">
      <c r="A285" s="834"/>
      <c r="B285" s="838"/>
      <c r="C285" s="618"/>
      <c r="D285" s="618"/>
      <c r="E285" s="618"/>
      <c r="F285" s="618"/>
      <c r="G285" s="618"/>
      <c r="H285" s="618"/>
      <c r="I285" s="618"/>
      <c r="J285" s="618"/>
      <c r="K285" s="618"/>
      <c r="L285" s="618"/>
      <c r="M285" s="618"/>
    </row>
    <row r="286" spans="1:13" customFormat="1">
      <c r="A286" s="834"/>
      <c r="B286" s="838"/>
      <c r="C286" s="618"/>
      <c r="D286" s="618"/>
      <c r="E286" s="618"/>
      <c r="F286" s="618"/>
      <c r="G286" s="618"/>
      <c r="H286" s="618"/>
      <c r="I286" s="618"/>
      <c r="J286" s="618"/>
      <c r="K286" s="618"/>
      <c r="L286" s="618"/>
      <c r="M286" s="618"/>
    </row>
    <row r="287" spans="1:13" customFormat="1">
      <c r="A287" s="834"/>
      <c r="B287" s="838"/>
      <c r="C287" s="618"/>
      <c r="D287" s="618"/>
      <c r="E287" s="618"/>
      <c r="F287" s="618"/>
      <c r="G287" s="618"/>
      <c r="H287" s="618"/>
      <c r="I287" s="618"/>
      <c r="J287" s="618"/>
      <c r="K287" s="618"/>
      <c r="L287" s="618"/>
      <c r="M287" s="618"/>
    </row>
    <row r="288" spans="1:13" customFormat="1">
      <c r="A288" s="834"/>
      <c r="B288" s="838"/>
      <c r="C288" s="618"/>
      <c r="D288" s="838"/>
      <c r="E288" s="618"/>
      <c r="F288" s="839"/>
      <c r="G288" s="839"/>
      <c r="H288" s="618"/>
      <c r="I288" s="618"/>
      <c r="J288" s="618"/>
      <c r="K288" s="618"/>
      <c r="L288" s="618"/>
      <c r="M288" s="618"/>
    </row>
    <row r="289" spans="1:13" customFormat="1">
      <c r="A289" s="834"/>
      <c r="B289" s="838"/>
      <c r="C289" s="618"/>
      <c r="D289" s="618"/>
      <c r="E289" s="618"/>
      <c r="F289" s="618"/>
      <c r="G289" s="618"/>
      <c r="H289" s="618"/>
      <c r="I289" s="618"/>
      <c r="J289" s="618"/>
      <c r="K289" s="618"/>
      <c r="L289" s="618"/>
      <c r="M289" s="618"/>
    </row>
    <row r="290" spans="1:13" customFormat="1">
      <c r="A290" s="834"/>
      <c r="B290" s="838"/>
      <c r="C290" s="618"/>
      <c r="D290" s="618"/>
      <c r="E290" s="618"/>
      <c r="F290" s="618"/>
      <c r="G290" s="618"/>
      <c r="H290" s="618"/>
      <c r="I290" s="618"/>
      <c r="J290" s="618"/>
      <c r="K290" s="618"/>
      <c r="L290" s="618"/>
      <c r="M290" s="618"/>
    </row>
    <row r="291" spans="1:13" customFormat="1">
      <c r="A291" s="834"/>
      <c r="B291" s="838"/>
      <c r="C291" s="618"/>
      <c r="D291" s="618"/>
      <c r="E291" s="618"/>
      <c r="F291" s="618"/>
      <c r="G291" s="618"/>
      <c r="H291" s="618"/>
      <c r="I291" s="618"/>
      <c r="J291" s="618"/>
      <c r="K291" s="618"/>
      <c r="L291" s="618"/>
      <c r="M291" s="618"/>
    </row>
    <row r="292" spans="1:13" customFormat="1">
      <c r="A292" s="834"/>
      <c r="B292" s="838"/>
      <c r="C292" s="618"/>
      <c r="D292" s="618"/>
      <c r="E292" s="618"/>
      <c r="F292" s="618"/>
      <c r="G292" s="618"/>
      <c r="H292" s="618"/>
      <c r="I292" s="618"/>
      <c r="J292" s="618"/>
      <c r="K292" s="618"/>
      <c r="L292" s="618"/>
      <c r="M292" s="618"/>
    </row>
    <row r="293" spans="1:13" customFormat="1">
      <c r="A293" s="834"/>
      <c r="B293" s="838"/>
      <c r="C293" s="618"/>
      <c r="D293" s="618"/>
      <c r="E293" s="618"/>
      <c r="F293" s="618"/>
      <c r="G293" s="618"/>
      <c r="H293" s="618"/>
      <c r="I293" s="618"/>
      <c r="J293" s="618"/>
      <c r="K293" s="618"/>
      <c r="L293" s="618"/>
      <c r="M293" s="618"/>
    </row>
    <row r="294" spans="1:13" customFormat="1">
      <c r="A294" s="834"/>
      <c r="B294" s="838"/>
      <c r="C294" s="618"/>
      <c r="D294" s="618"/>
      <c r="E294" s="618"/>
      <c r="F294" s="618"/>
      <c r="G294" s="618"/>
      <c r="H294" s="618"/>
      <c r="I294" s="618"/>
      <c r="J294" s="618"/>
      <c r="K294" s="618"/>
      <c r="L294" s="618"/>
      <c r="M294" s="618"/>
    </row>
    <row r="295" spans="1:13" customFormat="1">
      <c r="A295" s="834"/>
      <c r="B295" s="838"/>
      <c r="C295" s="618"/>
      <c r="D295" s="618"/>
      <c r="E295" s="618"/>
      <c r="F295" s="618"/>
      <c r="G295" s="618"/>
      <c r="H295" s="618"/>
      <c r="I295" s="618"/>
      <c r="J295" s="618"/>
      <c r="K295" s="618"/>
      <c r="L295" s="618"/>
      <c r="M295" s="618"/>
    </row>
    <row r="296" spans="1:13" customFormat="1">
      <c r="A296" s="834"/>
      <c r="B296" s="838"/>
      <c r="C296" s="618"/>
      <c r="D296" s="838"/>
      <c r="E296" s="618"/>
      <c r="F296" s="839"/>
      <c r="G296" s="839"/>
      <c r="H296" s="618"/>
      <c r="I296" s="618"/>
      <c r="J296" s="618"/>
      <c r="K296" s="618"/>
      <c r="L296" s="618"/>
      <c r="M296" s="618"/>
    </row>
    <row r="297" spans="1:13" customFormat="1">
      <c r="A297" s="834"/>
      <c r="B297" s="838"/>
      <c r="C297" s="618"/>
      <c r="D297" s="618"/>
      <c r="E297" s="618"/>
      <c r="F297" s="618"/>
      <c r="G297" s="618"/>
      <c r="H297" s="618"/>
      <c r="I297" s="618"/>
      <c r="J297" s="618"/>
      <c r="K297" s="618"/>
      <c r="L297" s="618"/>
      <c r="M297" s="618"/>
    </row>
    <row r="298" spans="1:13" customFormat="1">
      <c r="A298" s="834"/>
      <c r="B298" s="838"/>
      <c r="C298" s="618"/>
      <c r="D298" s="618"/>
      <c r="E298" s="618"/>
      <c r="F298" s="618"/>
      <c r="G298" s="618"/>
      <c r="H298" s="618"/>
      <c r="I298" s="618"/>
      <c r="J298" s="618"/>
      <c r="K298" s="618"/>
      <c r="L298" s="618"/>
      <c r="M298" s="618"/>
    </row>
    <row r="299" spans="1:13" customFormat="1">
      <c r="A299" s="834"/>
      <c r="B299" s="838"/>
      <c r="C299" s="618"/>
      <c r="D299" s="618"/>
      <c r="E299" s="618"/>
      <c r="F299" s="618"/>
      <c r="G299" s="618"/>
      <c r="H299" s="618"/>
      <c r="I299" s="618"/>
      <c r="J299" s="618"/>
      <c r="K299" s="618"/>
      <c r="L299" s="618"/>
      <c r="M299" s="618"/>
    </row>
    <row r="300" spans="1:13" customFormat="1">
      <c r="A300" s="834"/>
      <c r="B300" s="838"/>
      <c r="C300" s="618"/>
      <c r="D300" s="618"/>
      <c r="E300" s="618"/>
      <c r="F300" s="618"/>
      <c r="G300" s="618"/>
      <c r="H300" s="618"/>
      <c r="I300" s="618"/>
      <c r="J300" s="618"/>
      <c r="K300" s="618"/>
      <c r="L300" s="618"/>
      <c r="M300" s="618"/>
    </row>
    <row r="301" spans="1:13" customFormat="1">
      <c r="A301" s="834"/>
      <c r="B301" s="838"/>
      <c r="C301" s="618"/>
      <c r="D301" s="618"/>
      <c r="E301" s="618"/>
      <c r="F301" s="618"/>
      <c r="G301" s="618"/>
      <c r="H301" s="618"/>
      <c r="I301" s="618"/>
      <c r="J301" s="618"/>
      <c r="K301" s="618"/>
      <c r="L301" s="618"/>
      <c r="M301" s="618"/>
    </row>
    <row r="302" spans="1:13" customFormat="1">
      <c r="A302" s="834"/>
      <c r="B302" s="838"/>
      <c r="C302" s="618"/>
      <c r="D302" s="618"/>
      <c r="E302" s="618"/>
      <c r="F302" s="618"/>
      <c r="G302" s="618"/>
      <c r="H302" s="618"/>
      <c r="I302" s="618"/>
      <c r="J302" s="618"/>
      <c r="K302" s="618"/>
      <c r="L302" s="618"/>
      <c r="M302" s="618"/>
    </row>
    <row r="303" spans="1:13" customFormat="1">
      <c r="A303" s="834"/>
      <c r="B303" s="838"/>
      <c r="C303" s="618"/>
      <c r="D303" s="618"/>
      <c r="E303" s="618"/>
      <c r="F303" s="618"/>
      <c r="G303" s="618"/>
      <c r="H303" s="618"/>
      <c r="I303" s="618"/>
      <c r="J303" s="618"/>
      <c r="K303" s="618"/>
      <c r="L303" s="618"/>
      <c r="M303" s="618"/>
    </row>
    <row r="304" spans="1:13" customFormat="1">
      <c r="A304" s="834"/>
      <c r="B304" s="838"/>
      <c r="C304" s="618"/>
      <c r="D304" s="618"/>
      <c r="E304" s="618"/>
      <c r="F304" s="618"/>
      <c r="G304" s="618"/>
      <c r="H304" s="618"/>
      <c r="I304" s="618"/>
      <c r="J304" s="618"/>
      <c r="K304" s="618"/>
      <c r="L304" s="618"/>
      <c r="M304" s="618"/>
    </row>
    <row r="305" spans="1:13" customFormat="1">
      <c r="A305" s="834"/>
      <c r="B305" s="838"/>
      <c r="C305" s="618"/>
      <c r="D305" s="838"/>
      <c r="E305" s="618"/>
      <c r="F305" s="839"/>
      <c r="G305" s="839"/>
      <c r="H305" s="618"/>
      <c r="I305" s="618"/>
      <c r="J305" s="618"/>
      <c r="K305" s="618"/>
      <c r="L305" s="618"/>
      <c r="M305" s="618"/>
    </row>
    <row r="306" spans="1:13" customFormat="1" ht="15">
      <c r="A306" s="618"/>
      <c r="B306" s="838"/>
      <c r="C306" s="618"/>
      <c r="D306" s="838"/>
      <c r="E306" s="618"/>
      <c r="F306" s="618"/>
      <c r="G306" s="618"/>
      <c r="H306" s="618"/>
      <c r="I306" s="618"/>
      <c r="J306" s="618"/>
      <c r="K306" s="618"/>
      <c r="L306" s="618"/>
      <c r="M306" s="618"/>
    </row>
    <row r="307" spans="1:13">
      <c r="A307" s="359"/>
      <c r="B307" s="359"/>
      <c r="C307" s="359"/>
      <c r="D307" s="359"/>
      <c r="E307" s="359"/>
      <c r="F307" s="359"/>
      <c r="G307" s="359"/>
      <c r="H307" s="359"/>
      <c r="I307" s="359"/>
      <c r="J307" s="359"/>
      <c r="K307" s="359"/>
      <c r="L307" s="359"/>
      <c r="M307" s="359"/>
    </row>
    <row r="308" spans="1:13">
      <c r="A308" s="359"/>
      <c r="B308" s="359"/>
      <c r="C308" s="359"/>
      <c r="D308" s="359"/>
      <c r="E308" s="359"/>
      <c r="F308" s="359"/>
      <c r="G308" s="359"/>
      <c r="H308" s="359"/>
      <c r="I308" s="359"/>
      <c r="J308" s="359"/>
      <c r="K308" s="359"/>
      <c r="L308" s="359"/>
      <c r="M308" s="359"/>
    </row>
  </sheetData>
  <mergeCells count="4">
    <mergeCell ref="A200:D200"/>
    <mergeCell ref="A1:G1"/>
    <mergeCell ref="A3:G3"/>
    <mergeCell ref="A5:G5"/>
  </mergeCells>
  <pageMargins left="0.7" right="0.7" top="0.75" bottom="0.75" header="0.3" footer="0.3"/>
  <pageSetup scale="10"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L24"/>
  <sheetViews>
    <sheetView zoomScaleNormal="100" workbookViewId="0">
      <selection sqref="A1:J1"/>
    </sheetView>
  </sheetViews>
  <sheetFormatPr defaultRowHeight="15.75"/>
  <cols>
    <col min="1" max="1" width="7.5546875" style="220" customWidth="1"/>
    <col min="2" max="2" width="29.44140625" style="377" customWidth="1"/>
    <col min="3" max="3" width="9.44140625" style="377" customWidth="1"/>
    <col min="4" max="4" width="10.44140625" style="377" bestFit="1" customWidth="1"/>
    <col min="5" max="6" width="8.88671875" style="377"/>
    <col min="7" max="16384" width="8.88671875" style="220"/>
  </cols>
  <sheetData>
    <row r="1" spans="1:12" s="340" customFormat="1">
      <c r="A1" s="1371" t="str">
        <f>'WP-13 Disposal'!$A$1</f>
        <v>WASTE CONTROL, INC.</v>
      </c>
      <c r="B1" s="1371"/>
      <c r="C1" s="1371"/>
      <c r="D1" s="1371"/>
      <c r="E1" s="1371"/>
      <c r="F1" s="1371"/>
      <c r="G1" s="1371"/>
      <c r="H1" s="1371"/>
      <c r="I1" s="1371"/>
      <c r="J1" s="1371"/>
    </row>
    <row r="2" spans="1:12" s="340" customFormat="1" ht="18" customHeight="1">
      <c r="A2" s="51"/>
      <c r="B2" s="52"/>
      <c r="C2" s="52"/>
      <c r="D2" s="50"/>
      <c r="E2" s="52"/>
      <c r="F2" s="50"/>
      <c r="G2" s="373"/>
      <c r="H2" s="373"/>
      <c r="I2" s="373"/>
      <c r="J2" s="366"/>
      <c r="K2" s="366"/>
      <c r="L2" s="366"/>
    </row>
    <row r="3" spans="1:12" s="340" customFormat="1">
      <c r="A3" s="1372" t="s">
        <v>1014</v>
      </c>
      <c r="B3" s="1372"/>
      <c r="C3" s="1372"/>
      <c r="D3" s="1372"/>
      <c r="E3" s="1372"/>
      <c r="F3" s="1372"/>
      <c r="G3" s="1372"/>
      <c r="H3" s="1372"/>
      <c r="I3" s="1372"/>
      <c r="J3" s="1372"/>
      <c r="K3" s="367"/>
      <c r="L3" s="367"/>
    </row>
    <row r="4" spans="1:12" s="340" customFormat="1">
      <c r="A4" s="56"/>
      <c r="B4" s="56"/>
      <c r="C4" s="55"/>
      <c r="D4" s="56"/>
      <c r="E4" s="56"/>
      <c r="F4" s="56"/>
      <c r="G4" s="368"/>
      <c r="H4" s="368"/>
      <c r="I4" s="368"/>
      <c r="J4" s="368"/>
      <c r="K4" s="367"/>
      <c r="L4" s="367"/>
    </row>
    <row r="5" spans="1:12" s="340" customFormat="1">
      <c r="A5" s="1373" t="str">
        <f>'WP-13 Disposal'!$A$5</f>
        <v>In Support of Tariff 19 effective September 7, 2018</v>
      </c>
      <c r="B5" s="1373"/>
      <c r="C5" s="1373"/>
      <c r="D5" s="1373"/>
      <c r="E5" s="1373"/>
      <c r="F5" s="1373"/>
      <c r="G5" s="1373"/>
      <c r="H5" s="1373"/>
      <c r="I5" s="1373"/>
      <c r="J5" s="1373"/>
      <c r="K5" s="367"/>
      <c r="L5" s="367"/>
    </row>
    <row r="6" spans="1:12" s="340" customFormat="1">
      <c r="A6" s="694"/>
      <c r="B6" s="694"/>
      <c r="C6" s="694"/>
      <c r="D6" s="694"/>
      <c r="E6" s="694"/>
      <c r="F6" s="694"/>
      <c r="G6" s="368"/>
      <c r="H6" s="368"/>
      <c r="I6" s="368"/>
      <c r="J6" s="368"/>
      <c r="K6" s="367"/>
      <c r="L6" s="367"/>
    </row>
    <row r="7" spans="1:12" s="377" customFormat="1">
      <c r="A7" s="220" t="s">
        <v>817</v>
      </c>
      <c r="E7" s="757"/>
      <c r="F7" s="877"/>
    </row>
    <row r="8" spans="1:12" s="377" customFormat="1">
      <c r="A8" s="220"/>
      <c r="C8" s="379"/>
      <c r="D8" s="379"/>
    </row>
    <row r="9" spans="1:12" s="377" customFormat="1">
      <c r="A9" s="755"/>
      <c r="B9" s="377" t="s">
        <v>1089</v>
      </c>
      <c r="C9" s="317"/>
      <c r="D9" s="237">
        <v>303354</v>
      </c>
      <c r="E9" s="878" t="s">
        <v>1091</v>
      </c>
    </row>
    <row r="10" spans="1:12" s="377" customFormat="1">
      <c r="A10" s="755"/>
      <c r="B10" s="377" t="s">
        <v>1094</v>
      </c>
      <c r="C10" s="317"/>
      <c r="D10" s="756">
        <f>(D9/60)*34</f>
        <v>171900.59999999998</v>
      </c>
      <c r="E10" s="878" t="s">
        <v>1098</v>
      </c>
    </row>
    <row r="11" spans="1:12" s="377" customFormat="1">
      <c r="A11" s="755"/>
      <c r="B11" s="377" t="s">
        <v>1090</v>
      </c>
      <c r="C11" s="317"/>
      <c r="D11" s="237">
        <f>D9-D10</f>
        <v>131453.40000000002</v>
      </c>
    </row>
    <row r="12" spans="1:12" s="377" customFormat="1">
      <c r="A12" s="220"/>
      <c r="C12" s="317"/>
    </row>
    <row r="13" spans="1:12" s="377" customFormat="1">
      <c r="A13" s="220" t="s">
        <v>1095</v>
      </c>
      <c r="C13" s="317"/>
    </row>
    <row r="14" spans="1:12" s="377" customFormat="1">
      <c r="A14" s="220"/>
      <c r="B14" s="377" t="s">
        <v>818</v>
      </c>
      <c r="C14" s="317">
        <v>43251</v>
      </c>
      <c r="D14" s="377">
        <v>662.4</v>
      </c>
      <c r="E14" s="757"/>
    </row>
    <row r="15" spans="1:12" s="377" customFormat="1">
      <c r="A15" s="220"/>
      <c r="B15" s="377" t="s">
        <v>818</v>
      </c>
      <c r="C15" s="317">
        <v>43281</v>
      </c>
      <c r="D15" s="237">
        <v>7398.3</v>
      </c>
      <c r="E15" s="757"/>
    </row>
    <row r="16" spans="1:12" s="377" customFormat="1">
      <c r="A16" s="220"/>
    </row>
    <row r="17" spans="1:5" s="377" customFormat="1">
      <c r="A17" s="220"/>
      <c r="B17" s="377" t="s">
        <v>1096</v>
      </c>
      <c r="D17" s="380">
        <f>+D11+D14+D15</f>
        <v>139514.1</v>
      </c>
    </row>
    <row r="18" spans="1:5" s="377" customFormat="1">
      <c r="A18" s="220"/>
      <c r="D18" s="785">
        <v>3</v>
      </c>
      <c r="E18" s="757"/>
    </row>
    <row r="19" spans="1:5" s="377" customFormat="1" ht="16.5" thickBot="1">
      <c r="A19" s="220"/>
      <c r="B19" s="377" t="s">
        <v>1097</v>
      </c>
      <c r="D19" s="879">
        <f>D17/D18</f>
        <v>46504.700000000004</v>
      </c>
      <c r="E19" s="377" t="s">
        <v>1092</v>
      </c>
    </row>
    <row r="20" spans="1:5" s="377" customFormat="1" ht="16.5" thickTop="1">
      <c r="A20" s="220"/>
      <c r="B20" s="381"/>
      <c r="D20" s="237"/>
    </row>
    <row r="21" spans="1:5">
      <c r="A21" s="881" t="s">
        <v>974</v>
      </c>
      <c r="D21" s="378"/>
    </row>
    <row r="22" spans="1:5">
      <c r="A22" s="220" t="s">
        <v>1099</v>
      </c>
      <c r="D22" s="378"/>
    </row>
    <row r="23" spans="1:5">
      <c r="D23" s="378"/>
    </row>
    <row r="24" spans="1:5">
      <c r="A24" s="888" t="s">
        <v>1103</v>
      </c>
      <c r="B24" s="237"/>
      <c r="D24" s="378"/>
    </row>
  </sheetData>
  <mergeCells count="3">
    <mergeCell ref="A5:J5"/>
    <mergeCell ref="A3:J3"/>
    <mergeCell ref="A1:J1"/>
  </mergeCells>
  <printOptions horizontalCentered="1"/>
  <pageMargins left="0.7" right="0.7" top="0.75" bottom="0.75" header="0.3" footer="0.3"/>
  <pageSetup scale="68"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P169"/>
  <sheetViews>
    <sheetView zoomScaleNormal="100" workbookViewId="0"/>
  </sheetViews>
  <sheetFormatPr defaultRowHeight="12.75"/>
  <cols>
    <col min="1" max="1" width="21.6640625" style="225" bestFit="1" customWidth="1"/>
    <col min="2" max="12" width="8.77734375" style="224" customWidth="1"/>
    <col min="13" max="13" width="9.77734375" style="224" customWidth="1"/>
    <col min="14" max="14" width="1.77734375" style="224" customWidth="1"/>
    <col min="15" max="15" width="9.77734375" style="224" customWidth="1"/>
    <col min="16" max="16384" width="8.88671875" style="225"/>
  </cols>
  <sheetData>
    <row r="1" spans="1:15">
      <c r="A1" s="223" t="s">
        <v>359</v>
      </c>
    </row>
    <row r="2" spans="1:15">
      <c r="B2" s="226" t="s">
        <v>834</v>
      </c>
      <c r="C2" s="226" t="s">
        <v>834</v>
      </c>
      <c r="D2" s="226" t="s">
        <v>834</v>
      </c>
      <c r="E2" s="226" t="s">
        <v>834</v>
      </c>
      <c r="F2" s="226" t="s">
        <v>834</v>
      </c>
      <c r="G2" s="226" t="s">
        <v>834</v>
      </c>
      <c r="H2" s="226" t="s">
        <v>834</v>
      </c>
      <c r="I2" s="226" t="s">
        <v>834</v>
      </c>
      <c r="J2" s="226" t="s">
        <v>834</v>
      </c>
      <c r="K2" s="226" t="s">
        <v>924</v>
      </c>
      <c r="L2" s="226" t="s">
        <v>924</v>
      </c>
      <c r="M2" s="226" t="s">
        <v>924</v>
      </c>
    </row>
    <row r="3" spans="1:15">
      <c r="A3" s="227"/>
      <c r="B3" s="228" t="s">
        <v>143</v>
      </c>
      <c r="C3" s="228" t="s">
        <v>144</v>
      </c>
      <c r="D3" s="228" t="s">
        <v>145</v>
      </c>
      <c r="E3" s="228" t="s">
        <v>146</v>
      </c>
      <c r="F3" s="228" t="s">
        <v>147</v>
      </c>
      <c r="G3" s="228" t="s">
        <v>139</v>
      </c>
      <c r="H3" s="228" t="s">
        <v>138</v>
      </c>
      <c r="I3" s="228" t="s">
        <v>137</v>
      </c>
      <c r="J3" s="228" t="s">
        <v>136</v>
      </c>
      <c r="K3" s="228" t="s">
        <v>140</v>
      </c>
      <c r="L3" s="228" t="s">
        <v>141</v>
      </c>
      <c r="M3" s="228" t="s">
        <v>142</v>
      </c>
      <c r="O3" s="228" t="s">
        <v>358</v>
      </c>
    </row>
    <row r="4" spans="1:15">
      <c r="A4" s="229" t="s">
        <v>357</v>
      </c>
    </row>
    <row r="5" spans="1:15">
      <c r="A5" s="229" t="s">
        <v>356</v>
      </c>
      <c r="B5" s="230">
        <v>0</v>
      </c>
      <c r="C5" s="230">
        <v>0</v>
      </c>
      <c r="D5" s="230">
        <v>0</v>
      </c>
      <c r="E5" s="230">
        <v>0</v>
      </c>
      <c r="F5" s="231">
        <v>0</v>
      </c>
      <c r="G5" s="231">
        <v>0</v>
      </c>
      <c r="H5" s="231">
        <v>0</v>
      </c>
      <c r="I5" s="231">
        <v>0</v>
      </c>
      <c r="J5" s="231">
        <v>0</v>
      </c>
      <c r="K5" s="633">
        <v>0</v>
      </c>
      <c r="L5" s="633">
        <v>0</v>
      </c>
      <c r="M5" s="633">
        <v>0</v>
      </c>
      <c r="O5" s="224">
        <f t="shared" ref="O5:O75" si="0">SUM(B5:N5)</f>
        <v>0</v>
      </c>
    </row>
    <row r="6" spans="1:15">
      <c r="A6" s="229" t="s">
        <v>355</v>
      </c>
      <c r="B6" s="230">
        <v>0</v>
      </c>
      <c r="C6" s="230">
        <v>0</v>
      </c>
      <c r="D6" s="230">
        <v>0</v>
      </c>
      <c r="E6" s="231">
        <v>0</v>
      </c>
      <c r="F6" s="231">
        <v>0</v>
      </c>
      <c r="G6" s="231">
        <v>0</v>
      </c>
      <c r="H6" s="231">
        <v>0</v>
      </c>
      <c r="I6" s="231">
        <v>0</v>
      </c>
      <c r="J6" s="231">
        <v>0</v>
      </c>
      <c r="K6" s="633">
        <v>0</v>
      </c>
      <c r="L6" s="633">
        <v>0</v>
      </c>
      <c r="M6" s="633">
        <v>0</v>
      </c>
      <c r="O6" s="224">
        <f t="shared" si="0"/>
        <v>0</v>
      </c>
    </row>
    <row r="7" spans="1:15">
      <c r="A7" s="229" t="s">
        <v>354</v>
      </c>
      <c r="B7" s="230">
        <v>0</v>
      </c>
      <c r="C7" s="230">
        <v>0</v>
      </c>
      <c r="D7" s="230">
        <v>0</v>
      </c>
      <c r="E7" s="231">
        <v>0</v>
      </c>
      <c r="F7" s="231">
        <v>0</v>
      </c>
      <c r="G7" s="231">
        <v>0</v>
      </c>
      <c r="H7" s="231">
        <v>0</v>
      </c>
      <c r="I7" s="231">
        <v>0</v>
      </c>
      <c r="J7" s="231">
        <v>0</v>
      </c>
      <c r="K7" s="633">
        <v>0</v>
      </c>
      <c r="L7" s="633">
        <v>0</v>
      </c>
      <c r="M7" s="633">
        <v>0</v>
      </c>
      <c r="O7" s="224">
        <f t="shared" si="0"/>
        <v>0</v>
      </c>
    </row>
    <row r="8" spans="1:15">
      <c r="A8" s="229" t="s">
        <v>353</v>
      </c>
      <c r="B8" s="230">
        <v>0</v>
      </c>
      <c r="C8" s="230">
        <v>0</v>
      </c>
      <c r="D8" s="230">
        <v>0</v>
      </c>
      <c r="E8" s="231">
        <v>0</v>
      </c>
      <c r="F8" s="231">
        <v>0</v>
      </c>
      <c r="G8" s="231">
        <v>0</v>
      </c>
      <c r="H8" s="231">
        <v>0</v>
      </c>
      <c r="I8" s="231">
        <v>0</v>
      </c>
      <c r="J8" s="231">
        <v>0</v>
      </c>
      <c r="K8" s="633">
        <v>0</v>
      </c>
      <c r="L8" s="633">
        <v>0</v>
      </c>
      <c r="M8" s="633">
        <v>0</v>
      </c>
      <c r="O8" s="224">
        <f t="shared" si="0"/>
        <v>0</v>
      </c>
    </row>
    <row r="9" spans="1:15">
      <c r="A9" s="229" t="s">
        <v>352</v>
      </c>
      <c r="B9" s="230">
        <v>0</v>
      </c>
      <c r="C9" s="230">
        <v>0</v>
      </c>
      <c r="D9" s="230">
        <v>0</v>
      </c>
      <c r="E9" s="231">
        <v>0</v>
      </c>
      <c r="F9" s="231">
        <v>0</v>
      </c>
      <c r="G9" s="231">
        <v>0</v>
      </c>
      <c r="H9" s="231">
        <v>0</v>
      </c>
      <c r="I9" s="231">
        <v>0</v>
      </c>
      <c r="J9" s="231">
        <v>0</v>
      </c>
      <c r="K9" s="633">
        <v>0</v>
      </c>
      <c r="L9" s="633">
        <v>0</v>
      </c>
      <c r="M9" s="633">
        <v>0</v>
      </c>
      <c r="O9" s="224">
        <f t="shared" si="0"/>
        <v>0</v>
      </c>
    </row>
    <row r="10" spans="1:15">
      <c r="A10" s="229" t="s">
        <v>439</v>
      </c>
      <c r="B10" s="231">
        <v>7217.74</v>
      </c>
      <c r="C10" s="231">
        <v>6310</v>
      </c>
      <c r="D10" s="231">
        <v>12535.65</v>
      </c>
      <c r="E10" s="231">
        <v>6298.38</v>
      </c>
      <c r="F10" s="231">
        <v>8453.6200000000008</v>
      </c>
      <c r="G10" s="231">
        <v>6298.38</v>
      </c>
      <c r="H10" s="231">
        <v>6831.23</v>
      </c>
      <c r="I10" s="231">
        <v>6298.38</v>
      </c>
      <c r="J10" s="231">
        <v>6262.9</v>
      </c>
      <c r="K10" s="633">
        <v>6298.38</v>
      </c>
      <c r="L10" s="633">
        <v>6349.81</v>
      </c>
      <c r="M10" s="633">
        <v>6298.38</v>
      </c>
      <c r="O10" s="224">
        <f t="shared" si="0"/>
        <v>85452.85</v>
      </c>
    </row>
    <row r="11" spans="1:15">
      <c r="A11" s="229" t="s">
        <v>406</v>
      </c>
      <c r="B11" s="231">
        <v>5044.34</v>
      </c>
      <c r="C11" s="231">
        <v>5310.15</v>
      </c>
      <c r="D11" s="231">
        <v>5508.14</v>
      </c>
      <c r="E11" s="231">
        <v>6750.2</v>
      </c>
      <c r="F11" s="231">
        <v>6552.94</v>
      </c>
      <c r="G11" s="231">
        <v>6039.93</v>
      </c>
      <c r="H11" s="231">
        <v>6369.89</v>
      </c>
      <c r="I11" s="231">
        <v>4626.75</v>
      </c>
      <c r="J11" s="231">
        <v>4192.2299999999996</v>
      </c>
      <c r="K11" s="633">
        <v>4701.18</v>
      </c>
      <c r="L11" s="633">
        <v>4908.7299999999996</v>
      </c>
      <c r="M11" s="633">
        <v>5506.33</v>
      </c>
      <c r="O11" s="224">
        <f t="shared" si="0"/>
        <v>65510.81</v>
      </c>
    </row>
    <row r="12" spans="1:15">
      <c r="A12" s="229" t="s">
        <v>407</v>
      </c>
      <c r="B12" s="231">
        <v>55722.93</v>
      </c>
      <c r="C12" s="231">
        <v>74185.86</v>
      </c>
      <c r="D12" s="231">
        <v>64432.68</v>
      </c>
      <c r="E12" s="231">
        <v>69476.429999999993</v>
      </c>
      <c r="F12" s="231">
        <v>39528.14</v>
      </c>
      <c r="G12" s="231">
        <v>45430.48</v>
      </c>
      <c r="H12" s="231">
        <v>61769.94</v>
      </c>
      <c r="I12" s="231">
        <v>33057.93</v>
      </c>
      <c r="J12" s="231">
        <v>26617.43</v>
      </c>
      <c r="K12" s="633">
        <v>41140.82</v>
      </c>
      <c r="L12" s="633">
        <v>33515.96</v>
      </c>
      <c r="M12" s="633">
        <v>44593.32</v>
      </c>
      <c r="O12" s="224">
        <f t="shared" si="0"/>
        <v>589471.91999999993</v>
      </c>
    </row>
    <row r="13" spans="1:15">
      <c r="A13" s="229" t="s">
        <v>405</v>
      </c>
      <c r="B13" s="231">
        <v>8256.2900000000009</v>
      </c>
      <c r="C13" s="231">
        <v>7300.67</v>
      </c>
      <c r="D13" s="231">
        <v>8034.71</v>
      </c>
      <c r="E13" s="231">
        <v>10597.6</v>
      </c>
      <c r="F13" s="231">
        <v>11663.66</v>
      </c>
      <c r="G13" s="231">
        <v>13427.21</v>
      </c>
      <c r="H13" s="231">
        <v>7454.61</v>
      </c>
      <c r="I13" s="231">
        <v>5175.63</v>
      </c>
      <c r="J13" s="231">
        <v>6604.84</v>
      </c>
      <c r="K13" s="633">
        <v>5227.3999999999996</v>
      </c>
      <c r="L13" s="633">
        <v>4922.43</v>
      </c>
      <c r="M13" s="633">
        <v>7484.9</v>
      </c>
      <c r="O13" s="224">
        <f t="shared" si="0"/>
        <v>96149.949999999983</v>
      </c>
    </row>
    <row r="14" spans="1:15">
      <c r="A14" s="229" t="s">
        <v>404</v>
      </c>
      <c r="B14" s="231">
        <v>778.39</v>
      </c>
      <c r="C14" s="231">
        <v>753.54</v>
      </c>
      <c r="D14" s="231">
        <v>974.16</v>
      </c>
      <c r="E14" s="231">
        <v>1013.92</v>
      </c>
      <c r="F14" s="231">
        <v>1639.05</v>
      </c>
      <c r="G14" s="231">
        <v>1293.53</v>
      </c>
      <c r="H14" s="231">
        <v>1508.84</v>
      </c>
      <c r="I14" s="231">
        <v>1235.31</v>
      </c>
      <c r="J14" s="231">
        <v>1149.08</v>
      </c>
      <c r="K14" s="633">
        <v>994.04</v>
      </c>
      <c r="L14" s="633">
        <v>848.94</v>
      </c>
      <c r="M14" s="633">
        <v>867.85</v>
      </c>
      <c r="O14" s="224">
        <f t="shared" si="0"/>
        <v>13056.650000000001</v>
      </c>
    </row>
    <row r="15" spans="1:15">
      <c r="A15" s="229" t="s">
        <v>403</v>
      </c>
      <c r="B15" s="231">
        <v>49361.19</v>
      </c>
      <c r="C15" s="231">
        <v>49396.21</v>
      </c>
      <c r="D15" s="231">
        <v>52613.8</v>
      </c>
      <c r="E15" s="231">
        <v>51532.59</v>
      </c>
      <c r="F15" s="231">
        <v>52900.52</v>
      </c>
      <c r="G15" s="231">
        <v>52402.83</v>
      </c>
      <c r="H15" s="231">
        <v>52366.09</v>
      </c>
      <c r="I15" s="231">
        <v>53036.2</v>
      </c>
      <c r="J15" s="231">
        <v>49686.96</v>
      </c>
      <c r="K15" s="633">
        <v>49275.33</v>
      </c>
      <c r="L15" s="633">
        <v>50694.3</v>
      </c>
      <c r="M15" s="633">
        <v>52695.21</v>
      </c>
      <c r="O15" s="224">
        <f t="shared" si="0"/>
        <v>615961.23</v>
      </c>
    </row>
    <row r="16" spans="1:15">
      <c r="A16" s="229" t="s">
        <v>351</v>
      </c>
      <c r="B16" s="231">
        <v>110442.45</v>
      </c>
      <c r="C16" s="231">
        <v>109714.33</v>
      </c>
      <c r="D16" s="231">
        <v>109295.64</v>
      </c>
      <c r="E16" s="231">
        <v>111722.53</v>
      </c>
      <c r="F16" s="231">
        <v>111627.44</v>
      </c>
      <c r="G16" s="231">
        <v>114038.28</v>
      </c>
      <c r="H16" s="231">
        <v>115774.02</v>
      </c>
      <c r="I16" s="231">
        <v>112241.13</v>
      </c>
      <c r="J16" s="231">
        <v>112830.77</v>
      </c>
      <c r="K16" s="633">
        <v>114854.65</v>
      </c>
      <c r="L16" s="633">
        <v>113677.57</v>
      </c>
      <c r="M16" s="633">
        <v>113456.28</v>
      </c>
      <c r="O16" s="224">
        <f t="shared" si="0"/>
        <v>1349675.09</v>
      </c>
    </row>
    <row r="17" spans="1:15">
      <c r="A17" s="229" t="s">
        <v>350</v>
      </c>
      <c r="B17" s="231">
        <v>63928.45</v>
      </c>
      <c r="C17" s="231">
        <v>63928.45</v>
      </c>
      <c r="D17" s="231">
        <v>65227.67</v>
      </c>
      <c r="E17" s="231">
        <v>65227.67</v>
      </c>
      <c r="F17" s="231">
        <v>64130.63</v>
      </c>
      <c r="G17" s="231">
        <v>64130.63</v>
      </c>
      <c r="H17" s="231">
        <v>64348.44</v>
      </c>
      <c r="I17" s="231">
        <v>64348.44</v>
      </c>
      <c r="J17" s="231">
        <v>65968.039999999994</v>
      </c>
      <c r="K17" s="633">
        <v>65968.039999999994</v>
      </c>
      <c r="L17" s="633">
        <v>64706.13</v>
      </c>
      <c r="M17" s="633">
        <v>64706.13</v>
      </c>
      <c r="O17" s="224">
        <f t="shared" si="0"/>
        <v>776618.72000000009</v>
      </c>
    </row>
    <row r="18" spans="1:15">
      <c r="A18" s="229" t="s">
        <v>402</v>
      </c>
      <c r="B18" s="231">
        <v>0</v>
      </c>
      <c r="C18" s="231">
        <v>0</v>
      </c>
      <c r="D18" s="231">
        <v>0</v>
      </c>
      <c r="E18" s="231">
        <v>0</v>
      </c>
      <c r="F18" s="231">
        <v>0</v>
      </c>
      <c r="G18" s="231">
        <v>0</v>
      </c>
      <c r="H18" s="231">
        <v>0</v>
      </c>
      <c r="I18" s="231">
        <v>0</v>
      </c>
      <c r="J18" s="231">
        <v>0</v>
      </c>
      <c r="K18" s="633">
        <v>0</v>
      </c>
      <c r="L18" s="633">
        <v>0</v>
      </c>
      <c r="M18" s="633">
        <v>0</v>
      </c>
      <c r="O18" s="224">
        <f t="shared" si="0"/>
        <v>0</v>
      </c>
    </row>
    <row r="19" spans="1:15">
      <c r="A19" s="229" t="s">
        <v>349</v>
      </c>
      <c r="B19" s="231">
        <v>22980.68</v>
      </c>
      <c r="C19" s="231">
        <v>24778.35</v>
      </c>
      <c r="D19" s="231">
        <v>24794.43</v>
      </c>
      <c r="E19" s="231">
        <v>24728.34</v>
      </c>
      <c r="F19" s="231">
        <v>26049.23</v>
      </c>
      <c r="G19" s="231">
        <v>24840.36</v>
      </c>
      <c r="H19" s="231">
        <v>24556.48</v>
      </c>
      <c r="I19" s="231">
        <v>24123.14</v>
      </c>
      <c r="J19" s="231">
        <v>25541.42</v>
      </c>
      <c r="K19" s="633">
        <v>24823.88</v>
      </c>
      <c r="L19" s="633">
        <v>24510</v>
      </c>
      <c r="M19" s="633">
        <v>26128</v>
      </c>
      <c r="O19" s="224">
        <f t="shared" si="0"/>
        <v>297854.31</v>
      </c>
    </row>
    <row r="20" spans="1:15">
      <c r="A20" s="229" t="s">
        <v>348</v>
      </c>
      <c r="B20" s="231">
        <v>31827.42</v>
      </c>
      <c r="C20" s="231">
        <v>34043.07</v>
      </c>
      <c r="D20" s="231">
        <v>34293.449999999997</v>
      </c>
      <c r="E20" s="231">
        <v>34433.949999999997</v>
      </c>
      <c r="F20" s="231">
        <v>34927.919999999998</v>
      </c>
      <c r="G20" s="231">
        <v>33992.82</v>
      </c>
      <c r="H20" s="231">
        <v>35707</v>
      </c>
      <c r="I20" s="231">
        <v>34608.400000000001</v>
      </c>
      <c r="J20" s="231">
        <v>34639.72</v>
      </c>
      <c r="K20" s="633">
        <v>34094.46</v>
      </c>
      <c r="L20" s="633">
        <v>34156.32</v>
      </c>
      <c r="M20" s="633">
        <v>34394.39</v>
      </c>
      <c r="O20" s="224">
        <f t="shared" si="0"/>
        <v>411118.92000000004</v>
      </c>
    </row>
    <row r="21" spans="1:15">
      <c r="A21" s="229" t="s">
        <v>347</v>
      </c>
      <c r="B21" s="231">
        <v>6324.33</v>
      </c>
      <c r="C21" s="231">
        <v>7484.27</v>
      </c>
      <c r="D21" s="231">
        <v>8070.72</v>
      </c>
      <c r="E21" s="231">
        <v>8144.98</v>
      </c>
      <c r="F21" s="231">
        <v>8812.85</v>
      </c>
      <c r="G21" s="231">
        <v>7776.09</v>
      </c>
      <c r="H21" s="231">
        <v>7670.69</v>
      </c>
      <c r="I21" s="231">
        <v>7662.88</v>
      </c>
      <c r="J21" s="231">
        <v>7498.23</v>
      </c>
      <c r="K21" s="633">
        <v>7330.27</v>
      </c>
      <c r="L21" s="633">
        <v>7334.29</v>
      </c>
      <c r="M21" s="633">
        <v>7230.21</v>
      </c>
      <c r="O21" s="224">
        <f t="shared" si="0"/>
        <v>91339.810000000012</v>
      </c>
    </row>
    <row r="22" spans="1:15">
      <c r="A22" s="229" t="s">
        <v>346</v>
      </c>
      <c r="B22" s="230">
        <v>0</v>
      </c>
      <c r="C22" s="230">
        <v>0</v>
      </c>
      <c r="D22" s="230">
        <v>0</v>
      </c>
      <c r="E22" s="230">
        <v>0</v>
      </c>
      <c r="F22" s="230">
        <v>0</v>
      </c>
      <c r="G22" s="230">
        <v>0</v>
      </c>
      <c r="H22" s="230">
        <v>0</v>
      </c>
      <c r="I22" s="230">
        <v>0</v>
      </c>
      <c r="J22" s="230">
        <v>0</v>
      </c>
      <c r="K22" s="633">
        <v>0</v>
      </c>
      <c r="L22" s="633">
        <v>0</v>
      </c>
      <c r="M22" s="633">
        <v>0</v>
      </c>
      <c r="O22" s="224">
        <f t="shared" si="0"/>
        <v>0</v>
      </c>
    </row>
    <row r="23" spans="1:15">
      <c r="A23" s="229" t="s">
        <v>356</v>
      </c>
      <c r="B23" s="230">
        <v>854.03</v>
      </c>
      <c r="C23" s="230">
        <v>341.79</v>
      </c>
      <c r="D23" s="230">
        <v>729.06</v>
      </c>
      <c r="E23" s="230">
        <v>1150.77</v>
      </c>
      <c r="F23" s="230">
        <v>473.6</v>
      </c>
      <c r="G23" s="230">
        <v>820.2</v>
      </c>
      <c r="H23" s="230">
        <v>1320.86</v>
      </c>
      <c r="I23" s="230">
        <v>740.62</v>
      </c>
      <c r="J23" s="230">
        <v>541.71</v>
      </c>
      <c r="K23" s="633">
        <v>574.77</v>
      </c>
      <c r="L23" s="633">
        <v>694.46</v>
      </c>
      <c r="M23" s="633">
        <v>1151.6400000000001</v>
      </c>
      <c r="O23" s="224">
        <f t="shared" si="0"/>
        <v>9393.5099999999984</v>
      </c>
    </row>
    <row r="24" spans="1:15">
      <c r="A24" s="229" t="s">
        <v>355</v>
      </c>
      <c r="B24" s="230">
        <v>0</v>
      </c>
      <c r="C24" s="230">
        <v>0</v>
      </c>
      <c r="D24" s="230">
        <v>0</v>
      </c>
      <c r="E24" s="230">
        <v>0</v>
      </c>
      <c r="F24" s="230">
        <v>0</v>
      </c>
      <c r="G24" s="230">
        <v>0</v>
      </c>
      <c r="H24" s="230">
        <v>0</v>
      </c>
      <c r="I24" s="230">
        <v>0</v>
      </c>
      <c r="J24" s="230">
        <v>0</v>
      </c>
      <c r="K24" s="633">
        <v>0</v>
      </c>
      <c r="L24" s="633">
        <v>0</v>
      </c>
      <c r="M24" s="633">
        <v>0</v>
      </c>
      <c r="O24" s="224">
        <f t="shared" si="0"/>
        <v>0</v>
      </c>
    </row>
    <row r="25" spans="1:15">
      <c r="A25" s="229" t="s">
        <v>836</v>
      </c>
      <c r="B25" s="230">
        <v>157.5</v>
      </c>
      <c r="C25" s="230">
        <v>0</v>
      </c>
      <c r="D25" s="230">
        <v>334.11</v>
      </c>
      <c r="E25" s="230">
        <v>281.55</v>
      </c>
      <c r="F25" s="230">
        <v>0</v>
      </c>
      <c r="G25" s="230">
        <v>123.47</v>
      </c>
      <c r="H25" s="230">
        <v>68.099999999999994</v>
      </c>
      <c r="I25" s="230">
        <v>24.5</v>
      </c>
      <c r="J25" s="230">
        <v>221.92</v>
      </c>
      <c r="K25" s="633">
        <v>45.01</v>
      </c>
      <c r="L25" s="633">
        <v>0</v>
      </c>
      <c r="M25" s="633">
        <v>34.68</v>
      </c>
      <c r="O25" s="224">
        <f t="shared" si="0"/>
        <v>1290.8400000000001</v>
      </c>
    </row>
    <row r="26" spans="1:15">
      <c r="A26" s="229" t="s">
        <v>837</v>
      </c>
      <c r="B26" s="230">
        <v>0</v>
      </c>
      <c r="C26" s="230">
        <v>0</v>
      </c>
      <c r="D26" s="230">
        <v>0</v>
      </c>
      <c r="E26" s="230">
        <v>0</v>
      </c>
      <c r="F26" s="230">
        <v>0</v>
      </c>
      <c r="G26" s="230">
        <v>0</v>
      </c>
      <c r="H26" s="230">
        <v>0</v>
      </c>
      <c r="I26" s="230">
        <v>0</v>
      </c>
      <c r="J26" s="230">
        <v>0</v>
      </c>
      <c r="K26" s="633">
        <v>0</v>
      </c>
      <c r="L26" s="633">
        <v>0</v>
      </c>
      <c r="M26" s="633">
        <v>0</v>
      </c>
      <c r="O26" s="224">
        <f t="shared" si="0"/>
        <v>0</v>
      </c>
    </row>
    <row r="27" spans="1:15">
      <c r="A27" s="229" t="s">
        <v>838</v>
      </c>
      <c r="B27" s="230">
        <v>0</v>
      </c>
      <c r="C27" s="230">
        <v>0</v>
      </c>
      <c r="D27" s="230">
        <v>-124.16</v>
      </c>
      <c r="E27" s="230">
        <v>206.18</v>
      </c>
      <c r="F27" s="230">
        <v>1008.51</v>
      </c>
      <c r="G27" s="230">
        <v>0</v>
      </c>
      <c r="H27" s="230">
        <v>94.5</v>
      </c>
      <c r="I27" s="230">
        <v>232.77</v>
      </c>
      <c r="J27" s="230">
        <v>34.869999999999997</v>
      </c>
      <c r="K27" s="633">
        <v>404.14</v>
      </c>
      <c r="L27" s="633">
        <v>0</v>
      </c>
      <c r="M27" s="633">
        <v>178.75</v>
      </c>
      <c r="O27" s="224">
        <f t="shared" si="0"/>
        <v>2035.56</v>
      </c>
    </row>
    <row r="28" spans="1:15">
      <c r="A28" s="229" t="s">
        <v>839</v>
      </c>
      <c r="B28" s="230">
        <v>0</v>
      </c>
      <c r="C28" s="230">
        <v>0</v>
      </c>
      <c r="D28" s="230">
        <v>0</v>
      </c>
      <c r="E28" s="230">
        <v>0</v>
      </c>
      <c r="F28" s="230">
        <v>0</v>
      </c>
      <c r="G28" s="230">
        <v>0</v>
      </c>
      <c r="H28" s="230">
        <v>0</v>
      </c>
      <c r="I28" s="230">
        <v>0</v>
      </c>
      <c r="J28" s="230">
        <v>0</v>
      </c>
      <c r="K28" s="633">
        <v>0</v>
      </c>
      <c r="L28" s="633">
        <v>0</v>
      </c>
      <c r="M28" s="633">
        <v>0</v>
      </c>
      <c r="O28" s="224">
        <f t="shared" si="0"/>
        <v>0</v>
      </c>
    </row>
    <row r="29" spans="1:15">
      <c r="A29" s="229" t="s">
        <v>840</v>
      </c>
      <c r="B29" s="230">
        <v>0</v>
      </c>
      <c r="C29" s="230">
        <v>0</v>
      </c>
      <c r="D29" s="230">
        <v>0</v>
      </c>
      <c r="E29" s="230">
        <v>0</v>
      </c>
      <c r="F29" s="230">
        <v>0</v>
      </c>
      <c r="G29" s="230">
        <v>0</v>
      </c>
      <c r="H29" s="230">
        <v>0</v>
      </c>
      <c r="I29" s="230">
        <v>0</v>
      </c>
      <c r="J29" s="230">
        <v>0</v>
      </c>
      <c r="K29" s="633">
        <v>0</v>
      </c>
      <c r="L29" s="633">
        <v>0</v>
      </c>
      <c r="M29" s="633">
        <v>0</v>
      </c>
      <c r="O29" s="224">
        <f t="shared" si="0"/>
        <v>0</v>
      </c>
    </row>
    <row r="30" spans="1:15">
      <c r="A30" s="229" t="s">
        <v>841</v>
      </c>
      <c r="B30" s="230">
        <v>0</v>
      </c>
      <c r="C30" s="230">
        <v>0</v>
      </c>
      <c r="D30" s="230">
        <v>0</v>
      </c>
      <c r="E30" s="230">
        <v>0</v>
      </c>
      <c r="F30" s="230">
        <v>0</v>
      </c>
      <c r="G30" s="230">
        <v>0</v>
      </c>
      <c r="H30" s="230">
        <v>0</v>
      </c>
      <c r="I30" s="230">
        <v>0</v>
      </c>
      <c r="J30" s="230">
        <v>0</v>
      </c>
      <c r="K30" s="633">
        <v>0</v>
      </c>
      <c r="L30" s="633">
        <v>0</v>
      </c>
      <c r="M30" s="633">
        <v>0</v>
      </c>
      <c r="O30" s="224">
        <f t="shared" si="0"/>
        <v>0</v>
      </c>
    </row>
    <row r="31" spans="1:15">
      <c r="A31" s="620" t="s">
        <v>842</v>
      </c>
      <c r="B31" s="230">
        <v>-27.4</v>
      </c>
      <c r="C31" s="230">
        <v>-2098.21</v>
      </c>
      <c r="D31" s="230">
        <v>-728.46</v>
      </c>
      <c r="E31" s="230">
        <v>0</v>
      </c>
      <c r="F31" s="230">
        <v>-2935.1</v>
      </c>
      <c r="G31" s="230">
        <v>-40.06</v>
      </c>
      <c r="H31" s="230">
        <v>-1043.8699999999999</v>
      </c>
      <c r="I31" s="230">
        <v>-478.27</v>
      </c>
      <c r="J31" s="230">
        <v>-679.64</v>
      </c>
      <c r="K31" s="633">
        <v>-67.58</v>
      </c>
      <c r="L31" s="633">
        <v>-3.74</v>
      </c>
      <c r="M31" s="633">
        <v>-842.01</v>
      </c>
      <c r="O31" s="224">
        <f>SUM(B31:N31)</f>
        <v>-8944.34</v>
      </c>
    </row>
    <row r="32" spans="1:15">
      <c r="A32" s="620" t="s">
        <v>843</v>
      </c>
      <c r="B32" s="230">
        <v>0</v>
      </c>
      <c r="C32" s="230">
        <v>0</v>
      </c>
      <c r="D32" s="230">
        <v>0</v>
      </c>
      <c r="E32" s="230">
        <v>0</v>
      </c>
      <c r="F32" s="230">
        <v>0</v>
      </c>
      <c r="G32" s="230">
        <v>0</v>
      </c>
      <c r="H32" s="230">
        <v>0</v>
      </c>
      <c r="I32" s="230">
        <v>0</v>
      </c>
      <c r="J32" s="230">
        <v>0</v>
      </c>
      <c r="K32" s="633">
        <v>0</v>
      </c>
      <c r="L32" s="633">
        <v>0</v>
      </c>
      <c r="M32" s="633">
        <v>-20.23</v>
      </c>
      <c r="O32" s="224">
        <f t="shared" si="0"/>
        <v>-20.23</v>
      </c>
    </row>
    <row r="33" spans="1:15">
      <c r="A33" s="620" t="s">
        <v>844</v>
      </c>
      <c r="B33" s="230">
        <v>0</v>
      </c>
      <c r="C33" s="230">
        <v>-195</v>
      </c>
      <c r="D33" s="230">
        <v>38.65</v>
      </c>
      <c r="E33" s="230">
        <v>0</v>
      </c>
      <c r="F33" s="230">
        <v>-712.93</v>
      </c>
      <c r="G33" s="230">
        <v>0</v>
      </c>
      <c r="H33" s="230">
        <v>-10.02</v>
      </c>
      <c r="I33" s="230">
        <v>0</v>
      </c>
      <c r="J33" s="230">
        <v>0</v>
      </c>
      <c r="K33" s="633">
        <v>0</v>
      </c>
      <c r="L33" s="633">
        <v>-81.95</v>
      </c>
      <c r="M33" s="633">
        <v>-1308.8599999999999</v>
      </c>
      <c r="O33" s="224">
        <f t="shared" si="0"/>
        <v>-2270.1099999999997</v>
      </c>
    </row>
    <row r="34" spans="1:15">
      <c r="A34" s="620" t="s">
        <v>845</v>
      </c>
      <c r="B34" s="230">
        <v>0</v>
      </c>
      <c r="C34" s="230">
        <v>-613.35</v>
      </c>
      <c r="D34" s="230">
        <v>-701.76</v>
      </c>
      <c r="E34" s="230">
        <v>0</v>
      </c>
      <c r="F34" s="230">
        <v>-80.36</v>
      </c>
      <c r="G34" s="230">
        <v>0</v>
      </c>
      <c r="H34" s="230">
        <v>-452.93</v>
      </c>
      <c r="I34" s="230">
        <v>0</v>
      </c>
      <c r="J34" s="230">
        <v>0</v>
      </c>
      <c r="K34" s="633">
        <v>-129.38</v>
      </c>
      <c r="L34" s="633">
        <v>0</v>
      </c>
      <c r="M34" s="633">
        <v>-486.92</v>
      </c>
      <c r="O34" s="224">
        <f t="shared" si="0"/>
        <v>-2464.7000000000003</v>
      </c>
    </row>
    <row r="35" spans="1:15">
      <c r="A35" s="620" t="s">
        <v>846</v>
      </c>
      <c r="B35" s="230">
        <v>0</v>
      </c>
      <c r="C35" s="230">
        <v>-284.88</v>
      </c>
      <c r="D35" s="230">
        <v>92.59</v>
      </c>
      <c r="E35" s="230">
        <v>0</v>
      </c>
      <c r="F35" s="230">
        <v>-253.36</v>
      </c>
      <c r="G35" s="230">
        <v>-104.72</v>
      </c>
      <c r="H35" s="230">
        <v>-260.31</v>
      </c>
      <c r="I35" s="230">
        <v>-28.95</v>
      </c>
      <c r="J35" s="230">
        <v>-176.02</v>
      </c>
      <c r="K35" s="633">
        <v>0</v>
      </c>
      <c r="L35" s="633">
        <v>-48.3</v>
      </c>
      <c r="M35" s="633">
        <v>0</v>
      </c>
      <c r="O35" s="224">
        <f t="shared" si="0"/>
        <v>-1063.95</v>
      </c>
    </row>
    <row r="36" spans="1:15">
      <c r="A36" s="620" t="s">
        <v>847</v>
      </c>
      <c r="B36" s="230">
        <v>0</v>
      </c>
      <c r="C36" s="230">
        <v>0</v>
      </c>
      <c r="D36" s="230">
        <v>0</v>
      </c>
      <c r="E36" s="230">
        <v>0</v>
      </c>
      <c r="F36" s="230">
        <v>0</v>
      </c>
      <c r="G36" s="230">
        <v>0</v>
      </c>
      <c r="H36" s="230">
        <v>0</v>
      </c>
      <c r="I36" s="230">
        <v>0</v>
      </c>
      <c r="J36" s="230">
        <v>0</v>
      </c>
      <c r="K36" s="633">
        <v>0</v>
      </c>
      <c r="L36" s="633">
        <v>0</v>
      </c>
      <c r="M36" s="633">
        <v>0</v>
      </c>
      <c r="O36" s="224">
        <f t="shared" si="0"/>
        <v>0</v>
      </c>
    </row>
    <row r="37" spans="1:15">
      <c r="A37" s="620" t="s">
        <v>848</v>
      </c>
      <c r="B37" s="230">
        <v>0</v>
      </c>
      <c r="C37" s="230">
        <v>0</v>
      </c>
      <c r="D37" s="230">
        <v>0</v>
      </c>
      <c r="E37" s="230">
        <v>0</v>
      </c>
      <c r="F37" s="230">
        <v>-51.28</v>
      </c>
      <c r="G37" s="230">
        <v>0</v>
      </c>
      <c r="H37" s="230">
        <v>0</v>
      </c>
      <c r="I37" s="230">
        <v>-20.38</v>
      </c>
      <c r="J37" s="230">
        <v>0</v>
      </c>
      <c r="K37" s="633">
        <v>0</v>
      </c>
      <c r="L37" s="633">
        <v>0</v>
      </c>
      <c r="M37" s="633">
        <v>0</v>
      </c>
      <c r="O37" s="224">
        <f t="shared" si="0"/>
        <v>-71.66</v>
      </c>
    </row>
    <row r="38" spans="1:15" s="235" customFormat="1">
      <c r="A38" s="232"/>
      <c r="B38" s="233"/>
      <c r="C38" s="233"/>
      <c r="D38" s="233"/>
      <c r="E38" s="233"/>
      <c r="F38" s="233"/>
      <c r="G38" s="233"/>
      <c r="H38" s="233"/>
      <c r="I38" s="233"/>
      <c r="J38" s="233"/>
      <c r="K38" s="233"/>
      <c r="L38" s="233"/>
      <c r="M38" s="233"/>
      <c r="N38" s="234"/>
      <c r="O38" s="224"/>
    </row>
    <row r="39" spans="1:15">
      <c r="A39" s="229" t="s">
        <v>345</v>
      </c>
      <c r="B39" s="230">
        <f t="shared" ref="B39:M39" si="1">ROUND(SUBTOTAL(9, B4:B38), 5)</f>
        <v>362868.34</v>
      </c>
      <c r="C39" s="230">
        <f t="shared" si="1"/>
        <v>380355.25</v>
      </c>
      <c r="D39" s="230">
        <f t="shared" si="1"/>
        <v>385421.08</v>
      </c>
      <c r="E39" s="230">
        <f t="shared" si="1"/>
        <v>391565.09</v>
      </c>
      <c r="F39" s="230">
        <f t="shared" si="1"/>
        <v>363735.08</v>
      </c>
      <c r="G39" s="230">
        <f t="shared" si="1"/>
        <v>370469.43</v>
      </c>
      <c r="H39" s="230">
        <f t="shared" si="1"/>
        <v>384073.56</v>
      </c>
      <c r="I39" s="230">
        <f t="shared" si="1"/>
        <v>346884.48</v>
      </c>
      <c r="J39" s="230">
        <f t="shared" si="1"/>
        <v>340934.46</v>
      </c>
      <c r="K39" s="230">
        <f t="shared" si="1"/>
        <v>355535.41</v>
      </c>
      <c r="L39" s="230">
        <f t="shared" si="1"/>
        <v>346184.95</v>
      </c>
      <c r="M39" s="230">
        <f t="shared" si="1"/>
        <v>362068.05</v>
      </c>
      <c r="O39" s="230">
        <f>ROUND(SUBTOTAL(9, O4:O38), 5)</f>
        <v>4390095.18</v>
      </c>
    </row>
    <row r="40" spans="1:15" s="235" customFormat="1">
      <c r="A40" s="232"/>
      <c r="B40" s="233"/>
      <c r="C40" s="233"/>
      <c r="D40" s="233"/>
      <c r="E40" s="233"/>
      <c r="F40" s="233"/>
      <c r="G40" s="233"/>
      <c r="H40" s="233"/>
      <c r="I40" s="233"/>
      <c r="J40" s="233"/>
      <c r="K40" s="233"/>
      <c r="L40" s="233"/>
      <c r="M40" s="233"/>
      <c r="N40" s="234"/>
      <c r="O40" s="224">
        <f t="shared" si="0"/>
        <v>0</v>
      </c>
    </row>
    <row r="41" spans="1:15">
      <c r="A41" s="229" t="s">
        <v>344</v>
      </c>
      <c r="O41" s="224">
        <f t="shared" si="0"/>
        <v>0</v>
      </c>
    </row>
    <row r="42" spans="1:15">
      <c r="A42" s="229" t="s">
        <v>343</v>
      </c>
      <c r="B42" s="231">
        <v>3779.96</v>
      </c>
      <c r="C42" s="231">
        <v>6668.5</v>
      </c>
      <c r="D42" s="231">
        <v>2276.2399999999998</v>
      </c>
      <c r="E42" s="231">
        <v>3029.08</v>
      </c>
      <c r="F42" s="231">
        <v>1783.92</v>
      </c>
      <c r="G42" s="231">
        <v>2004.21</v>
      </c>
      <c r="H42" s="231">
        <v>1820.52</v>
      </c>
      <c r="I42" s="231">
        <v>3083.48</v>
      </c>
      <c r="J42" s="231">
        <v>13.34</v>
      </c>
      <c r="K42" s="231">
        <v>3725.31</v>
      </c>
      <c r="L42" s="231">
        <v>1776.83</v>
      </c>
      <c r="M42" s="231">
        <v>1042.6500000000001</v>
      </c>
      <c r="O42" s="224">
        <f t="shared" si="0"/>
        <v>31004.04</v>
      </c>
    </row>
    <row r="43" spans="1:15">
      <c r="A43" s="229" t="s">
        <v>342</v>
      </c>
      <c r="B43" s="231">
        <v>932.91</v>
      </c>
      <c r="C43" s="231">
        <v>0</v>
      </c>
      <c r="D43" s="231">
        <v>653.02</v>
      </c>
      <c r="E43" s="231">
        <v>100.4</v>
      </c>
      <c r="F43" s="231">
        <v>1251.05</v>
      </c>
      <c r="G43" s="231">
        <v>0</v>
      </c>
      <c r="H43" s="231">
        <v>325.39</v>
      </c>
      <c r="I43" s="231">
        <v>0</v>
      </c>
      <c r="J43" s="231">
        <v>593.85</v>
      </c>
      <c r="K43" s="231">
        <v>40.01</v>
      </c>
      <c r="L43" s="231">
        <v>322.62</v>
      </c>
      <c r="M43" s="231">
        <v>234.25</v>
      </c>
      <c r="O43" s="224">
        <f t="shared" si="0"/>
        <v>4453.5</v>
      </c>
    </row>
    <row r="44" spans="1:15">
      <c r="A44" s="229" t="s">
        <v>341</v>
      </c>
      <c r="B44" s="231">
        <v>208.19</v>
      </c>
      <c r="C44" s="231">
        <v>0</v>
      </c>
      <c r="D44" s="231">
        <v>1578.36</v>
      </c>
      <c r="E44" s="231">
        <v>0</v>
      </c>
      <c r="F44" s="231">
        <v>0</v>
      </c>
      <c r="G44" s="231">
        <v>0</v>
      </c>
      <c r="H44" s="231">
        <v>0</v>
      </c>
      <c r="I44" s="231">
        <v>0</v>
      </c>
      <c r="J44" s="231">
        <v>0</v>
      </c>
      <c r="K44" s="231">
        <v>0</v>
      </c>
      <c r="L44" s="231">
        <v>0</v>
      </c>
      <c r="M44" s="231">
        <v>0</v>
      </c>
      <c r="O44" s="224">
        <f t="shared" si="0"/>
        <v>1786.55</v>
      </c>
    </row>
    <row r="45" spans="1:15">
      <c r="A45" s="229" t="s">
        <v>408</v>
      </c>
      <c r="B45" s="231">
        <v>0</v>
      </c>
      <c r="C45" s="231">
        <v>0</v>
      </c>
      <c r="D45" s="231">
        <v>326.70999999999998</v>
      </c>
      <c r="E45" s="231">
        <v>0</v>
      </c>
      <c r="F45" s="231">
        <v>0</v>
      </c>
      <c r="G45" s="231">
        <v>0</v>
      </c>
      <c r="H45" s="231">
        <v>0</v>
      </c>
      <c r="I45" s="231">
        <v>0</v>
      </c>
      <c r="J45" s="231">
        <v>0</v>
      </c>
      <c r="K45" s="231">
        <v>0</v>
      </c>
      <c r="L45" s="231">
        <v>0</v>
      </c>
      <c r="M45" s="231">
        <v>0</v>
      </c>
      <c r="O45" s="224">
        <f t="shared" si="0"/>
        <v>326.70999999999998</v>
      </c>
    </row>
    <row r="46" spans="1:15">
      <c r="A46" s="229" t="s">
        <v>340</v>
      </c>
      <c r="B46" s="231">
        <v>0</v>
      </c>
      <c r="C46" s="231">
        <v>735.5</v>
      </c>
      <c r="D46" s="231">
        <v>1854.77</v>
      </c>
      <c r="E46" s="231">
        <v>272.43</v>
      </c>
      <c r="F46" s="231">
        <v>0</v>
      </c>
      <c r="G46" s="231">
        <v>0</v>
      </c>
      <c r="H46" s="231">
        <v>1106.0999999999999</v>
      </c>
      <c r="I46" s="231">
        <v>5807.12</v>
      </c>
      <c r="J46" s="231">
        <v>285.08</v>
      </c>
      <c r="K46" s="231">
        <v>381.03</v>
      </c>
      <c r="L46" s="231">
        <v>0</v>
      </c>
      <c r="M46" s="231">
        <v>0</v>
      </c>
      <c r="O46" s="224">
        <f t="shared" si="0"/>
        <v>10442.030000000001</v>
      </c>
    </row>
    <row r="47" spans="1:15">
      <c r="A47" s="229" t="s">
        <v>339</v>
      </c>
      <c r="B47" s="231">
        <v>0</v>
      </c>
      <c r="C47" s="231">
        <v>412.37</v>
      </c>
      <c r="D47" s="231">
        <v>1090.07</v>
      </c>
      <c r="E47" s="231">
        <v>0</v>
      </c>
      <c r="F47" s="231">
        <v>0</v>
      </c>
      <c r="G47" s="231">
        <v>0</v>
      </c>
      <c r="H47" s="231">
        <v>0</v>
      </c>
      <c r="I47" s="231">
        <v>0</v>
      </c>
      <c r="J47" s="231">
        <v>0</v>
      </c>
      <c r="K47" s="231">
        <v>0</v>
      </c>
      <c r="L47" s="231">
        <v>0</v>
      </c>
      <c r="M47" s="231">
        <v>0</v>
      </c>
      <c r="O47" s="224">
        <f t="shared" si="0"/>
        <v>1502.44</v>
      </c>
    </row>
    <row r="48" spans="1:15">
      <c r="A48" s="229" t="s">
        <v>975</v>
      </c>
      <c r="B48" s="231">
        <v>0</v>
      </c>
      <c r="C48" s="231">
        <v>0</v>
      </c>
      <c r="D48" s="231">
        <v>0</v>
      </c>
      <c r="E48" s="231">
        <v>0</v>
      </c>
      <c r="F48" s="231">
        <v>0</v>
      </c>
      <c r="G48" s="231">
        <v>0</v>
      </c>
      <c r="H48" s="231">
        <v>0</v>
      </c>
      <c r="I48" s="231">
        <v>0</v>
      </c>
      <c r="J48" s="231">
        <v>0</v>
      </c>
      <c r="K48" s="231">
        <v>0</v>
      </c>
      <c r="L48" s="231">
        <v>0</v>
      </c>
      <c r="M48" s="231">
        <v>0</v>
      </c>
      <c r="O48" s="224">
        <f t="shared" si="0"/>
        <v>0</v>
      </c>
    </row>
    <row r="49" spans="1:15">
      <c r="A49" s="229" t="s">
        <v>409</v>
      </c>
      <c r="B49" s="231">
        <v>0</v>
      </c>
      <c r="C49" s="231">
        <v>0</v>
      </c>
      <c r="D49" s="231">
        <v>0</v>
      </c>
      <c r="E49" s="231">
        <v>0</v>
      </c>
      <c r="F49" s="231">
        <v>0</v>
      </c>
      <c r="G49" s="231">
        <v>0</v>
      </c>
      <c r="H49" s="231">
        <v>0</v>
      </c>
      <c r="I49" s="231">
        <v>0</v>
      </c>
      <c r="J49" s="231">
        <v>0</v>
      </c>
      <c r="K49" s="231">
        <v>0</v>
      </c>
      <c r="L49" s="231">
        <v>0</v>
      </c>
      <c r="M49" s="231">
        <v>0</v>
      </c>
      <c r="O49" s="224">
        <f t="shared" si="0"/>
        <v>0</v>
      </c>
    </row>
    <row r="50" spans="1:15">
      <c r="A50" s="229" t="s">
        <v>410</v>
      </c>
      <c r="B50" s="231">
        <v>12533.17</v>
      </c>
      <c r="C50" s="231">
        <v>12750.48</v>
      </c>
      <c r="D50" s="231">
        <v>14456.73</v>
      </c>
      <c r="E50" s="231">
        <v>7962.32</v>
      </c>
      <c r="F50" s="231">
        <v>11426.03</v>
      </c>
      <c r="G50" s="231">
        <v>11554.42</v>
      </c>
      <c r="H50" s="231">
        <v>9360.35</v>
      </c>
      <c r="I50" s="231">
        <v>11114.95</v>
      </c>
      <c r="J50" s="231">
        <v>6868.72</v>
      </c>
      <c r="K50" s="231">
        <v>11382.96</v>
      </c>
      <c r="L50" s="231">
        <v>10877.92</v>
      </c>
      <c r="M50" s="231">
        <v>13835.07</v>
      </c>
      <c r="O50" s="224">
        <f t="shared" si="0"/>
        <v>134123.12</v>
      </c>
    </row>
    <row r="51" spans="1:15">
      <c r="A51" s="229" t="s">
        <v>411</v>
      </c>
      <c r="B51" s="231">
        <v>0</v>
      </c>
      <c r="C51" s="231">
        <v>0</v>
      </c>
      <c r="D51" s="231">
        <v>0</v>
      </c>
      <c r="E51" s="231">
        <v>0</v>
      </c>
      <c r="F51" s="231">
        <v>0</v>
      </c>
      <c r="G51" s="231">
        <v>0</v>
      </c>
      <c r="H51" s="231">
        <v>0</v>
      </c>
      <c r="I51" s="231">
        <v>0</v>
      </c>
      <c r="J51" s="231">
        <v>0</v>
      </c>
      <c r="K51" s="231">
        <v>0</v>
      </c>
      <c r="L51" s="231">
        <v>0</v>
      </c>
      <c r="M51" s="231">
        <v>0</v>
      </c>
      <c r="O51" s="224">
        <f t="shared" si="0"/>
        <v>0</v>
      </c>
    </row>
    <row r="52" spans="1:15">
      <c r="A52" s="229" t="s">
        <v>338</v>
      </c>
      <c r="B52" s="231">
        <v>200.76</v>
      </c>
      <c r="C52" s="231">
        <v>278.19</v>
      </c>
      <c r="D52" s="231">
        <v>354.17</v>
      </c>
      <c r="E52" s="231">
        <v>566.59</v>
      </c>
      <c r="F52" s="231">
        <v>88.51</v>
      </c>
      <c r="G52" s="231">
        <v>536</v>
      </c>
      <c r="H52" s="231">
        <v>499.08</v>
      </c>
      <c r="I52" s="231">
        <v>33.97</v>
      </c>
      <c r="J52" s="231">
        <v>239.65</v>
      </c>
      <c r="K52" s="231">
        <v>702.58</v>
      </c>
      <c r="L52" s="231">
        <v>1104.78</v>
      </c>
      <c r="M52" s="231">
        <v>748.33</v>
      </c>
      <c r="O52" s="224">
        <f t="shared" si="0"/>
        <v>5352.61</v>
      </c>
    </row>
    <row r="53" spans="1:15">
      <c r="A53" s="229" t="s">
        <v>412</v>
      </c>
      <c r="B53" s="231">
        <v>411.87</v>
      </c>
      <c r="C53" s="231">
        <v>283.75</v>
      </c>
      <c r="D53" s="231">
        <v>454.35</v>
      </c>
      <c r="E53" s="231">
        <v>1465.09</v>
      </c>
      <c r="F53" s="231">
        <v>1229.4000000000001</v>
      </c>
      <c r="G53" s="231">
        <v>1048.25</v>
      </c>
      <c r="H53" s="231">
        <v>15.21</v>
      </c>
      <c r="I53" s="231">
        <v>1692.92</v>
      </c>
      <c r="J53" s="231">
        <v>984.86</v>
      </c>
      <c r="K53" s="231">
        <v>122.78</v>
      </c>
      <c r="L53" s="231">
        <v>1217.44</v>
      </c>
      <c r="M53" s="231">
        <v>609.38</v>
      </c>
      <c r="O53" s="224">
        <f t="shared" si="0"/>
        <v>9535.2999999999993</v>
      </c>
    </row>
    <row r="54" spans="1:15">
      <c r="A54" s="229" t="s">
        <v>337</v>
      </c>
      <c r="B54" s="231">
        <v>4209.37</v>
      </c>
      <c r="C54" s="231">
        <v>2991.81</v>
      </c>
      <c r="D54" s="231">
        <v>3742.58</v>
      </c>
      <c r="E54" s="231">
        <v>11689.15</v>
      </c>
      <c r="F54" s="231">
        <v>7707.48</v>
      </c>
      <c r="G54" s="231">
        <v>7207.52</v>
      </c>
      <c r="H54" s="231">
        <v>3782.76</v>
      </c>
      <c r="I54" s="231">
        <v>3305.58</v>
      </c>
      <c r="J54" s="231">
        <v>2782.01</v>
      </c>
      <c r="K54" s="231">
        <v>3039.04</v>
      </c>
      <c r="L54" s="231">
        <v>9482.36</v>
      </c>
      <c r="M54" s="231">
        <v>6155.77</v>
      </c>
      <c r="O54" s="224">
        <f t="shared" si="0"/>
        <v>66095.430000000008</v>
      </c>
    </row>
    <row r="55" spans="1:15">
      <c r="A55" s="229" t="s">
        <v>336</v>
      </c>
      <c r="B55" s="231">
        <v>20692.05</v>
      </c>
      <c r="C55" s="231">
        <v>31923.5</v>
      </c>
      <c r="D55" s="231">
        <v>35259.480000000003</v>
      </c>
      <c r="E55" s="231">
        <v>30174.240000000002</v>
      </c>
      <c r="F55" s="231">
        <v>33784.06</v>
      </c>
      <c r="G55" s="231">
        <v>32236.61</v>
      </c>
      <c r="H55" s="231">
        <v>25670.66</v>
      </c>
      <c r="I55" s="231">
        <v>32574.97</v>
      </c>
      <c r="J55" s="231">
        <v>45536.02</v>
      </c>
      <c r="K55" s="231">
        <v>32517.200000000001</v>
      </c>
      <c r="L55" s="231">
        <v>26150.26</v>
      </c>
      <c r="M55" s="231">
        <v>35736.99</v>
      </c>
      <c r="O55" s="224">
        <f t="shared" si="0"/>
        <v>382256.04000000004</v>
      </c>
    </row>
    <row r="56" spans="1:15">
      <c r="A56" s="229" t="s">
        <v>335</v>
      </c>
      <c r="B56" s="231">
        <v>0</v>
      </c>
      <c r="C56" s="231">
        <v>0</v>
      </c>
      <c r="D56" s="231">
        <v>227.53</v>
      </c>
      <c r="E56" s="231">
        <v>-227.53</v>
      </c>
      <c r="F56" s="231">
        <v>0</v>
      </c>
      <c r="G56" s="231">
        <v>0</v>
      </c>
      <c r="H56" s="231">
        <v>0</v>
      </c>
      <c r="I56" s="231">
        <v>0</v>
      </c>
      <c r="J56" s="231">
        <v>0</v>
      </c>
      <c r="K56" s="231">
        <v>0</v>
      </c>
      <c r="L56" s="231">
        <v>0</v>
      </c>
      <c r="M56" s="231">
        <v>0</v>
      </c>
      <c r="O56" s="224">
        <f t="shared" si="0"/>
        <v>0</v>
      </c>
    </row>
    <row r="57" spans="1:15">
      <c r="A57" s="229" t="s">
        <v>334</v>
      </c>
      <c r="B57" s="231">
        <v>40657.629999999997</v>
      </c>
      <c r="C57" s="231">
        <v>36672.11</v>
      </c>
      <c r="D57" s="231">
        <v>39772.660000000003</v>
      </c>
      <c r="E57" s="231">
        <v>35018.39</v>
      </c>
      <c r="F57" s="231">
        <v>38406.39</v>
      </c>
      <c r="G57" s="231">
        <v>39255.64</v>
      </c>
      <c r="H57" s="231">
        <v>38170.6</v>
      </c>
      <c r="I57" s="231">
        <v>41854.519999999997</v>
      </c>
      <c r="J57" s="231">
        <v>50931.71</v>
      </c>
      <c r="K57" s="231">
        <v>43179.839999999997</v>
      </c>
      <c r="L57" s="231">
        <v>51934.26</v>
      </c>
      <c r="M57" s="231">
        <v>52554.61</v>
      </c>
      <c r="O57" s="224">
        <f t="shared" si="0"/>
        <v>508408.36</v>
      </c>
    </row>
    <row r="58" spans="1:15">
      <c r="A58" s="229" t="s">
        <v>333</v>
      </c>
      <c r="B58" s="231">
        <v>16965.78</v>
      </c>
      <c r="C58" s="231">
        <v>19720.330000000002</v>
      </c>
      <c r="D58" s="231">
        <v>19173.97</v>
      </c>
      <c r="E58" s="231">
        <v>18179.57</v>
      </c>
      <c r="F58" s="231">
        <v>20648.11</v>
      </c>
      <c r="G58" s="231">
        <v>18979.18</v>
      </c>
      <c r="H58" s="231">
        <v>20462.32</v>
      </c>
      <c r="I58" s="231">
        <v>21982.91</v>
      </c>
      <c r="J58" s="231">
        <v>19584.52</v>
      </c>
      <c r="K58" s="231">
        <v>19785.3</v>
      </c>
      <c r="L58" s="231">
        <v>18385.77</v>
      </c>
      <c r="M58" s="231">
        <v>18368.02</v>
      </c>
      <c r="O58" s="224">
        <f t="shared" si="0"/>
        <v>232235.77999999997</v>
      </c>
    </row>
    <row r="59" spans="1:15">
      <c r="A59" s="229" t="s">
        <v>438</v>
      </c>
      <c r="B59" s="231">
        <v>0</v>
      </c>
      <c r="C59" s="231">
        <v>0</v>
      </c>
      <c r="D59" s="231">
        <v>0</v>
      </c>
      <c r="E59" s="231">
        <v>0</v>
      </c>
      <c r="F59" s="231">
        <v>0</v>
      </c>
      <c r="G59" s="231">
        <v>0</v>
      </c>
      <c r="H59" s="231">
        <v>0</v>
      </c>
      <c r="I59" s="231">
        <v>0</v>
      </c>
      <c r="J59" s="231">
        <v>0</v>
      </c>
      <c r="K59" s="231">
        <v>0</v>
      </c>
      <c r="L59" s="231">
        <v>0</v>
      </c>
      <c r="M59" s="231">
        <v>0</v>
      </c>
      <c r="O59" s="224">
        <f t="shared" si="0"/>
        <v>0</v>
      </c>
    </row>
    <row r="60" spans="1:15">
      <c r="A60" s="229" t="s">
        <v>332</v>
      </c>
      <c r="B60" s="231">
        <v>60613.34</v>
      </c>
      <c r="C60" s="231">
        <v>75310.429999999993</v>
      </c>
      <c r="D60" s="231">
        <v>68762.87</v>
      </c>
      <c r="E60" s="231">
        <v>65112.160000000003</v>
      </c>
      <c r="F60" s="231">
        <v>71804.990000000005</v>
      </c>
      <c r="G60" s="231">
        <v>63182.8</v>
      </c>
      <c r="H60" s="231">
        <v>67492.759999999995</v>
      </c>
      <c r="I60" s="231">
        <v>69557.75</v>
      </c>
      <c r="J60" s="231">
        <v>61848.23</v>
      </c>
      <c r="K60" s="231">
        <v>70112.59</v>
      </c>
      <c r="L60" s="231">
        <v>57961.96</v>
      </c>
      <c r="M60" s="231">
        <v>67336.19</v>
      </c>
      <c r="O60" s="224">
        <f t="shared" si="0"/>
        <v>799096.06999999983</v>
      </c>
    </row>
    <row r="61" spans="1:15">
      <c r="A61" s="229" t="s">
        <v>148</v>
      </c>
      <c r="B61" s="231">
        <v>23879.75</v>
      </c>
      <c r="C61" s="231">
        <v>31763.200000000001</v>
      </c>
      <c r="D61" s="231">
        <v>32518.89</v>
      </c>
      <c r="E61" s="231">
        <v>27194.66</v>
      </c>
      <c r="F61" s="231">
        <v>16547.78</v>
      </c>
      <c r="G61" s="231">
        <v>18452.240000000002</v>
      </c>
      <c r="H61" s="231">
        <v>28618.31</v>
      </c>
      <c r="I61" s="231">
        <v>16405.939999999999</v>
      </c>
      <c r="J61" s="231">
        <v>13204.73</v>
      </c>
      <c r="K61" s="231">
        <v>18598.8</v>
      </c>
      <c r="L61" s="231">
        <v>17668.349999999999</v>
      </c>
      <c r="M61" s="231">
        <v>21089.200000000001</v>
      </c>
      <c r="O61" s="224">
        <f t="shared" si="0"/>
        <v>265941.84999999998</v>
      </c>
    </row>
    <row r="62" spans="1:15">
      <c r="A62" s="229" t="s">
        <v>149</v>
      </c>
      <c r="B62" s="231">
        <v>2677.17</v>
      </c>
      <c r="C62" s="231">
        <v>2635.36</v>
      </c>
      <c r="D62" s="231">
        <v>2443.14</v>
      </c>
      <c r="E62" s="231">
        <v>4172.07</v>
      </c>
      <c r="F62" s="231">
        <v>3281.47</v>
      </c>
      <c r="G62" s="231">
        <v>3280.04</v>
      </c>
      <c r="H62" s="231">
        <v>2606.98</v>
      </c>
      <c r="I62" s="231">
        <v>2029.53</v>
      </c>
      <c r="J62" s="231">
        <v>1868.25</v>
      </c>
      <c r="K62" s="231">
        <v>1867.25</v>
      </c>
      <c r="L62" s="231">
        <v>2207.7399999999998</v>
      </c>
      <c r="M62" s="231">
        <v>2666.3</v>
      </c>
      <c r="O62" s="224">
        <f t="shared" si="0"/>
        <v>31735.3</v>
      </c>
    </row>
    <row r="63" spans="1:15">
      <c r="A63" s="229" t="s">
        <v>331</v>
      </c>
      <c r="B63" s="231">
        <v>0</v>
      </c>
      <c r="C63" s="231">
        <v>0</v>
      </c>
      <c r="D63" s="231">
        <v>0</v>
      </c>
      <c r="E63" s="231">
        <v>0</v>
      </c>
      <c r="F63" s="231">
        <v>0</v>
      </c>
      <c r="G63" s="231">
        <v>0</v>
      </c>
      <c r="H63" s="231">
        <v>0</v>
      </c>
      <c r="I63" s="231">
        <v>0</v>
      </c>
      <c r="J63" s="231">
        <v>0</v>
      </c>
      <c r="K63" s="231">
        <v>0</v>
      </c>
      <c r="L63" s="231">
        <v>0</v>
      </c>
      <c r="M63" s="231">
        <v>0</v>
      </c>
      <c r="O63" s="224">
        <f t="shared" si="0"/>
        <v>0</v>
      </c>
    </row>
    <row r="64" spans="1:15">
      <c r="A64" s="229" t="s">
        <v>159</v>
      </c>
      <c r="B64" s="231">
        <v>0</v>
      </c>
      <c r="C64" s="231">
        <v>0</v>
      </c>
      <c r="D64" s="231">
        <v>0</v>
      </c>
      <c r="E64" s="231">
        <v>0</v>
      </c>
      <c r="F64" s="231">
        <v>0</v>
      </c>
      <c r="G64" s="231">
        <v>0</v>
      </c>
      <c r="H64" s="231">
        <v>0</v>
      </c>
      <c r="I64" s="231">
        <v>0</v>
      </c>
      <c r="J64" s="231">
        <v>0</v>
      </c>
      <c r="K64" s="231">
        <v>0</v>
      </c>
      <c r="L64" s="231">
        <v>0</v>
      </c>
      <c r="M64" s="231">
        <v>0</v>
      </c>
      <c r="O64" s="224">
        <f t="shared" si="0"/>
        <v>0</v>
      </c>
    </row>
    <row r="65" spans="1:15">
      <c r="A65" s="229" t="s">
        <v>413</v>
      </c>
      <c r="B65" s="231">
        <v>2000</v>
      </c>
      <c r="C65" s="231">
        <v>2000</v>
      </c>
      <c r="D65" s="231">
        <v>2000</v>
      </c>
      <c r="E65" s="231">
        <v>2000</v>
      </c>
      <c r="F65" s="231">
        <v>2000</v>
      </c>
      <c r="G65" s="231">
        <v>2000</v>
      </c>
      <c r="H65" s="231">
        <v>2000</v>
      </c>
      <c r="I65" s="231">
        <v>2000</v>
      </c>
      <c r="J65" s="231">
        <v>2000</v>
      </c>
      <c r="K65" s="231">
        <v>2000</v>
      </c>
      <c r="L65" s="231">
        <v>2000</v>
      </c>
      <c r="M65" s="231">
        <v>2000</v>
      </c>
      <c r="O65" s="224">
        <f t="shared" si="0"/>
        <v>24000</v>
      </c>
    </row>
    <row r="66" spans="1:15">
      <c r="A66" s="229" t="s">
        <v>330</v>
      </c>
      <c r="B66" s="231">
        <v>983</v>
      </c>
      <c r="C66" s="231">
        <v>2312.4</v>
      </c>
      <c r="D66" s="231">
        <v>2257.6</v>
      </c>
      <c r="E66" s="231">
        <v>645</v>
      </c>
      <c r="F66" s="231">
        <v>580.9</v>
      </c>
      <c r="G66" s="231">
        <v>0</v>
      </c>
      <c r="H66" s="231">
        <v>164.5</v>
      </c>
      <c r="I66" s="231">
        <v>465.4</v>
      </c>
      <c r="J66" s="231">
        <v>198.2</v>
      </c>
      <c r="K66" s="231">
        <v>775</v>
      </c>
      <c r="L66" s="231">
        <v>2538.6</v>
      </c>
      <c r="M66" s="231">
        <v>1896.3</v>
      </c>
      <c r="O66" s="224">
        <f t="shared" si="0"/>
        <v>12816.9</v>
      </c>
    </row>
    <row r="67" spans="1:15">
      <c r="A67" s="229" t="s">
        <v>329</v>
      </c>
      <c r="B67" s="231">
        <v>0</v>
      </c>
      <c r="C67" s="231">
        <v>0</v>
      </c>
      <c r="D67" s="231">
        <v>0</v>
      </c>
      <c r="E67" s="231">
        <v>0</v>
      </c>
      <c r="F67" s="231">
        <v>450</v>
      </c>
      <c r="G67" s="231">
        <v>0</v>
      </c>
      <c r="H67" s="231">
        <v>0</v>
      </c>
      <c r="I67" s="231">
        <v>0</v>
      </c>
      <c r="J67" s="231">
        <v>0</v>
      </c>
      <c r="K67" s="231">
        <v>0</v>
      </c>
      <c r="L67" s="231">
        <v>0</v>
      </c>
      <c r="M67" s="231">
        <v>450</v>
      </c>
      <c r="O67" s="224">
        <f t="shared" si="0"/>
        <v>900</v>
      </c>
    </row>
    <row r="68" spans="1:15">
      <c r="A68" s="229" t="s">
        <v>150</v>
      </c>
      <c r="B68" s="231">
        <v>0</v>
      </c>
      <c r="C68" s="231">
        <v>0</v>
      </c>
      <c r="D68" s="231">
        <v>0</v>
      </c>
      <c r="E68" s="231">
        <v>0</v>
      </c>
      <c r="F68" s="231">
        <v>0</v>
      </c>
      <c r="G68" s="231">
        <v>0</v>
      </c>
      <c r="H68" s="231">
        <v>0</v>
      </c>
      <c r="I68" s="231">
        <v>0</v>
      </c>
      <c r="J68" s="231">
        <v>0</v>
      </c>
      <c r="K68" s="231">
        <v>0</v>
      </c>
      <c r="L68" s="231">
        <v>0</v>
      </c>
      <c r="M68" s="231">
        <v>0</v>
      </c>
      <c r="O68" s="224">
        <f t="shared" si="0"/>
        <v>0</v>
      </c>
    </row>
    <row r="69" spans="1:15">
      <c r="A69" s="229" t="s">
        <v>328</v>
      </c>
      <c r="B69" s="231">
        <v>3407.95</v>
      </c>
      <c r="C69" s="231">
        <v>3923.44</v>
      </c>
      <c r="D69" s="231">
        <v>4701.9799999999996</v>
      </c>
      <c r="E69" s="231">
        <v>3985.89</v>
      </c>
      <c r="F69" s="231">
        <v>3975.99</v>
      </c>
      <c r="G69" s="231">
        <v>3247.15</v>
      </c>
      <c r="H69" s="231">
        <v>7470.29</v>
      </c>
      <c r="I69" s="231">
        <v>4068.27</v>
      </c>
      <c r="J69" s="231">
        <v>10078.129999999999</v>
      </c>
      <c r="K69" s="231">
        <v>4154.66</v>
      </c>
      <c r="L69" s="231">
        <v>4527</v>
      </c>
      <c r="M69" s="231">
        <v>3984.51</v>
      </c>
      <c r="O69" s="224">
        <f t="shared" si="0"/>
        <v>57525.26</v>
      </c>
    </row>
    <row r="70" spans="1:15">
      <c r="A70" s="229" t="s">
        <v>327</v>
      </c>
      <c r="B70" s="231">
        <v>17000</v>
      </c>
      <c r="C70" s="231">
        <v>17000</v>
      </c>
      <c r="D70" s="231">
        <v>17000</v>
      </c>
      <c r="E70" s="231">
        <v>17000</v>
      </c>
      <c r="F70" s="231">
        <v>17000</v>
      </c>
      <c r="G70" s="231">
        <v>17000</v>
      </c>
      <c r="H70" s="231">
        <v>17000</v>
      </c>
      <c r="I70" s="231">
        <v>17000</v>
      </c>
      <c r="J70" s="231">
        <v>17000</v>
      </c>
      <c r="K70" s="231">
        <v>17000</v>
      </c>
      <c r="L70" s="231">
        <v>17000</v>
      </c>
      <c r="M70" s="231">
        <v>17000</v>
      </c>
      <c r="O70" s="224">
        <f t="shared" si="0"/>
        <v>204000</v>
      </c>
    </row>
    <row r="71" spans="1:15">
      <c r="A71" s="229" t="s">
        <v>414</v>
      </c>
      <c r="B71" s="231">
        <v>3414.02</v>
      </c>
      <c r="C71" s="231">
        <v>3414.02</v>
      </c>
      <c r="D71" s="231">
        <v>1491.11</v>
      </c>
      <c r="E71" s="231">
        <v>4139.0200000000004</v>
      </c>
      <c r="F71" s="231">
        <v>4139.0200000000004</v>
      </c>
      <c r="G71" s="231">
        <v>4139.0200000000004</v>
      </c>
      <c r="H71" s="231">
        <v>4139.0200000000004</v>
      </c>
      <c r="I71" s="231">
        <v>4139.0200000000004</v>
      </c>
      <c r="J71" s="231">
        <v>4139.0200000000004</v>
      </c>
      <c r="K71" s="231">
        <v>4139.0200000000004</v>
      </c>
      <c r="L71" s="231">
        <v>4139.0200000000004</v>
      </c>
      <c r="M71" s="231">
        <v>4139.0200000000004</v>
      </c>
      <c r="O71" s="224">
        <f t="shared" si="0"/>
        <v>45570.330000000016</v>
      </c>
    </row>
    <row r="72" spans="1:15">
      <c r="A72" s="229" t="s">
        <v>415</v>
      </c>
      <c r="B72" s="231">
        <v>0</v>
      </c>
      <c r="C72" s="231">
        <v>0</v>
      </c>
      <c r="D72" s="231">
        <v>0</v>
      </c>
      <c r="E72" s="231">
        <v>1248</v>
      </c>
      <c r="F72" s="231">
        <v>1248</v>
      </c>
      <c r="G72" s="231">
        <v>1248</v>
      </c>
      <c r="H72" s="231">
        <v>1248</v>
      </c>
      <c r="I72" s="231">
        <v>1248</v>
      </c>
      <c r="J72" s="231">
        <v>1248</v>
      </c>
      <c r="K72" s="231">
        <v>1248</v>
      </c>
      <c r="L72" s="231">
        <v>1248</v>
      </c>
      <c r="M72" s="231">
        <v>1248</v>
      </c>
      <c r="O72" s="224">
        <f t="shared" si="0"/>
        <v>11232</v>
      </c>
    </row>
    <row r="73" spans="1:15">
      <c r="A73" s="229" t="s">
        <v>416</v>
      </c>
      <c r="B73" s="231">
        <v>0</v>
      </c>
      <c r="C73" s="231">
        <v>0</v>
      </c>
      <c r="D73" s="231">
        <v>0</v>
      </c>
      <c r="E73" s="231">
        <v>0</v>
      </c>
      <c r="F73" s="231">
        <v>0</v>
      </c>
      <c r="G73" s="231">
        <v>0</v>
      </c>
      <c r="H73" s="231">
        <v>0</v>
      </c>
      <c r="I73" s="231">
        <v>0</v>
      </c>
      <c r="J73" s="231">
        <v>0</v>
      </c>
      <c r="K73" s="231">
        <v>0</v>
      </c>
      <c r="L73" s="231">
        <v>0</v>
      </c>
      <c r="M73" s="231">
        <v>0</v>
      </c>
      <c r="O73" s="224">
        <f t="shared" si="0"/>
        <v>0</v>
      </c>
    </row>
    <row r="74" spans="1:15">
      <c r="A74" s="229" t="s">
        <v>151</v>
      </c>
      <c r="B74" s="231">
        <v>0</v>
      </c>
      <c r="C74" s="231">
        <v>0</v>
      </c>
      <c r="D74" s="231">
        <v>-8551</v>
      </c>
      <c r="E74" s="231">
        <v>0</v>
      </c>
      <c r="F74" s="231">
        <v>0</v>
      </c>
      <c r="G74" s="231">
        <v>0</v>
      </c>
      <c r="H74" s="231">
        <v>0</v>
      </c>
      <c r="I74" s="231">
        <v>0</v>
      </c>
      <c r="J74" s="231">
        <v>0</v>
      </c>
      <c r="K74" s="231">
        <v>0</v>
      </c>
      <c r="L74" s="231">
        <v>0</v>
      </c>
      <c r="M74" s="231">
        <v>0</v>
      </c>
      <c r="O74" s="224">
        <f t="shared" si="0"/>
        <v>-8551</v>
      </c>
    </row>
    <row r="75" spans="1:15">
      <c r="A75" s="229" t="s">
        <v>417</v>
      </c>
      <c r="B75" s="231">
        <v>0</v>
      </c>
      <c r="C75" s="231">
        <v>0</v>
      </c>
      <c r="D75" s="231">
        <v>0</v>
      </c>
      <c r="E75" s="231">
        <v>0</v>
      </c>
      <c r="F75" s="231">
        <v>0</v>
      </c>
      <c r="G75" s="231">
        <v>0</v>
      </c>
      <c r="H75" s="231">
        <v>0</v>
      </c>
      <c r="I75" s="231">
        <v>0</v>
      </c>
      <c r="J75" s="231">
        <v>0</v>
      </c>
      <c r="K75" s="231">
        <v>0</v>
      </c>
      <c r="L75" s="231">
        <v>0</v>
      </c>
      <c r="M75" s="231">
        <v>0</v>
      </c>
      <c r="O75" s="224">
        <f t="shared" si="0"/>
        <v>0</v>
      </c>
    </row>
    <row r="76" spans="1:15">
      <c r="A76" s="229" t="s">
        <v>326</v>
      </c>
      <c r="B76" s="231">
        <v>13553.69</v>
      </c>
      <c r="C76" s="231">
        <v>16027.48</v>
      </c>
      <c r="D76" s="231">
        <v>17378.5</v>
      </c>
      <c r="E76" s="231">
        <v>16024.58</v>
      </c>
      <c r="F76" s="231">
        <v>17687.400000000001</v>
      </c>
      <c r="G76" s="231">
        <v>18758.830000000002</v>
      </c>
      <c r="H76" s="231">
        <v>15938.92</v>
      </c>
      <c r="I76" s="231">
        <v>16873.3</v>
      </c>
      <c r="J76" s="231">
        <v>24054.09</v>
      </c>
      <c r="K76" s="231">
        <v>17023.73</v>
      </c>
      <c r="L76" s="231">
        <v>17467.349999999999</v>
      </c>
      <c r="M76" s="231">
        <v>20814.259999999998</v>
      </c>
      <c r="O76" s="224">
        <f t="shared" ref="O76:O139" si="2">SUM(B76:N76)</f>
        <v>211602.13</v>
      </c>
    </row>
    <row r="77" spans="1:15">
      <c r="A77" s="229" t="s">
        <v>325</v>
      </c>
      <c r="B77" s="231">
        <v>129.80000000000001</v>
      </c>
      <c r="C77" s="231">
        <v>224.4</v>
      </c>
      <c r="D77" s="231">
        <v>0</v>
      </c>
      <c r="E77" s="231">
        <v>0</v>
      </c>
      <c r="F77" s="231">
        <v>0</v>
      </c>
      <c r="G77" s="231">
        <v>2587.5</v>
      </c>
      <c r="H77" s="231">
        <v>296.39999999999998</v>
      </c>
      <c r="I77" s="231">
        <v>0</v>
      </c>
      <c r="J77" s="231">
        <v>0</v>
      </c>
      <c r="K77" s="231">
        <v>0</v>
      </c>
      <c r="L77" s="231">
        <v>0</v>
      </c>
      <c r="M77" s="231">
        <v>762.5</v>
      </c>
      <c r="O77" s="224">
        <f t="shared" si="2"/>
        <v>4000.6</v>
      </c>
    </row>
    <row r="78" spans="1:15">
      <c r="A78" s="229" t="s">
        <v>324</v>
      </c>
      <c r="B78" s="231">
        <v>998.27</v>
      </c>
      <c r="C78" s="231">
        <v>1004.5</v>
      </c>
      <c r="D78" s="231">
        <v>1001.38</v>
      </c>
      <c r="E78" s="231">
        <v>1005.59</v>
      </c>
      <c r="F78" s="231">
        <v>1089.3499999999999</v>
      </c>
      <c r="G78" s="231">
        <v>1033.2</v>
      </c>
      <c r="H78" s="231">
        <v>1077.95</v>
      </c>
      <c r="I78" s="231">
        <v>1523.44</v>
      </c>
      <c r="J78" s="231">
        <v>363.86</v>
      </c>
      <c r="K78" s="231">
        <v>664.65</v>
      </c>
      <c r="L78" s="231">
        <v>538.52</v>
      </c>
      <c r="M78" s="231">
        <v>1195.74</v>
      </c>
      <c r="O78" s="224">
        <f t="shared" si="2"/>
        <v>11496.45</v>
      </c>
    </row>
    <row r="79" spans="1:15">
      <c r="A79" s="229" t="s">
        <v>323</v>
      </c>
      <c r="B79" s="231">
        <v>1070</v>
      </c>
      <c r="C79" s="231">
        <v>1070</v>
      </c>
      <c r="D79" s="231">
        <v>1070</v>
      </c>
      <c r="E79" s="231">
        <v>1070</v>
      </c>
      <c r="F79" s="231">
        <v>1070</v>
      </c>
      <c r="G79" s="231">
        <v>1070</v>
      </c>
      <c r="H79" s="231">
        <v>1070</v>
      </c>
      <c r="I79" s="231">
        <v>2070</v>
      </c>
      <c r="J79" s="231">
        <v>-727.6</v>
      </c>
      <c r="K79" s="231">
        <v>1070</v>
      </c>
      <c r="L79" s="231">
        <v>1070</v>
      </c>
      <c r="M79" s="231">
        <v>1070</v>
      </c>
      <c r="O79" s="224">
        <f t="shared" si="2"/>
        <v>12042.4</v>
      </c>
    </row>
    <row r="80" spans="1:15">
      <c r="A80" s="229" t="s">
        <v>322</v>
      </c>
      <c r="B80" s="231">
        <v>350</v>
      </c>
      <c r="C80" s="231">
        <v>350</v>
      </c>
      <c r="D80" s="231">
        <v>350</v>
      </c>
      <c r="E80" s="231">
        <v>350</v>
      </c>
      <c r="F80" s="231">
        <v>350</v>
      </c>
      <c r="G80" s="231">
        <v>350</v>
      </c>
      <c r="H80" s="231">
        <v>350</v>
      </c>
      <c r="I80" s="231">
        <v>350</v>
      </c>
      <c r="J80" s="231">
        <v>2147.6</v>
      </c>
      <c r="K80" s="231">
        <v>845</v>
      </c>
      <c r="L80" s="231">
        <v>350</v>
      </c>
      <c r="M80" s="231">
        <v>350</v>
      </c>
      <c r="O80" s="224">
        <f t="shared" si="2"/>
        <v>6492.6</v>
      </c>
    </row>
    <row r="81" spans="1:15">
      <c r="A81" s="229" t="s">
        <v>418</v>
      </c>
      <c r="B81" s="231">
        <v>0</v>
      </c>
      <c r="C81" s="231">
        <v>0</v>
      </c>
      <c r="D81" s="231">
        <v>0</v>
      </c>
      <c r="E81" s="231">
        <v>0</v>
      </c>
      <c r="F81" s="231">
        <v>0</v>
      </c>
      <c r="G81" s="231">
        <v>0</v>
      </c>
      <c r="H81" s="231">
        <v>0</v>
      </c>
      <c r="I81" s="231">
        <v>0</v>
      </c>
      <c r="J81" s="231">
        <v>0</v>
      </c>
      <c r="K81" s="231">
        <v>0</v>
      </c>
      <c r="L81" s="231">
        <v>0</v>
      </c>
      <c r="M81" s="231">
        <v>0</v>
      </c>
      <c r="O81" s="224">
        <f t="shared" si="2"/>
        <v>0</v>
      </c>
    </row>
    <row r="82" spans="1:15">
      <c r="A82" s="229" t="s">
        <v>419</v>
      </c>
      <c r="B82" s="231">
        <v>1067.31</v>
      </c>
      <c r="C82" s="231">
        <v>55.5</v>
      </c>
      <c r="D82" s="231">
        <v>0</v>
      </c>
      <c r="E82" s="231">
        <v>1090.8599999999999</v>
      </c>
      <c r="F82" s="231">
        <v>71</v>
      </c>
      <c r="G82" s="231">
        <v>0</v>
      </c>
      <c r="H82" s="231">
        <v>1095.46</v>
      </c>
      <c r="I82" s="231">
        <v>0</v>
      </c>
      <c r="J82" s="231">
        <v>0</v>
      </c>
      <c r="K82" s="231">
        <v>1950.51</v>
      </c>
      <c r="L82" s="231">
        <v>0</v>
      </c>
      <c r="M82" s="231">
        <v>12.6</v>
      </c>
      <c r="O82" s="224">
        <f t="shared" si="2"/>
        <v>5343.2400000000007</v>
      </c>
    </row>
    <row r="83" spans="1:15">
      <c r="A83" s="229" t="s">
        <v>321</v>
      </c>
      <c r="B83" s="231">
        <v>0</v>
      </c>
      <c r="C83" s="231">
        <v>717.84</v>
      </c>
      <c r="D83" s="231">
        <v>0</v>
      </c>
      <c r="E83" s="231">
        <v>2129.8000000000002</v>
      </c>
      <c r="F83" s="231">
        <v>0</v>
      </c>
      <c r="G83" s="231">
        <v>0</v>
      </c>
      <c r="H83" s="231">
        <v>1248.1199999999999</v>
      </c>
      <c r="I83" s="231">
        <v>0</v>
      </c>
      <c r="J83" s="231">
        <v>3246.62</v>
      </c>
      <c r="K83" s="231">
        <v>1991.76</v>
      </c>
      <c r="L83" s="231">
        <v>387.56</v>
      </c>
      <c r="M83" s="231">
        <v>0</v>
      </c>
      <c r="O83" s="224">
        <f t="shared" si="2"/>
        <v>9721.6999999999989</v>
      </c>
    </row>
    <row r="84" spans="1:15">
      <c r="A84" s="229" t="s">
        <v>320</v>
      </c>
      <c r="B84" s="231">
        <v>0</v>
      </c>
      <c r="C84" s="231">
        <v>0</v>
      </c>
      <c r="D84" s="231">
        <v>0</v>
      </c>
      <c r="E84" s="231">
        <v>0</v>
      </c>
      <c r="F84" s="231">
        <v>0</v>
      </c>
      <c r="G84" s="231">
        <v>0</v>
      </c>
      <c r="H84" s="231">
        <v>0</v>
      </c>
      <c r="I84" s="231">
        <v>0</v>
      </c>
      <c r="J84" s="231">
        <v>0</v>
      </c>
      <c r="K84" s="231">
        <v>0</v>
      </c>
      <c r="L84" s="231">
        <v>0</v>
      </c>
      <c r="M84" s="231">
        <v>0</v>
      </c>
      <c r="O84" s="224">
        <f t="shared" si="2"/>
        <v>0</v>
      </c>
    </row>
    <row r="85" spans="1:15">
      <c r="A85" s="229" t="s">
        <v>319</v>
      </c>
      <c r="B85" s="231">
        <v>0</v>
      </c>
      <c r="C85" s="231">
        <v>0</v>
      </c>
      <c r="D85" s="231">
        <v>0</v>
      </c>
      <c r="E85" s="231">
        <v>0</v>
      </c>
      <c r="F85" s="231">
        <v>0</v>
      </c>
      <c r="G85" s="231">
        <v>0</v>
      </c>
      <c r="H85" s="231">
        <v>0</v>
      </c>
      <c r="I85" s="231">
        <v>0</v>
      </c>
      <c r="J85" s="231">
        <v>0</v>
      </c>
      <c r="K85" s="231">
        <v>0</v>
      </c>
      <c r="L85" s="231">
        <v>0</v>
      </c>
      <c r="M85" s="231">
        <v>0</v>
      </c>
      <c r="O85" s="224">
        <f t="shared" si="2"/>
        <v>0</v>
      </c>
    </row>
    <row r="86" spans="1:15">
      <c r="A86" s="229" t="s">
        <v>318</v>
      </c>
      <c r="B86" s="231">
        <v>0</v>
      </c>
      <c r="C86" s="231">
        <v>366.97</v>
      </c>
      <c r="D86" s="231">
        <v>0</v>
      </c>
      <c r="E86" s="231">
        <v>0</v>
      </c>
      <c r="F86" s="231">
        <v>0</v>
      </c>
      <c r="G86" s="231">
        <v>0</v>
      </c>
      <c r="H86" s="231">
        <v>0</v>
      </c>
      <c r="I86" s="231">
        <v>0</v>
      </c>
      <c r="J86" s="231">
        <v>0</v>
      </c>
      <c r="K86" s="231">
        <v>0</v>
      </c>
      <c r="L86" s="231">
        <v>0</v>
      </c>
      <c r="M86" s="231">
        <v>0</v>
      </c>
      <c r="O86" s="224">
        <f t="shared" si="2"/>
        <v>366.97</v>
      </c>
    </row>
    <row r="87" spans="1:15">
      <c r="A87" s="229" t="s">
        <v>317</v>
      </c>
      <c r="B87" s="231">
        <v>0</v>
      </c>
      <c r="C87" s="231">
        <v>0</v>
      </c>
      <c r="D87" s="231">
        <v>0</v>
      </c>
      <c r="E87" s="231">
        <v>0</v>
      </c>
      <c r="F87" s="231">
        <v>0</v>
      </c>
      <c r="G87" s="231">
        <v>0</v>
      </c>
      <c r="H87" s="231">
        <v>0</v>
      </c>
      <c r="I87" s="231">
        <v>0</v>
      </c>
      <c r="J87" s="231">
        <v>0</v>
      </c>
      <c r="K87" s="231">
        <v>0</v>
      </c>
      <c r="L87" s="231">
        <v>0</v>
      </c>
      <c r="M87" s="231">
        <v>0</v>
      </c>
      <c r="O87" s="224">
        <f t="shared" si="2"/>
        <v>0</v>
      </c>
    </row>
    <row r="88" spans="1:15">
      <c r="A88" s="229" t="s">
        <v>316</v>
      </c>
      <c r="B88" s="231">
        <v>493.54</v>
      </c>
      <c r="C88" s="231">
        <v>379.98</v>
      </c>
      <c r="D88" s="231">
        <v>643.02</v>
      </c>
      <c r="E88" s="231">
        <v>703.37</v>
      </c>
      <c r="F88" s="231">
        <v>673.21</v>
      </c>
      <c r="G88" s="231">
        <v>726.48</v>
      </c>
      <c r="H88" s="231">
        <v>1797.14</v>
      </c>
      <c r="I88" s="231">
        <v>1551.38</v>
      </c>
      <c r="J88" s="231">
        <v>1501.99</v>
      </c>
      <c r="K88" s="231">
        <v>2117.37</v>
      </c>
      <c r="L88" s="231">
        <v>2227.92</v>
      </c>
      <c r="M88" s="231">
        <v>2192.9699999999998</v>
      </c>
      <c r="O88" s="224">
        <f t="shared" si="2"/>
        <v>15008.369999999999</v>
      </c>
    </row>
    <row r="89" spans="1:15">
      <c r="A89" s="229" t="s">
        <v>315</v>
      </c>
      <c r="B89" s="231">
        <v>0</v>
      </c>
      <c r="C89" s="231">
        <v>0</v>
      </c>
      <c r="D89" s="231">
        <v>0</v>
      </c>
      <c r="E89" s="231">
        <v>0</v>
      </c>
      <c r="F89" s="231">
        <v>0</v>
      </c>
      <c r="G89" s="231">
        <v>0</v>
      </c>
      <c r="H89" s="231">
        <v>0</v>
      </c>
      <c r="I89" s="231">
        <v>0</v>
      </c>
      <c r="J89" s="231">
        <v>0</v>
      </c>
      <c r="K89" s="231">
        <v>0</v>
      </c>
      <c r="L89" s="231">
        <v>0</v>
      </c>
      <c r="M89" s="231">
        <v>0</v>
      </c>
      <c r="O89" s="224">
        <f t="shared" si="2"/>
        <v>0</v>
      </c>
    </row>
    <row r="90" spans="1:15">
      <c r="A90" s="229" t="s">
        <v>420</v>
      </c>
      <c r="B90" s="231">
        <v>0</v>
      </c>
      <c r="C90" s="231">
        <v>0</v>
      </c>
      <c r="D90" s="231">
        <v>0</v>
      </c>
      <c r="E90" s="231">
        <v>0</v>
      </c>
      <c r="F90" s="231">
        <v>0</v>
      </c>
      <c r="G90" s="231">
        <v>0</v>
      </c>
      <c r="H90" s="231">
        <v>0</v>
      </c>
      <c r="I90" s="231">
        <v>0</v>
      </c>
      <c r="J90" s="231">
        <v>0</v>
      </c>
      <c r="K90" s="231">
        <v>0</v>
      </c>
      <c r="L90" s="231">
        <v>0</v>
      </c>
      <c r="M90" s="231">
        <v>0</v>
      </c>
      <c r="O90" s="224">
        <f t="shared" si="2"/>
        <v>0</v>
      </c>
    </row>
    <row r="91" spans="1:15">
      <c r="A91" s="229" t="s">
        <v>120</v>
      </c>
      <c r="B91" s="231">
        <v>636.19000000000005</v>
      </c>
      <c r="C91" s="231">
        <v>558.16</v>
      </c>
      <c r="D91" s="231">
        <v>572.11</v>
      </c>
      <c r="E91" s="231">
        <v>474.32</v>
      </c>
      <c r="F91" s="231">
        <v>147.87</v>
      </c>
      <c r="G91" s="231">
        <v>1059.73</v>
      </c>
      <c r="H91" s="231">
        <v>1109.83</v>
      </c>
      <c r="I91" s="231">
        <v>602.20000000000005</v>
      </c>
      <c r="J91" s="231">
        <v>1352.73</v>
      </c>
      <c r="K91" s="231">
        <v>772.23</v>
      </c>
      <c r="L91" s="231">
        <v>1006.44</v>
      </c>
      <c r="M91" s="231">
        <v>1395.39</v>
      </c>
      <c r="O91" s="224">
        <f t="shared" si="2"/>
        <v>9687.1999999999989</v>
      </c>
    </row>
    <row r="92" spans="1:15">
      <c r="A92" s="229" t="s">
        <v>314</v>
      </c>
      <c r="B92" s="231">
        <v>0</v>
      </c>
      <c r="C92" s="231">
        <v>441.12</v>
      </c>
      <c r="D92" s="231">
        <v>0</v>
      </c>
      <c r="E92" s="231">
        <v>154.74</v>
      </c>
      <c r="F92" s="231">
        <v>590.91</v>
      </c>
      <c r="G92" s="231">
        <v>0</v>
      </c>
      <c r="H92" s="231">
        <v>23.38</v>
      </c>
      <c r="I92" s="231">
        <v>0</v>
      </c>
      <c r="J92" s="231">
        <v>0</v>
      </c>
      <c r="K92" s="231">
        <v>0</v>
      </c>
      <c r="L92" s="231">
        <v>410.78</v>
      </c>
      <c r="M92" s="231">
        <v>356.11</v>
      </c>
      <c r="O92" s="224">
        <f t="shared" si="2"/>
        <v>1977.04</v>
      </c>
    </row>
    <row r="93" spans="1:15">
      <c r="A93" s="229" t="s">
        <v>313</v>
      </c>
      <c r="B93" s="231">
        <v>0</v>
      </c>
      <c r="C93" s="231">
        <v>0</v>
      </c>
      <c r="D93" s="231">
        <v>0</v>
      </c>
      <c r="E93" s="231">
        <v>0</v>
      </c>
      <c r="F93" s="231">
        <v>0</v>
      </c>
      <c r="G93" s="231">
        <v>0</v>
      </c>
      <c r="H93" s="231">
        <v>0</v>
      </c>
      <c r="I93" s="231">
        <v>0</v>
      </c>
      <c r="J93" s="231">
        <v>0</v>
      </c>
      <c r="K93" s="231">
        <v>0</v>
      </c>
      <c r="L93" s="231">
        <v>0</v>
      </c>
      <c r="M93" s="231">
        <v>0</v>
      </c>
      <c r="O93" s="224">
        <f t="shared" si="2"/>
        <v>0</v>
      </c>
    </row>
    <row r="94" spans="1:15">
      <c r="A94" s="229" t="s">
        <v>312</v>
      </c>
      <c r="B94" s="231">
        <v>866</v>
      </c>
      <c r="C94" s="231">
        <v>0</v>
      </c>
      <c r="D94" s="231">
        <v>93</v>
      </c>
      <c r="E94" s="231">
        <v>0</v>
      </c>
      <c r="F94" s="231">
        <v>166</v>
      </c>
      <c r="G94" s="231">
        <v>190</v>
      </c>
      <c r="H94" s="231">
        <v>103</v>
      </c>
      <c r="I94" s="231">
        <v>111</v>
      </c>
      <c r="J94" s="231">
        <v>44</v>
      </c>
      <c r="K94" s="231">
        <v>268</v>
      </c>
      <c r="L94" s="231">
        <v>460</v>
      </c>
      <c r="M94" s="231">
        <v>0</v>
      </c>
      <c r="O94" s="224">
        <f t="shared" si="2"/>
        <v>2301</v>
      </c>
    </row>
    <row r="95" spans="1:15">
      <c r="A95" s="229" t="s">
        <v>311</v>
      </c>
      <c r="B95" s="231">
        <v>0</v>
      </c>
      <c r="C95" s="231">
        <v>0</v>
      </c>
      <c r="D95" s="231">
        <v>0</v>
      </c>
      <c r="E95" s="231">
        <v>0</v>
      </c>
      <c r="F95" s="231">
        <v>0</v>
      </c>
      <c r="G95" s="231">
        <v>0</v>
      </c>
      <c r="H95" s="231">
        <v>0</v>
      </c>
      <c r="I95" s="231">
        <v>0</v>
      </c>
      <c r="J95" s="231">
        <v>0</v>
      </c>
      <c r="K95" s="231">
        <v>0</v>
      </c>
      <c r="L95" s="231">
        <v>0</v>
      </c>
      <c r="M95" s="231">
        <v>0</v>
      </c>
      <c r="O95" s="224">
        <f t="shared" si="2"/>
        <v>0</v>
      </c>
    </row>
    <row r="96" spans="1:15">
      <c r="A96" s="229" t="s">
        <v>310</v>
      </c>
      <c r="B96" s="231">
        <v>212.5</v>
      </c>
      <c r="C96" s="231">
        <v>432.09</v>
      </c>
      <c r="D96" s="231">
        <v>495.84</v>
      </c>
      <c r="E96" s="231">
        <v>354.17</v>
      </c>
      <c r="F96" s="231">
        <v>784.59</v>
      </c>
      <c r="G96" s="231">
        <v>417.92</v>
      </c>
      <c r="H96" s="231">
        <v>191.25</v>
      </c>
      <c r="I96" s="231">
        <v>347.08</v>
      </c>
      <c r="J96" s="231">
        <v>63.33</v>
      </c>
      <c r="K96" s="231">
        <v>498.75</v>
      </c>
      <c r="L96" s="231">
        <v>568.66999999999996</v>
      </c>
      <c r="M96" s="231">
        <v>126.67</v>
      </c>
      <c r="O96" s="224">
        <f t="shared" si="2"/>
        <v>4492.8599999999997</v>
      </c>
    </row>
    <row r="97" spans="1:15">
      <c r="A97" s="229" t="s">
        <v>309</v>
      </c>
      <c r="B97" s="231">
        <v>0</v>
      </c>
      <c r="C97" s="231">
        <v>1755</v>
      </c>
      <c r="D97" s="231">
        <v>0</v>
      </c>
      <c r="E97" s="231">
        <v>0</v>
      </c>
      <c r="F97" s="231">
        <v>0</v>
      </c>
      <c r="G97" s="231">
        <v>0</v>
      </c>
      <c r="H97" s="231">
        <v>640</v>
      </c>
      <c r="I97" s="231">
        <v>0</v>
      </c>
      <c r="J97" s="231">
        <v>3424.63</v>
      </c>
      <c r="K97" s="231">
        <v>0</v>
      </c>
      <c r="L97" s="231">
        <v>0</v>
      </c>
      <c r="M97" s="231">
        <v>0</v>
      </c>
      <c r="O97" s="224">
        <f t="shared" si="2"/>
        <v>5819.63</v>
      </c>
    </row>
    <row r="98" spans="1:15">
      <c r="A98" s="229" t="s">
        <v>308</v>
      </c>
      <c r="B98" s="231">
        <v>200</v>
      </c>
      <c r="C98" s="231">
        <v>215</v>
      </c>
      <c r="D98" s="231">
        <v>0</v>
      </c>
      <c r="E98" s="231">
        <v>200</v>
      </c>
      <c r="F98" s="231">
        <v>136.54</v>
      </c>
      <c r="G98" s="231">
        <v>0</v>
      </c>
      <c r="H98" s="231">
        <v>197.51</v>
      </c>
      <c r="I98" s="231">
        <v>0</v>
      </c>
      <c r="J98" s="231">
        <v>1579.46</v>
      </c>
      <c r="K98" s="231">
        <v>238.32</v>
      </c>
      <c r="L98" s="231">
        <v>1098.58</v>
      </c>
      <c r="M98" s="231">
        <v>0</v>
      </c>
      <c r="O98" s="224">
        <f t="shared" si="2"/>
        <v>3865.4100000000003</v>
      </c>
    </row>
    <row r="99" spans="1:15">
      <c r="A99" s="229" t="s">
        <v>307</v>
      </c>
      <c r="B99" s="231">
        <v>0</v>
      </c>
      <c r="C99" s="231">
        <v>0</v>
      </c>
      <c r="D99" s="231">
        <v>0</v>
      </c>
      <c r="E99" s="231">
        <v>0</v>
      </c>
      <c r="F99" s="231">
        <v>0</v>
      </c>
      <c r="G99" s="231">
        <v>0</v>
      </c>
      <c r="H99" s="231">
        <v>0</v>
      </c>
      <c r="I99" s="231">
        <v>0</v>
      </c>
      <c r="J99" s="231">
        <v>0</v>
      </c>
      <c r="K99" s="231">
        <v>0</v>
      </c>
      <c r="L99" s="231">
        <v>0</v>
      </c>
      <c r="M99" s="231">
        <v>0</v>
      </c>
      <c r="O99" s="224">
        <f t="shared" si="2"/>
        <v>0</v>
      </c>
    </row>
    <row r="100" spans="1:15">
      <c r="A100" s="229" t="s">
        <v>421</v>
      </c>
      <c r="B100" s="231">
        <v>0</v>
      </c>
      <c r="C100" s="231">
        <v>0</v>
      </c>
      <c r="D100" s="231">
        <v>0</v>
      </c>
      <c r="E100" s="231">
        <v>0</v>
      </c>
      <c r="F100" s="231">
        <v>0</v>
      </c>
      <c r="G100" s="231">
        <v>0</v>
      </c>
      <c r="H100" s="231">
        <v>0</v>
      </c>
      <c r="I100" s="231">
        <v>0</v>
      </c>
      <c r="J100" s="231">
        <v>0</v>
      </c>
      <c r="K100" s="231">
        <v>0</v>
      </c>
      <c r="L100" s="231">
        <v>0</v>
      </c>
      <c r="M100" s="231">
        <v>0</v>
      </c>
      <c r="O100" s="224">
        <f t="shared" si="2"/>
        <v>0</v>
      </c>
    </row>
    <row r="101" spans="1:15" ht="12" customHeight="1">
      <c r="A101" s="229" t="s">
        <v>306</v>
      </c>
      <c r="B101" s="231">
        <v>0</v>
      </c>
      <c r="C101" s="231">
        <v>0</v>
      </c>
      <c r="D101" s="231">
        <v>0</v>
      </c>
      <c r="E101" s="231">
        <v>0</v>
      </c>
      <c r="F101" s="231">
        <v>0</v>
      </c>
      <c r="G101" s="231">
        <v>0</v>
      </c>
      <c r="H101" s="231">
        <v>0</v>
      </c>
      <c r="I101" s="231">
        <v>0</v>
      </c>
      <c r="J101" s="231">
        <v>0</v>
      </c>
      <c r="K101" s="231">
        <v>0</v>
      </c>
      <c r="L101" s="231">
        <v>0</v>
      </c>
      <c r="M101" s="231">
        <v>0</v>
      </c>
      <c r="O101" s="224">
        <f t="shared" si="2"/>
        <v>0</v>
      </c>
    </row>
    <row r="102" spans="1:15" ht="12" customHeight="1">
      <c r="A102" s="229" t="s">
        <v>422</v>
      </c>
      <c r="B102" s="231">
        <v>0</v>
      </c>
      <c r="C102" s="231">
        <v>0</v>
      </c>
      <c r="D102" s="231">
        <v>0</v>
      </c>
      <c r="E102" s="231">
        <v>0</v>
      </c>
      <c r="F102" s="231">
        <v>0</v>
      </c>
      <c r="G102" s="231">
        <v>0</v>
      </c>
      <c r="H102" s="231">
        <v>0</v>
      </c>
      <c r="I102" s="231">
        <v>0</v>
      </c>
      <c r="J102" s="231">
        <v>0</v>
      </c>
      <c r="K102" s="231">
        <v>0</v>
      </c>
      <c r="L102" s="231">
        <v>0</v>
      </c>
      <c r="M102" s="231">
        <v>0</v>
      </c>
      <c r="O102" s="224">
        <f t="shared" si="2"/>
        <v>0</v>
      </c>
    </row>
    <row r="103" spans="1:15" ht="12" customHeight="1">
      <c r="A103" s="229" t="s">
        <v>423</v>
      </c>
      <c r="B103" s="231">
        <v>0</v>
      </c>
      <c r="C103" s="231">
        <v>0</v>
      </c>
      <c r="D103" s="231">
        <v>0</v>
      </c>
      <c r="E103" s="231">
        <v>0</v>
      </c>
      <c r="F103" s="231">
        <v>0</v>
      </c>
      <c r="G103" s="231">
        <v>0</v>
      </c>
      <c r="H103" s="231">
        <v>0</v>
      </c>
      <c r="I103" s="231">
        <v>0</v>
      </c>
      <c r="J103" s="231">
        <v>0</v>
      </c>
      <c r="K103" s="231">
        <v>0</v>
      </c>
      <c r="L103" s="231">
        <v>0</v>
      </c>
      <c r="M103" s="231">
        <v>0</v>
      </c>
      <c r="O103" s="224">
        <f t="shared" si="2"/>
        <v>0</v>
      </c>
    </row>
    <row r="104" spans="1:15" ht="12" customHeight="1">
      <c r="A104" s="229" t="s">
        <v>424</v>
      </c>
      <c r="B104" s="231">
        <v>0</v>
      </c>
      <c r="C104" s="231">
        <v>0</v>
      </c>
      <c r="D104" s="231">
        <v>0</v>
      </c>
      <c r="E104" s="231">
        <v>0</v>
      </c>
      <c r="F104" s="231">
        <v>0</v>
      </c>
      <c r="G104" s="231">
        <v>0</v>
      </c>
      <c r="H104" s="231">
        <v>0</v>
      </c>
      <c r="I104" s="231">
        <v>0</v>
      </c>
      <c r="J104" s="231">
        <v>0</v>
      </c>
      <c r="K104" s="231">
        <v>0</v>
      </c>
      <c r="L104" s="231">
        <v>0</v>
      </c>
      <c r="M104" s="231">
        <v>0</v>
      </c>
      <c r="O104" s="224">
        <f t="shared" si="2"/>
        <v>0</v>
      </c>
    </row>
    <row r="105" spans="1:15">
      <c r="A105" s="229" t="s">
        <v>305</v>
      </c>
      <c r="B105" s="231">
        <v>857.19</v>
      </c>
      <c r="C105" s="231">
        <v>796.7</v>
      </c>
      <c r="D105" s="231">
        <v>779.65</v>
      </c>
      <c r="E105" s="231">
        <v>762.53</v>
      </c>
      <c r="F105" s="231">
        <v>745.36</v>
      </c>
      <c r="G105" s="231">
        <v>1500.64</v>
      </c>
      <c r="H105" s="231">
        <v>1575.43</v>
      </c>
      <c r="I105" s="231">
        <v>1458.83</v>
      </c>
      <c r="J105" s="231">
        <v>1417.08</v>
      </c>
      <c r="K105" s="231">
        <v>1375.21</v>
      </c>
      <c r="L105" s="231">
        <v>1333.22</v>
      </c>
      <c r="M105" s="231">
        <v>1291.1099999999999</v>
      </c>
      <c r="O105" s="224">
        <f t="shared" si="2"/>
        <v>13892.949999999999</v>
      </c>
    </row>
    <row r="106" spans="1:15">
      <c r="A106" s="229" t="s">
        <v>304</v>
      </c>
      <c r="B106" s="231">
        <v>0</v>
      </c>
      <c r="C106" s="231">
        <v>0</v>
      </c>
      <c r="D106" s="231">
        <v>0</v>
      </c>
      <c r="E106" s="231">
        <v>0</v>
      </c>
      <c r="F106" s="231">
        <v>0</v>
      </c>
      <c r="G106" s="231">
        <v>0</v>
      </c>
      <c r="H106" s="231">
        <v>0</v>
      </c>
      <c r="I106" s="231">
        <v>0</v>
      </c>
      <c r="J106" s="231">
        <v>0</v>
      </c>
      <c r="K106" s="231">
        <v>0</v>
      </c>
      <c r="L106" s="231">
        <v>0</v>
      </c>
      <c r="M106" s="231">
        <v>0</v>
      </c>
      <c r="O106" s="224">
        <f t="shared" si="2"/>
        <v>0</v>
      </c>
    </row>
    <row r="107" spans="1:15">
      <c r="A107" s="229" t="s">
        <v>42</v>
      </c>
      <c r="B107" s="231">
        <v>567.16</v>
      </c>
      <c r="C107" s="231">
        <v>306.23</v>
      </c>
      <c r="D107" s="231">
        <v>736.93</v>
      </c>
      <c r="E107" s="231">
        <v>270.87</v>
      </c>
      <c r="F107" s="231">
        <v>270.27</v>
      </c>
      <c r="G107" s="231">
        <v>816.83</v>
      </c>
      <c r="H107" s="231">
        <v>1803.68</v>
      </c>
      <c r="I107" s="231">
        <v>544.66</v>
      </c>
      <c r="J107" s="231">
        <v>1368.2</v>
      </c>
      <c r="K107" s="231">
        <v>382.28</v>
      </c>
      <c r="L107" s="231">
        <v>3569.11</v>
      </c>
      <c r="M107" s="231">
        <v>2880.48</v>
      </c>
      <c r="O107" s="224">
        <f t="shared" si="2"/>
        <v>13516.699999999999</v>
      </c>
    </row>
    <row r="108" spans="1:15">
      <c r="A108" s="229" t="s">
        <v>303</v>
      </c>
      <c r="B108" s="231">
        <v>239.68</v>
      </c>
      <c r="C108" s="231">
        <v>299.60000000000002</v>
      </c>
      <c r="D108" s="231">
        <v>239.68</v>
      </c>
      <c r="E108" s="231">
        <v>284.8</v>
      </c>
      <c r="F108" s="231">
        <v>374.8</v>
      </c>
      <c r="G108" s="231">
        <v>327.73</v>
      </c>
      <c r="H108" s="231">
        <v>309.41000000000003</v>
      </c>
      <c r="I108" s="231">
        <v>581.74</v>
      </c>
      <c r="J108" s="231">
        <v>376.78</v>
      </c>
      <c r="K108" s="231">
        <v>499.11</v>
      </c>
      <c r="L108" s="231">
        <v>351.17</v>
      </c>
      <c r="M108" s="231">
        <v>441.09</v>
      </c>
      <c r="O108" s="224">
        <f t="shared" si="2"/>
        <v>4325.5899999999992</v>
      </c>
    </row>
    <row r="109" spans="1:15">
      <c r="A109" s="229" t="s">
        <v>302</v>
      </c>
      <c r="B109" s="231">
        <v>118.41</v>
      </c>
      <c r="C109" s="231">
        <v>0</v>
      </c>
      <c r="D109" s="231">
        <v>1910.3</v>
      </c>
      <c r="E109" s="231">
        <v>1929.14</v>
      </c>
      <c r="F109" s="231">
        <v>0</v>
      </c>
      <c r="G109" s="231">
        <v>0</v>
      </c>
      <c r="H109" s="231">
        <v>0</v>
      </c>
      <c r="I109" s="231">
        <v>0</v>
      </c>
      <c r="J109" s="231">
        <v>0</v>
      </c>
      <c r="K109" s="231">
        <v>1084.49</v>
      </c>
      <c r="L109" s="231">
        <v>890.02</v>
      </c>
      <c r="M109" s="231">
        <v>2043.09</v>
      </c>
      <c r="O109" s="224">
        <f t="shared" si="2"/>
        <v>7975.4500000000007</v>
      </c>
    </row>
    <row r="110" spans="1:15">
      <c r="A110" s="229" t="s">
        <v>425</v>
      </c>
      <c r="B110" s="231">
        <v>0</v>
      </c>
      <c r="C110" s="231">
        <v>90.41</v>
      </c>
      <c r="D110" s="231">
        <v>0</v>
      </c>
      <c r="E110" s="231">
        <v>0</v>
      </c>
      <c r="F110" s="231">
        <v>0</v>
      </c>
      <c r="G110" s="231">
        <v>0</v>
      </c>
      <c r="H110" s="231">
        <v>960.74</v>
      </c>
      <c r="I110" s="231">
        <v>277.68</v>
      </c>
      <c r="J110" s="231">
        <v>2017.38</v>
      </c>
      <c r="K110" s="231">
        <v>1208.23</v>
      </c>
      <c r="L110" s="231">
        <v>151.22</v>
      </c>
      <c r="M110" s="231">
        <v>7.84</v>
      </c>
      <c r="O110" s="224">
        <f t="shared" si="2"/>
        <v>4713.5000000000009</v>
      </c>
    </row>
    <row r="111" spans="1:15">
      <c r="A111" s="229" t="s">
        <v>426</v>
      </c>
      <c r="B111" s="231">
        <v>2373.4899999999998</v>
      </c>
      <c r="C111" s="231">
        <v>1310.72</v>
      </c>
      <c r="D111" s="231">
        <v>6136.12</v>
      </c>
      <c r="E111" s="231">
        <v>204.14</v>
      </c>
      <c r="F111" s="231">
        <v>6053.47</v>
      </c>
      <c r="G111" s="231">
        <v>2209.2399999999998</v>
      </c>
      <c r="H111" s="231">
        <v>4207.03</v>
      </c>
      <c r="I111" s="231">
        <v>2539.66</v>
      </c>
      <c r="J111" s="231">
        <v>0</v>
      </c>
      <c r="K111" s="231">
        <v>15538.87</v>
      </c>
      <c r="L111" s="231">
        <v>9734.86</v>
      </c>
      <c r="M111" s="231">
        <v>11705.13</v>
      </c>
      <c r="O111" s="224">
        <f t="shared" si="2"/>
        <v>62012.729999999996</v>
      </c>
    </row>
    <row r="112" spans="1:15">
      <c r="A112" s="229" t="s">
        <v>301</v>
      </c>
      <c r="B112" s="231">
        <v>86.7</v>
      </c>
      <c r="C112" s="231">
        <v>86.7</v>
      </c>
      <c r="D112" s="231">
        <v>86.7</v>
      </c>
      <c r="E112" s="231">
        <v>86.7</v>
      </c>
      <c r="F112" s="231">
        <v>86.7</v>
      </c>
      <c r="G112" s="231">
        <v>86.7</v>
      </c>
      <c r="H112" s="231">
        <v>86.7</v>
      </c>
      <c r="I112" s="231">
        <v>86.7</v>
      </c>
      <c r="J112" s="231">
        <v>86.7</v>
      </c>
      <c r="K112" s="231">
        <v>86.7</v>
      </c>
      <c r="L112" s="231">
        <v>66.3</v>
      </c>
      <c r="M112" s="231">
        <v>76.5</v>
      </c>
      <c r="O112" s="224">
        <f t="shared" si="2"/>
        <v>1009.8000000000002</v>
      </c>
    </row>
    <row r="113" spans="1:15">
      <c r="A113" s="229" t="s">
        <v>125</v>
      </c>
      <c r="B113" s="231">
        <v>154.38</v>
      </c>
      <c r="C113" s="231">
        <v>154.38</v>
      </c>
      <c r="D113" s="231">
        <v>154.38</v>
      </c>
      <c r="E113" s="231">
        <v>154.38</v>
      </c>
      <c r="F113" s="231">
        <v>154.38</v>
      </c>
      <c r="G113" s="231">
        <v>154.38</v>
      </c>
      <c r="H113" s="231">
        <v>154.38</v>
      </c>
      <c r="I113" s="231">
        <v>154.38</v>
      </c>
      <c r="J113" s="231">
        <v>0</v>
      </c>
      <c r="K113" s="231">
        <v>308.76</v>
      </c>
      <c r="L113" s="231">
        <v>154.38</v>
      </c>
      <c r="M113" s="231">
        <v>154.38</v>
      </c>
      <c r="O113" s="224">
        <f t="shared" si="2"/>
        <v>1852.56</v>
      </c>
    </row>
    <row r="114" spans="1:15">
      <c r="A114" s="229" t="s">
        <v>300</v>
      </c>
      <c r="B114" s="231">
        <v>9431.2099999999991</v>
      </c>
      <c r="C114" s="231">
        <v>9811.33</v>
      </c>
      <c r="D114" s="231">
        <v>9918.86</v>
      </c>
      <c r="E114" s="231">
        <v>9251.69</v>
      </c>
      <c r="F114" s="231">
        <v>9019.89</v>
      </c>
      <c r="G114" s="231">
        <v>9880.9599999999991</v>
      </c>
      <c r="H114" s="231">
        <v>9190.17</v>
      </c>
      <c r="I114" s="231">
        <v>9461.7900000000009</v>
      </c>
      <c r="J114" s="231">
        <v>-4035.82</v>
      </c>
      <c r="K114" s="231">
        <v>24642.14</v>
      </c>
      <c r="L114" s="231">
        <v>8235.4</v>
      </c>
      <c r="M114" s="231">
        <v>9911.35</v>
      </c>
      <c r="O114" s="224">
        <f t="shared" si="2"/>
        <v>114718.96999999999</v>
      </c>
    </row>
    <row r="115" spans="1:15">
      <c r="A115" s="229" t="s">
        <v>427</v>
      </c>
      <c r="B115" s="231">
        <v>0</v>
      </c>
      <c r="C115" s="231">
        <v>0</v>
      </c>
      <c r="D115" s="231">
        <v>0</v>
      </c>
      <c r="E115" s="231">
        <v>0</v>
      </c>
      <c r="F115" s="231">
        <v>0</v>
      </c>
      <c r="G115" s="231">
        <v>0</v>
      </c>
      <c r="H115" s="231">
        <v>0</v>
      </c>
      <c r="I115" s="231">
        <v>0</v>
      </c>
      <c r="J115" s="231">
        <v>0</v>
      </c>
      <c r="K115" s="231">
        <v>0</v>
      </c>
      <c r="L115" s="231">
        <v>0</v>
      </c>
      <c r="M115" s="231">
        <v>0</v>
      </c>
      <c r="O115" s="224">
        <f t="shared" si="2"/>
        <v>0</v>
      </c>
    </row>
    <row r="116" spans="1:15">
      <c r="A116" s="229" t="s">
        <v>428</v>
      </c>
      <c r="B116" s="231">
        <v>0</v>
      </c>
      <c r="C116" s="231">
        <v>0</v>
      </c>
      <c r="D116" s="231">
        <v>0</v>
      </c>
      <c r="E116" s="231">
        <v>0</v>
      </c>
      <c r="F116" s="231">
        <v>0</v>
      </c>
      <c r="G116" s="231">
        <v>0</v>
      </c>
      <c r="H116" s="231">
        <v>0</v>
      </c>
      <c r="I116" s="231">
        <v>0</v>
      </c>
      <c r="J116" s="231">
        <v>0</v>
      </c>
      <c r="K116" s="231">
        <v>0</v>
      </c>
      <c r="L116" s="231">
        <v>0</v>
      </c>
      <c r="M116" s="231">
        <v>0</v>
      </c>
      <c r="O116" s="224">
        <f t="shared" si="2"/>
        <v>0</v>
      </c>
    </row>
    <row r="117" spans="1:15">
      <c r="A117" s="229" t="s">
        <v>429</v>
      </c>
      <c r="B117" s="231">
        <v>1462.04</v>
      </c>
      <c r="C117" s="231">
        <v>2483.35</v>
      </c>
      <c r="D117" s="231">
        <v>446.69</v>
      </c>
      <c r="E117" s="231">
        <v>446.69</v>
      </c>
      <c r="F117" s="231">
        <v>446.69</v>
      </c>
      <c r="G117" s="231">
        <v>446.69</v>
      </c>
      <c r="H117" s="231">
        <v>446.69</v>
      </c>
      <c r="I117" s="231">
        <v>446.69</v>
      </c>
      <c r="J117" s="231">
        <v>446.69</v>
      </c>
      <c r="K117" s="231">
        <v>893.38</v>
      </c>
      <c r="L117" s="231">
        <v>3254.89</v>
      </c>
      <c r="M117" s="231">
        <v>886.2</v>
      </c>
      <c r="O117" s="224">
        <f t="shared" si="2"/>
        <v>12106.689999999999</v>
      </c>
    </row>
    <row r="118" spans="1:15">
      <c r="A118" s="229" t="s">
        <v>430</v>
      </c>
      <c r="B118" s="231">
        <v>0</v>
      </c>
      <c r="C118" s="231">
        <v>0</v>
      </c>
      <c r="D118" s="231">
        <v>0</v>
      </c>
      <c r="E118" s="231">
        <v>0</v>
      </c>
      <c r="F118" s="231">
        <v>0</v>
      </c>
      <c r="G118" s="231">
        <v>0</v>
      </c>
      <c r="H118" s="231">
        <v>0</v>
      </c>
      <c r="I118" s="231">
        <v>0</v>
      </c>
      <c r="J118" s="231">
        <v>0</v>
      </c>
      <c r="K118" s="231">
        <v>0</v>
      </c>
      <c r="L118" s="231">
        <v>0</v>
      </c>
      <c r="M118" s="231">
        <v>0</v>
      </c>
      <c r="O118" s="224">
        <f t="shared" si="2"/>
        <v>0</v>
      </c>
    </row>
    <row r="119" spans="1:15">
      <c r="A119" s="229" t="s">
        <v>431</v>
      </c>
      <c r="B119" s="231">
        <v>20967.54</v>
      </c>
      <c r="C119" s="231">
        <v>20967.54</v>
      </c>
      <c r="D119" s="231">
        <v>29564.400000000001</v>
      </c>
      <c r="E119" s="231">
        <v>21056.22</v>
      </c>
      <c r="F119" s="231">
        <v>21056.22</v>
      </c>
      <c r="G119" s="231">
        <v>21588.27</v>
      </c>
      <c r="H119" s="231">
        <v>20694</v>
      </c>
      <c r="I119" s="231">
        <v>20694</v>
      </c>
      <c r="J119" s="231">
        <v>10578.19</v>
      </c>
      <c r="K119" s="231">
        <v>23907.08</v>
      </c>
      <c r="L119" s="231">
        <v>23907.08</v>
      </c>
      <c r="M119" s="231">
        <v>23907.08</v>
      </c>
      <c r="O119" s="224">
        <f t="shared" si="2"/>
        <v>258887.62000000005</v>
      </c>
    </row>
    <row r="120" spans="1:15">
      <c r="A120" s="229" t="s">
        <v>299</v>
      </c>
      <c r="B120" s="231">
        <v>45.75</v>
      </c>
      <c r="C120" s="231">
        <v>45.75</v>
      </c>
      <c r="D120" s="231">
        <v>45.75</v>
      </c>
      <c r="E120" s="231">
        <v>45.75</v>
      </c>
      <c r="F120" s="231">
        <v>45.75</v>
      </c>
      <c r="G120" s="231">
        <v>45.75</v>
      </c>
      <c r="H120" s="231">
        <v>45.75</v>
      </c>
      <c r="I120" s="231">
        <v>45.75</v>
      </c>
      <c r="J120" s="231">
        <v>45.75</v>
      </c>
      <c r="K120" s="231">
        <v>17.52</v>
      </c>
      <c r="L120" s="231">
        <v>17.52</v>
      </c>
      <c r="M120" s="231">
        <v>17.52</v>
      </c>
      <c r="O120" s="224">
        <f t="shared" si="2"/>
        <v>464.30999999999995</v>
      </c>
    </row>
    <row r="121" spans="1:15">
      <c r="A121" s="229" t="s">
        <v>298</v>
      </c>
      <c r="B121" s="231">
        <v>1160.5</v>
      </c>
      <c r="C121" s="231">
        <v>1460.75</v>
      </c>
      <c r="D121" s="231">
        <v>0</v>
      </c>
      <c r="E121" s="231">
        <v>2324.7800000000002</v>
      </c>
      <c r="F121" s="231">
        <v>237.26</v>
      </c>
      <c r="G121" s="231">
        <v>1091.3499999999999</v>
      </c>
      <c r="H121" s="231">
        <v>1522.8</v>
      </c>
      <c r="I121" s="231">
        <v>1081.8800000000001</v>
      </c>
      <c r="J121" s="231">
        <v>884.82</v>
      </c>
      <c r="K121" s="231">
        <v>826.52</v>
      </c>
      <c r="L121" s="231">
        <v>1000.76</v>
      </c>
      <c r="M121" s="231">
        <v>928.38</v>
      </c>
      <c r="O121" s="224">
        <f t="shared" si="2"/>
        <v>12519.800000000001</v>
      </c>
    </row>
    <row r="122" spans="1:15">
      <c r="A122" s="229" t="s">
        <v>432</v>
      </c>
      <c r="B122" s="231">
        <v>975</v>
      </c>
      <c r="C122" s="231">
        <v>975</v>
      </c>
      <c r="D122" s="231">
        <v>1000</v>
      </c>
      <c r="E122" s="231">
        <v>1000</v>
      </c>
      <c r="F122" s="231">
        <v>975</v>
      </c>
      <c r="G122" s="231">
        <v>1000</v>
      </c>
      <c r="H122" s="231">
        <v>950</v>
      </c>
      <c r="I122" s="231">
        <v>950</v>
      </c>
      <c r="J122" s="231">
        <v>950</v>
      </c>
      <c r="K122" s="231">
        <v>950</v>
      </c>
      <c r="L122" s="231">
        <v>900</v>
      </c>
      <c r="M122" s="231">
        <v>1350</v>
      </c>
      <c r="O122" s="224">
        <f t="shared" si="2"/>
        <v>11975</v>
      </c>
    </row>
    <row r="123" spans="1:15">
      <c r="A123" s="229" t="s">
        <v>433</v>
      </c>
      <c r="B123" s="231">
        <v>0</v>
      </c>
      <c r="C123" s="231">
        <v>0</v>
      </c>
      <c r="D123" s="231">
        <v>0</v>
      </c>
      <c r="E123" s="231">
        <v>315</v>
      </c>
      <c r="F123" s="231">
        <v>-220</v>
      </c>
      <c r="G123" s="231">
        <v>-95</v>
      </c>
      <c r="H123" s="231">
        <v>0</v>
      </c>
      <c r="I123" s="231">
        <v>0</v>
      </c>
      <c r="J123" s="231">
        <v>0</v>
      </c>
      <c r="K123" s="231">
        <v>0</v>
      </c>
      <c r="L123" s="231">
        <v>0</v>
      </c>
      <c r="M123" s="231">
        <v>105</v>
      </c>
      <c r="O123" s="224">
        <f t="shared" si="2"/>
        <v>105</v>
      </c>
    </row>
    <row r="124" spans="1:15">
      <c r="A124" s="229" t="s">
        <v>297</v>
      </c>
      <c r="B124" s="231">
        <v>0</v>
      </c>
      <c r="C124" s="231">
        <v>0</v>
      </c>
      <c r="D124" s="231">
        <v>0</v>
      </c>
      <c r="E124" s="231">
        <v>0</v>
      </c>
      <c r="F124" s="231">
        <v>0</v>
      </c>
      <c r="G124" s="231">
        <v>0</v>
      </c>
      <c r="H124" s="231">
        <v>0</v>
      </c>
      <c r="I124" s="231">
        <v>0</v>
      </c>
      <c r="J124" s="231">
        <v>0</v>
      </c>
      <c r="K124" s="231">
        <v>0</v>
      </c>
      <c r="L124" s="231">
        <v>0</v>
      </c>
      <c r="M124" s="231">
        <v>0</v>
      </c>
      <c r="O124" s="224">
        <f t="shared" si="2"/>
        <v>0</v>
      </c>
    </row>
    <row r="125" spans="1:15">
      <c r="A125" s="229" t="s">
        <v>296</v>
      </c>
      <c r="B125" s="231">
        <v>0</v>
      </c>
      <c r="C125" s="231">
        <v>0</v>
      </c>
      <c r="D125" s="231">
        <v>0</v>
      </c>
      <c r="E125" s="231">
        <v>0</v>
      </c>
      <c r="F125" s="231">
        <v>0</v>
      </c>
      <c r="G125" s="231">
        <v>0</v>
      </c>
      <c r="H125" s="231">
        <v>0</v>
      </c>
      <c r="I125" s="231">
        <v>0</v>
      </c>
      <c r="J125" s="231">
        <v>0</v>
      </c>
      <c r="K125" s="231">
        <v>4150.2700000000004</v>
      </c>
      <c r="L125" s="231">
        <v>1804.38</v>
      </c>
      <c r="M125" s="231">
        <v>0</v>
      </c>
      <c r="O125" s="224">
        <f t="shared" si="2"/>
        <v>5954.6500000000005</v>
      </c>
    </row>
    <row r="126" spans="1:15">
      <c r="A126" s="229" t="s">
        <v>434</v>
      </c>
      <c r="B126" s="231">
        <v>0</v>
      </c>
      <c r="C126" s="231">
        <v>0</v>
      </c>
      <c r="D126" s="231">
        <v>0</v>
      </c>
      <c r="E126" s="231">
        <v>0</v>
      </c>
      <c r="F126" s="231">
        <v>0</v>
      </c>
      <c r="G126" s="231">
        <v>0</v>
      </c>
      <c r="H126" s="231">
        <v>0</v>
      </c>
      <c r="I126" s="231">
        <v>0</v>
      </c>
      <c r="J126" s="231">
        <v>0</v>
      </c>
      <c r="K126" s="231">
        <v>0</v>
      </c>
      <c r="L126" s="231">
        <v>0</v>
      </c>
      <c r="M126" s="231">
        <v>0</v>
      </c>
      <c r="O126" s="224">
        <f t="shared" si="2"/>
        <v>0</v>
      </c>
    </row>
    <row r="127" spans="1:15">
      <c r="A127" s="229" t="s">
        <v>295</v>
      </c>
      <c r="B127" s="231">
        <v>1449.59</v>
      </c>
      <c r="C127" s="231">
        <v>0</v>
      </c>
      <c r="D127" s="231">
        <v>1855.19</v>
      </c>
      <c r="E127" s="231">
        <v>0</v>
      </c>
      <c r="F127" s="231">
        <v>1633.13</v>
      </c>
      <c r="G127" s="231">
        <v>0</v>
      </c>
      <c r="H127" s="231">
        <v>1598.94</v>
      </c>
      <c r="I127" s="231">
        <v>0</v>
      </c>
      <c r="J127" s="231">
        <v>1565.37</v>
      </c>
      <c r="K127" s="231">
        <v>0</v>
      </c>
      <c r="L127" s="231">
        <v>1449.03</v>
      </c>
      <c r="M127" s="231">
        <v>0</v>
      </c>
      <c r="O127" s="224">
        <f t="shared" si="2"/>
        <v>9551.25</v>
      </c>
    </row>
    <row r="128" spans="1:15">
      <c r="A128" s="229" t="s">
        <v>294</v>
      </c>
      <c r="B128" s="231">
        <v>0</v>
      </c>
      <c r="C128" s="231">
        <v>0</v>
      </c>
      <c r="D128" s="231">
        <v>0</v>
      </c>
      <c r="E128" s="231">
        <v>0</v>
      </c>
      <c r="F128" s="231">
        <v>0</v>
      </c>
      <c r="G128" s="231">
        <v>0</v>
      </c>
      <c r="H128" s="231">
        <v>0</v>
      </c>
      <c r="I128" s="231">
        <v>0</v>
      </c>
      <c r="J128" s="231">
        <v>0</v>
      </c>
      <c r="K128" s="231">
        <v>0</v>
      </c>
      <c r="L128" s="231">
        <v>0</v>
      </c>
      <c r="M128" s="231">
        <v>0</v>
      </c>
      <c r="O128" s="224">
        <f t="shared" si="2"/>
        <v>0</v>
      </c>
    </row>
    <row r="129" spans="1:15">
      <c r="A129" s="229" t="s">
        <v>293</v>
      </c>
      <c r="B129" s="231">
        <v>0</v>
      </c>
      <c r="C129" s="231">
        <v>593.24</v>
      </c>
      <c r="D129" s="231">
        <v>0</v>
      </c>
      <c r="E129" s="231">
        <v>0</v>
      </c>
      <c r="F129" s="231">
        <v>593.24</v>
      </c>
      <c r="G129" s="231">
        <v>0</v>
      </c>
      <c r="H129" s="231">
        <v>500</v>
      </c>
      <c r="I129" s="231">
        <v>93.24</v>
      </c>
      <c r="J129" s="231">
        <v>132</v>
      </c>
      <c r="K129" s="231">
        <v>500</v>
      </c>
      <c r="L129" s="231">
        <v>93.24</v>
      </c>
      <c r="M129" s="231">
        <v>0</v>
      </c>
      <c r="O129" s="224">
        <f t="shared" si="2"/>
        <v>2504.96</v>
      </c>
    </row>
    <row r="130" spans="1:15">
      <c r="A130" s="229" t="s">
        <v>292</v>
      </c>
      <c r="B130" s="231">
        <v>0</v>
      </c>
      <c r="C130" s="231">
        <v>0</v>
      </c>
      <c r="D130" s="231">
        <v>19437.48</v>
      </c>
      <c r="E130" s="231">
        <v>0</v>
      </c>
      <c r="F130" s="231">
        <v>0</v>
      </c>
      <c r="G130" s="231">
        <v>19053.900000000001</v>
      </c>
      <c r="H130" s="231">
        <v>0</v>
      </c>
      <c r="I130" s="231">
        <v>0</v>
      </c>
      <c r="J130" s="231">
        <v>19863.79</v>
      </c>
      <c r="K130" s="231">
        <v>0</v>
      </c>
      <c r="L130" s="231">
        <v>0</v>
      </c>
      <c r="M130" s="231">
        <v>22055.279999999999</v>
      </c>
      <c r="O130" s="224">
        <f t="shared" si="2"/>
        <v>80410.450000000012</v>
      </c>
    </row>
    <row r="131" spans="1:15">
      <c r="A131" s="229" t="s">
        <v>291</v>
      </c>
      <c r="B131" s="231">
        <v>250.5</v>
      </c>
      <c r="C131" s="231">
        <v>830.75</v>
      </c>
      <c r="D131" s="231">
        <v>908.75</v>
      </c>
      <c r="E131" s="231">
        <v>0</v>
      </c>
      <c r="F131" s="231">
        <v>68.75</v>
      </c>
      <c r="G131" s="231">
        <v>0</v>
      </c>
      <c r="H131" s="231">
        <v>2615.5</v>
      </c>
      <c r="I131" s="231">
        <v>-1930</v>
      </c>
      <c r="J131" s="231">
        <v>1005</v>
      </c>
      <c r="K131" s="231">
        <v>971</v>
      </c>
      <c r="L131" s="231">
        <v>850</v>
      </c>
      <c r="M131" s="231">
        <v>0</v>
      </c>
      <c r="O131" s="224">
        <f t="shared" si="2"/>
        <v>5570.25</v>
      </c>
    </row>
    <row r="132" spans="1:15">
      <c r="A132" s="229" t="s">
        <v>290</v>
      </c>
      <c r="B132" s="231">
        <v>7154.78</v>
      </c>
      <c r="C132" s="231">
        <v>0</v>
      </c>
      <c r="D132" s="231">
        <v>0</v>
      </c>
      <c r="E132" s="231">
        <v>0</v>
      </c>
      <c r="F132" s="231">
        <v>0</v>
      </c>
      <c r="G132" s="231">
        <v>0</v>
      </c>
      <c r="H132" s="231">
        <v>7121.02</v>
      </c>
      <c r="I132" s="231">
        <v>0</v>
      </c>
      <c r="J132" s="231">
        <v>0</v>
      </c>
      <c r="K132" s="231">
        <v>0</v>
      </c>
      <c r="L132" s="231">
        <v>0</v>
      </c>
      <c r="M132" s="231">
        <v>0</v>
      </c>
      <c r="O132" s="224">
        <f t="shared" si="2"/>
        <v>14275.8</v>
      </c>
    </row>
    <row r="133" spans="1:15">
      <c r="A133" s="229" t="s">
        <v>289</v>
      </c>
      <c r="B133" s="231">
        <v>4708.16</v>
      </c>
      <c r="C133" s="231">
        <v>4947.3900000000003</v>
      </c>
      <c r="D133" s="231">
        <v>5002.0200000000004</v>
      </c>
      <c r="E133" s="231">
        <v>5164.38</v>
      </c>
      <c r="F133" s="231">
        <v>5258.81</v>
      </c>
      <c r="G133" s="231">
        <v>4881.78</v>
      </c>
      <c r="H133" s="231">
        <v>5037.57</v>
      </c>
      <c r="I133" s="231">
        <v>5349.44</v>
      </c>
      <c r="J133" s="231">
        <v>6180.64</v>
      </c>
      <c r="K133" s="231">
        <v>5952.33</v>
      </c>
      <c r="L133" s="231">
        <v>5656.19</v>
      </c>
      <c r="M133" s="231">
        <v>6046.97</v>
      </c>
      <c r="O133" s="224">
        <f t="shared" si="2"/>
        <v>64185.680000000008</v>
      </c>
    </row>
    <row r="134" spans="1:15">
      <c r="A134" s="229" t="s">
        <v>288</v>
      </c>
      <c r="B134" s="231">
        <v>1101.1199999999999</v>
      </c>
      <c r="C134" s="231">
        <v>1157.06</v>
      </c>
      <c r="D134" s="231">
        <v>1169.8499999999999</v>
      </c>
      <c r="E134" s="231">
        <v>1207.8</v>
      </c>
      <c r="F134" s="231">
        <v>1229.8599999999999</v>
      </c>
      <c r="G134" s="231">
        <v>1141.81</v>
      </c>
      <c r="H134" s="231">
        <v>1178.1400000000001</v>
      </c>
      <c r="I134" s="231">
        <v>1251.0899999999999</v>
      </c>
      <c r="J134" s="231">
        <v>1445.49</v>
      </c>
      <c r="K134" s="231">
        <v>1392.07</v>
      </c>
      <c r="L134" s="231">
        <v>1322.81</v>
      </c>
      <c r="M134" s="231">
        <v>1414.35</v>
      </c>
      <c r="O134" s="224">
        <f t="shared" si="2"/>
        <v>15011.449999999999</v>
      </c>
    </row>
    <row r="135" spans="1:15">
      <c r="A135" s="229" t="s">
        <v>287</v>
      </c>
      <c r="B135" s="231">
        <v>5383.52</v>
      </c>
      <c r="C135" s="231">
        <v>5646.36</v>
      </c>
      <c r="D135" s="231">
        <v>5491.64</v>
      </c>
      <c r="E135" s="231">
        <v>5770.29</v>
      </c>
      <c r="F135" s="231">
        <v>5380.02</v>
      </c>
      <c r="G135" s="231">
        <v>5475.93</v>
      </c>
      <c r="H135" s="231">
        <v>5708.62</v>
      </c>
      <c r="I135" s="231">
        <v>5161.8</v>
      </c>
      <c r="J135" s="231">
        <v>4948.68</v>
      </c>
      <c r="K135" s="231">
        <v>5281.65</v>
      </c>
      <c r="L135" s="231">
        <v>5140.3599999999997</v>
      </c>
      <c r="M135" s="231">
        <v>5344.65</v>
      </c>
      <c r="O135" s="224">
        <f t="shared" si="2"/>
        <v>64733.520000000011</v>
      </c>
    </row>
    <row r="136" spans="1:15">
      <c r="A136" s="229" t="s">
        <v>435</v>
      </c>
      <c r="B136" s="231">
        <v>0</v>
      </c>
      <c r="C136" s="231">
        <v>0</v>
      </c>
      <c r="D136" s="231">
        <v>0</v>
      </c>
      <c r="E136" s="231">
        <v>0</v>
      </c>
      <c r="F136" s="231">
        <v>0</v>
      </c>
      <c r="G136" s="231">
        <v>0</v>
      </c>
      <c r="H136" s="231">
        <v>0</v>
      </c>
      <c r="I136" s="231">
        <v>0</v>
      </c>
      <c r="J136" s="231">
        <v>0</v>
      </c>
      <c r="K136" s="231">
        <v>0</v>
      </c>
      <c r="L136" s="231">
        <v>0</v>
      </c>
      <c r="M136" s="231">
        <v>0</v>
      </c>
      <c r="O136" s="224">
        <f t="shared" si="2"/>
        <v>0</v>
      </c>
    </row>
    <row r="137" spans="1:15">
      <c r="A137" s="229" t="s">
        <v>286</v>
      </c>
      <c r="B137" s="231">
        <v>20268.18</v>
      </c>
      <c r="C137" s="231">
        <v>0</v>
      </c>
      <c r="D137" s="231">
        <v>0</v>
      </c>
      <c r="E137" s="231">
        <v>0</v>
      </c>
      <c r="F137" s="231">
        <v>0</v>
      </c>
      <c r="G137" s="231">
        <v>0</v>
      </c>
      <c r="H137" s="231">
        <v>0</v>
      </c>
      <c r="I137" s="231">
        <v>0</v>
      </c>
      <c r="J137" s="231">
        <v>0</v>
      </c>
      <c r="K137" s="231">
        <v>0</v>
      </c>
      <c r="L137" s="231">
        <v>0</v>
      </c>
      <c r="M137" s="231">
        <v>0</v>
      </c>
      <c r="O137" s="224">
        <f t="shared" si="2"/>
        <v>20268.18</v>
      </c>
    </row>
    <row r="138" spans="1:15">
      <c r="A138" s="229" t="s">
        <v>285</v>
      </c>
      <c r="B138" s="231">
        <v>0</v>
      </c>
      <c r="C138" s="231">
        <v>0</v>
      </c>
      <c r="D138" s="231">
        <v>923.65</v>
      </c>
      <c r="E138" s="231">
        <v>0</v>
      </c>
      <c r="F138" s="231">
        <v>0</v>
      </c>
      <c r="G138" s="231">
        <v>665.17</v>
      </c>
      <c r="H138" s="231">
        <v>0</v>
      </c>
      <c r="I138" s="231">
        <v>0</v>
      </c>
      <c r="J138" s="231">
        <v>436.41</v>
      </c>
      <c r="K138" s="231">
        <v>0</v>
      </c>
      <c r="L138" s="231">
        <v>0</v>
      </c>
      <c r="M138" s="231">
        <v>745.4</v>
      </c>
      <c r="O138" s="224">
        <f t="shared" si="2"/>
        <v>2770.63</v>
      </c>
    </row>
    <row r="139" spans="1:15">
      <c r="A139" s="229" t="s">
        <v>284</v>
      </c>
      <c r="B139" s="231">
        <v>0.22</v>
      </c>
      <c r="C139" s="231">
        <v>0.04</v>
      </c>
      <c r="D139" s="231">
        <v>34.32</v>
      </c>
      <c r="E139" s="231">
        <v>0.16</v>
      </c>
      <c r="F139" s="231">
        <v>0.31</v>
      </c>
      <c r="G139" s="231">
        <v>66.83</v>
      </c>
      <c r="H139" s="231">
        <v>0.37</v>
      </c>
      <c r="I139" s="231">
        <v>0.26</v>
      </c>
      <c r="J139" s="231">
        <v>65.599999999999994</v>
      </c>
      <c r="K139" s="231">
        <v>5.57</v>
      </c>
      <c r="L139" s="231">
        <v>2.89</v>
      </c>
      <c r="M139" s="231">
        <v>923.14</v>
      </c>
      <c r="O139" s="224">
        <f t="shared" si="2"/>
        <v>1099.71</v>
      </c>
    </row>
    <row r="140" spans="1:15">
      <c r="A140" s="229" t="s">
        <v>283</v>
      </c>
      <c r="B140" s="231">
        <v>6424.74</v>
      </c>
      <c r="C140" s="231">
        <v>5160.1099999999997</v>
      </c>
      <c r="D140" s="231">
        <v>5115.55</v>
      </c>
      <c r="E140" s="231">
        <v>5260.56</v>
      </c>
      <c r="F140" s="231">
        <v>5410.54</v>
      </c>
      <c r="G140" s="231">
        <v>5185.24</v>
      </c>
      <c r="H140" s="231">
        <v>5545.61</v>
      </c>
      <c r="I140" s="231">
        <v>5516.08</v>
      </c>
      <c r="J140" s="231">
        <v>6570.41</v>
      </c>
      <c r="K140" s="231">
        <v>5889.62</v>
      </c>
      <c r="L140" s="231">
        <v>5129.59</v>
      </c>
      <c r="M140" s="231">
        <v>5426.01</v>
      </c>
      <c r="O140" s="224">
        <f t="shared" ref="O140:O161" si="3">SUM(B140:N140)</f>
        <v>66634.06</v>
      </c>
    </row>
    <row r="141" spans="1:15">
      <c r="A141" s="229" t="s">
        <v>436</v>
      </c>
      <c r="B141" s="231">
        <v>4650</v>
      </c>
      <c r="C141" s="231">
        <v>4650</v>
      </c>
      <c r="D141" s="231">
        <v>4650</v>
      </c>
      <c r="E141" s="231">
        <v>4650</v>
      </c>
      <c r="F141" s="231">
        <v>4650</v>
      </c>
      <c r="G141" s="231">
        <v>4650</v>
      </c>
      <c r="H141" s="231">
        <v>4650</v>
      </c>
      <c r="I141" s="231">
        <v>4650</v>
      </c>
      <c r="J141" s="231">
        <v>4650</v>
      </c>
      <c r="K141" s="231">
        <v>4650</v>
      </c>
      <c r="L141" s="231">
        <v>4650</v>
      </c>
      <c r="M141" s="231">
        <v>4650</v>
      </c>
      <c r="O141" s="224">
        <f t="shared" si="3"/>
        <v>55800</v>
      </c>
    </row>
    <row r="142" spans="1:15">
      <c r="A142" s="229" t="s">
        <v>282</v>
      </c>
      <c r="B142" s="231">
        <v>5850</v>
      </c>
      <c r="C142" s="231">
        <v>5850</v>
      </c>
      <c r="D142" s="231">
        <v>5850</v>
      </c>
      <c r="E142" s="231">
        <v>5850</v>
      </c>
      <c r="F142" s="231">
        <v>5850</v>
      </c>
      <c r="G142" s="231">
        <v>5850</v>
      </c>
      <c r="H142" s="231">
        <v>5850</v>
      </c>
      <c r="I142" s="231">
        <v>5850</v>
      </c>
      <c r="J142" s="231">
        <v>5850</v>
      </c>
      <c r="K142" s="231">
        <v>5850</v>
      </c>
      <c r="L142" s="231">
        <v>5850</v>
      </c>
      <c r="M142" s="231">
        <v>5850</v>
      </c>
      <c r="O142" s="224">
        <f t="shared" si="3"/>
        <v>70200</v>
      </c>
    </row>
    <row r="143" spans="1:15">
      <c r="A143" s="229" t="s">
        <v>281</v>
      </c>
      <c r="B143" s="231">
        <v>1200</v>
      </c>
      <c r="C143" s="231">
        <v>1200</v>
      </c>
      <c r="D143" s="231">
        <v>1200</v>
      </c>
      <c r="E143" s="231">
        <v>1200</v>
      </c>
      <c r="F143" s="231">
        <v>1200</v>
      </c>
      <c r="G143" s="231">
        <v>1200</v>
      </c>
      <c r="H143" s="231">
        <v>1200</v>
      </c>
      <c r="I143" s="231">
        <v>1200</v>
      </c>
      <c r="J143" s="231">
        <v>1200</v>
      </c>
      <c r="K143" s="231">
        <v>1200</v>
      </c>
      <c r="L143" s="231">
        <v>1200</v>
      </c>
      <c r="M143" s="231">
        <v>1200</v>
      </c>
      <c r="O143" s="224">
        <f t="shared" si="3"/>
        <v>14400</v>
      </c>
    </row>
    <row r="144" spans="1:15">
      <c r="A144" s="229" t="s">
        <v>280</v>
      </c>
      <c r="B144" s="231">
        <v>3000</v>
      </c>
      <c r="C144" s="231">
        <v>3000</v>
      </c>
      <c r="D144" s="231">
        <v>3000</v>
      </c>
      <c r="E144" s="231">
        <v>3000</v>
      </c>
      <c r="F144" s="231">
        <v>3000</v>
      </c>
      <c r="G144" s="231">
        <v>3000</v>
      </c>
      <c r="H144" s="231">
        <v>3000</v>
      </c>
      <c r="I144" s="231">
        <v>3000</v>
      </c>
      <c r="J144" s="231">
        <v>3000</v>
      </c>
      <c r="K144" s="231">
        <v>3000</v>
      </c>
      <c r="L144" s="231">
        <v>3000</v>
      </c>
      <c r="M144" s="231">
        <v>3000</v>
      </c>
      <c r="O144" s="224">
        <f t="shared" si="3"/>
        <v>36000</v>
      </c>
    </row>
    <row r="145" spans="1:15">
      <c r="A145" s="229" t="s">
        <v>279</v>
      </c>
      <c r="B145" s="231">
        <v>0</v>
      </c>
      <c r="C145" s="231">
        <v>0</v>
      </c>
      <c r="D145" s="231">
        <v>0</v>
      </c>
      <c r="E145" s="231">
        <v>0</v>
      </c>
      <c r="F145" s="231">
        <v>0</v>
      </c>
      <c r="G145" s="231">
        <v>0</v>
      </c>
      <c r="H145" s="231">
        <v>0</v>
      </c>
      <c r="I145" s="231">
        <v>0</v>
      </c>
      <c r="J145" s="231">
        <v>0</v>
      </c>
      <c r="K145" s="231">
        <v>0</v>
      </c>
      <c r="L145" s="231">
        <v>0</v>
      </c>
      <c r="M145" s="231">
        <v>0</v>
      </c>
      <c r="O145" s="224">
        <f t="shared" si="3"/>
        <v>0</v>
      </c>
    </row>
    <row r="146" spans="1:15">
      <c r="A146" s="229" t="s">
        <v>278</v>
      </c>
      <c r="B146" s="231">
        <v>0</v>
      </c>
      <c r="C146" s="231">
        <v>0</v>
      </c>
      <c r="D146" s="231">
        <v>0</v>
      </c>
      <c r="E146" s="231">
        <v>0</v>
      </c>
      <c r="F146" s="231">
        <v>0</v>
      </c>
      <c r="G146" s="231">
        <v>0</v>
      </c>
      <c r="H146" s="231">
        <v>0</v>
      </c>
      <c r="I146" s="231">
        <v>0</v>
      </c>
      <c r="J146" s="231">
        <v>0</v>
      </c>
      <c r="K146" s="231">
        <v>0</v>
      </c>
      <c r="L146" s="231">
        <v>0</v>
      </c>
      <c r="M146" s="231">
        <v>0</v>
      </c>
      <c r="O146" s="224">
        <f t="shared" si="3"/>
        <v>0</v>
      </c>
    </row>
    <row r="147" spans="1:15">
      <c r="A147" s="229" t="s">
        <v>277</v>
      </c>
      <c r="B147" s="231">
        <v>0</v>
      </c>
      <c r="C147" s="231">
        <v>0</v>
      </c>
      <c r="D147" s="231">
        <v>0</v>
      </c>
      <c r="E147" s="231">
        <v>0</v>
      </c>
      <c r="F147" s="231">
        <v>0</v>
      </c>
      <c r="G147" s="231">
        <v>0</v>
      </c>
      <c r="H147" s="231">
        <v>0</v>
      </c>
      <c r="I147" s="231">
        <v>0</v>
      </c>
      <c r="J147" s="231">
        <v>0</v>
      </c>
      <c r="K147" s="231">
        <v>0</v>
      </c>
      <c r="L147" s="231">
        <v>0</v>
      </c>
      <c r="M147" s="231">
        <v>0</v>
      </c>
      <c r="O147" s="224">
        <f t="shared" si="3"/>
        <v>0</v>
      </c>
    </row>
    <row r="148" spans="1:15">
      <c r="A148" s="229" t="s">
        <v>276</v>
      </c>
      <c r="B148" s="231">
        <v>0</v>
      </c>
      <c r="C148" s="231">
        <v>0</v>
      </c>
      <c r="D148" s="231">
        <v>250</v>
      </c>
      <c r="E148" s="231">
        <v>0</v>
      </c>
      <c r="F148" s="231">
        <v>0</v>
      </c>
      <c r="G148" s="231">
        <v>0</v>
      </c>
      <c r="H148" s="231">
        <v>0</v>
      </c>
      <c r="I148" s="231">
        <v>0</v>
      </c>
      <c r="J148" s="231">
        <v>0</v>
      </c>
      <c r="K148" s="231">
        <v>500</v>
      </c>
      <c r="L148" s="231">
        <v>0</v>
      </c>
      <c r="M148" s="231">
        <v>300</v>
      </c>
      <c r="O148" s="224">
        <f t="shared" si="3"/>
        <v>1050</v>
      </c>
    </row>
    <row r="149" spans="1:15">
      <c r="A149" s="229" t="s">
        <v>275</v>
      </c>
      <c r="B149" s="231">
        <v>1700</v>
      </c>
      <c r="C149" s="231">
        <v>1700</v>
      </c>
      <c r="D149" s="231">
        <v>1700</v>
      </c>
      <c r="E149" s="231">
        <v>1700</v>
      </c>
      <c r="F149" s="231">
        <v>1700</v>
      </c>
      <c r="G149" s="231">
        <v>1700</v>
      </c>
      <c r="H149" s="231">
        <v>1700</v>
      </c>
      <c r="I149" s="231">
        <v>1700</v>
      </c>
      <c r="J149" s="231">
        <v>1700</v>
      </c>
      <c r="K149" s="231">
        <v>1700</v>
      </c>
      <c r="L149" s="231">
        <v>1700</v>
      </c>
      <c r="M149" s="231">
        <v>1700</v>
      </c>
      <c r="O149" s="224">
        <f t="shared" si="3"/>
        <v>20400</v>
      </c>
    </row>
    <row r="150" spans="1:15">
      <c r="A150" s="229" t="s">
        <v>275</v>
      </c>
      <c r="B150" s="231">
        <v>5000</v>
      </c>
      <c r="C150" s="231">
        <v>5000</v>
      </c>
      <c r="D150" s="231">
        <v>5000</v>
      </c>
      <c r="E150" s="231">
        <v>5000</v>
      </c>
      <c r="F150" s="231">
        <v>5000</v>
      </c>
      <c r="G150" s="231">
        <v>5000</v>
      </c>
      <c r="H150" s="231">
        <v>5000</v>
      </c>
      <c r="I150" s="231">
        <v>5000</v>
      </c>
      <c r="J150" s="231">
        <v>5000</v>
      </c>
      <c r="K150" s="231">
        <v>5000</v>
      </c>
      <c r="L150" s="231">
        <v>5000</v>
      </c>
      <c r="M150" s="231">
        <v>5000</v>
      </c>
      <c r="O150" s="224">
        <f t="shared" si="3"/>
        <v>60000</v>
      </c>
    </row>
    <row r="151" spans="1:15">
      <c r="A151" s="229" t="s">
        <v>835</v>
      </c>
      <c r="B151" s="231">
        <v>0</v>
      </c>
      <c r="C151" s="231">
        <v>0</v>
      </c>
      <c r="D151" s="231">
        <v>0</v>
      </c>
      <c r="E151" s="231">
        <v>0</v>
      </c>
      <c r="F151" s="231">
        <v>0</v>
      </c>
      <c r="G151" s="231">
        <v>0</v>
      </c>
      <c r="H151" s="231">
        <v>0</v>
      </c>
      <c r="I151" s="231">
        <v>0</v>
      </c>
      <c r="J151" s="231">
        <v>0</v>
      </c>
      <c r="K151" s="231">
        <v>0</v>
      </c>
      <c r="L151" s="231">
        <v>0</v>
      </c>
      <c r="M151" s="231">
        <v>0</v>
      </c>
      <c r="O151" s="224">
        <f t="shared" si="3"/>
        <v>0</v>
      </c>
    </row>
    <row r="152" spans="1:15">
      <c r="A152" s="229" t="s">
        <v>274</v>
      </c>
      <c r="B152" s="231">
        <v>0</v>
      </c>
      <c r="C152" s="231">
        <v>0</v>
      </c>
      <c r="D152" s="231">
        <v>0</v>
      </c>
      <c r="E152" s="231">
        <v>0</v>
      </c>
      <c r="F152" s="231">
        <v>0</v>
      </c>
      <c r="G152" s="231">
        <v>0</v>
      </c>
      <c r="H152" s="231">
        <v>0</v>
      </c>
      <c r="I152" s="231">
        <v>0</v>
      </c>
      <c r="J152" s="231">
        <v>0</v>
      </c>
      <c r="K152" s="231">
        <v>0</v>
      </c>
      <c r="L152" s="231">
        <v>0</v>
      </c>
      <c r="M152" s="231">
        <v>0</v>
      </c>
      <c r="O152" s="224">
        <f t="shared" si="3"/>
        <v>0</v>
      </c>
    </row>
    <row r="153" spans="1:15">
      <c r="A153" s="229" t="s">
        <v>437</v>
      </c>
      <c r="B153" s="231">
        <v>0</v>
      </c>
      <c r="C153" s="231">
        <v>0</v>
      </c>
      <c r="D153" s="231">
        <v>0</v>
      </c>
      <c r="E153" s="231">
        <v>0</v>
      </c>
      <c r="F153" s="231">
        <v>0</v>
      </c>
      <c r="G153" s="231">
        <v>100</v>
      </c>
      <c r="H153" s="231">
        <v>0</v>
      </c>
      <c r="I153" s="231">
        <v>0</v>
      </c>
      <c r="J153" s="231">
        <v>0</v>
      </c>
      <c r="K153" s="231">
        <v>0</v>
      </c>
      <c r="L153" s="231">
        <v>0</v>
      </c>
      <c r="M153" s="231">
        <v>0</v>
      </c>
      <c r="O153" s="224">
        <f t="shared" si="3"/>
        <v>100</v>
      </c>
    </row>
    <row r="154" spans="1:15">
      <c r="A154" s="229" t="s">
        <v>273</v>
      </c>
      <c r="B154" s="231">
        <v>0</v>
      </c>
      <c r="C154" s="231">
        <v>0</v>
      </c>
      <c r="D154" s="231">
        <v>0</v>
      </c>
      <c r="E154" s="231">
        <v>0</v>
      </c>
      <c r="F154" s="231">
        <v>0</v>
      </c>
      <c r="G154" s="231">
        <v>0</v>
      </c>
      <c r="H154" s="231">
        <v>0</v>
      </c>
      <c r="I154" s="231">
        <v>-38000</v>
      </c>
      <c r="J154" s="231">
        <v>0</v>
      </c>
      <c r="K154" s="231">
        <v>0</v>
      </c>
      <c r="L154" s="231">
        <v>0</v>
      </c>
      <c r="M154" s="231">
        <v>0</v>
      </c>
      <c r="O154" s="224">
        <f t="shared" si="3"/>
        <v>-38000</v>
      </c>
    </row>
    <row r="155" spans="1:15">
      <c r="A155" s="229" t="s">
        <v>272</v>
      </c>
      <c r="B155" s="231">
        <v>0</v>
      </c>
      <c r="C155" s="231">
        <v>0</v>
      </c>
      <c r="D155" s="231">
        <v>0</v>
      </c>
      <c r="E155" s="231">
        <v>0</v>
      </c>
      <c r="F155" s="231">
        <v>0</v>
      </c>
      <c r="G155" s="231">
        <v>0</v>
      </c>
      <c r="H155" s="231">
        <v>-300</v>
      </c>
      <c r="I155" s="231">
        <v>150</v>
      </c>
      <c r="J155" s="231">
        <v>150</v>
      </c>
      <c r="K155" s="231">
        <v>0</v>
      </c>
      <c r="L155" s="231">
        <v>-854.02</v>
      </c>
      <c r="M155" s="231">
        <v>854.02</v>
      </c>
      <c r="O155" s="224">
        <f t="shared" si="3"/>
        <v>0</v>
      </c>
    </row>
    <row r="156" spans="1:15">
      <c r="A156" s="229" t="s">
        <v>271</v>
      </c>
      <c r="B156" s="231">
        <v>-0.45</v>
      </c>
      <c r="C156" s="231">
        <v>-0.54</v>
      </c>
      <c r="D156" s="231">
        <v>-0.56000000000000005</v>
      </c>
      <c r="E156" s="231">
        <v>-0.76</v>
      </c>
      <c r="F156" s="231">
        <v>-0.97</v>
      </c>
      <c r="G156" s="231">
        <v>-0.92</v>
      </c>
      <c r="H156" s="231">
        <v>-0.43</v>
      </c>
      <c r="I156" s="231">
        <v>-0.43</v>
      </c>
      <c r="J156" s="231">
        <v>-0.48</v>
      </c>
      <c r="K156" s="231">
        <v>-0.69</v>
      </c>
      <c r="L156" s="231">
        <v>-0.44</v>
      </c>
      <c r="M156" s="231">
        <v>-0.47</v>
      </c>
      <c r="O156" s="224">
        <f t="shared" si="3"/>
        <v>-7.1399999999999988</v>
      </c>
    </row>
    <row r="157" spans="1:15">
      <c r="A157" s="229" t="s">
        <v>270</v>
      </c>
      <c r="B157" s="231">
        <v>0</v>
      </c>
      <c r="C157" s="231">
        <v>0</v>
      </c>
      <c r="D157" s="231">
        <v>0</v>
      </c>
      <c r="E157" s="231">
        <v>0</v>
      </c>
      <c r="F157" s="231">
        <v>0</v>
      </c>
      <c r="G157" s="231">
        <v>0</v>
      </c>
      <c r="H157" s="231">
        <v>0</v>
      </c>
      <c r="I157" s="231">
        <v>0</v>
      </c>
      <c r="J157" s="231">
        <v>0</v>
      </c>
      <c r="K157" s="231">
        <v>0</v>
      </c>
      <c r="L157" s="231">
        <v>0</v>
      </c>
      <c r="M157" s="231">
        <v>0</v>
      </c>
      <c r="O157" s="224">
        <f t="shared" si="3"/>
        <v>0</v>
      </c>
    </row>
    <row r="158" spans="1:15">
      <c r="A158" s="229" t="s">
        <v>152</v>
      </c>
      <c r="B158" s="231">
        <v>0</v>
      </c>
      <c r="C158" s="231">
        <v>0</v>
      </c>
      <c r="D158" s="231">
        <v>0</v>
      </c>
      <c r="E158" s="231">
        <v>0</v>
      </c>
      <c r="F158" s="231">
        <v>0</v>
      </c>
      <c r="G158" s="231">
        <v>0</v>
      </c>
      <c r="H158" s="231">
        <v>0</v>
      </c>
      <c r="I158" s="231">
        <v>0</v>
      </c>
      <c r="J158" s="231">
        <v>0</v>
      </c>
      <c r="K158" s="231">
        <v>0</v>
      </c>
      <c r="L158" s="231">
        <v>0</v>
      </c>
      <c r="M158" s="231">
        <v>0</v>
      </c>
      <c r="O158" s="224">
        <f t="shared" si="3"/>
        <v>0</v>
      </c>
    </row>
    <row r="159" spans="1:15" s="235" customFormat="1">
      <c r="A159" s="232"/>
      <c r="B159" s="233"/>
      <c r="C159" s="233"/>
      <c r="D159" s="233"/>
      <c r="E159" s="233"/>
      <c r="F159" s="233"/>
      <c r="G159" s="233"/>
      <c r="H159" s="233"/>
      <c r="I159" s="233"/>
      <c r="J159" s="233"/>
      <c r="K159" s="233"/>
      <c r="L159" s="233"/>
      <c r="M159" s="233"/>
      <c r="N159" s="234"/>
      <c r="O159" s="224"/>
    </row>
    <row r="160" spans="1:15">
      <c r="A160" s="229" t="s">
        <v>56</v>
      </c>
      <c r="B160" s="230">
        <f>ROUND(SUBTOTAL(9, B41:B159), 5)</f>
        <v>340723.63</v>
      </c>
      <c r="C160" s="230">
        <f t="shared" ref="C160:L160" si="4">ROUND(SUBTOTAL(9, C41:C159), 5)</f>
        <v>352916.3</v>
      </c>
      <c r="D160" s="230">
        <f t="shared" si="4"/>
        <v>378056.43</v>
      </c>
      <c r="E160" s="230">
        <f t="shared" si="4"/>
        <v>334219.08</v>
      </c>
      <c r="F160" s="230">
        <f t="shared" si="4"/>
        <v>340339.45</v>
      </c>
      <c r="G160" s="230">
        <f t="shared" si="4"/>
        <v>348588.02</v>
      </c>
      <c r="H160" s="230">
        <f t="shared" si="4"/>
        <v>349443.93</v>
      </c>
      <c r="I160" s="230">
        <f t="shared" si="4"/>
        <v>299107.96999999997</v>
      </c>
      <c r="J160" s="230">
        <f t="shared" si="4"/>
        <v>354353.71</v>
      </c>
      <c r="K160" s="230">
        <f t="shared" si="4"/>
        <v>379973.8</v>
      </c>
      <c r="L160" s="230">
        <f t="shared" si="4"/>
        <v>351688.69</v>
      </c>
      <c r="M160" s="230">
        <f>ROUND(SUBTOTAL(9, M41:M159), 5)</f>
        <v>399585.33</v>
      </c>
      <c r="O160" s="230">
        <f>ROUND(SUBTOTAL(9, O41:O159), 5)</f>
        <v>4228996.34</v>
      </c>
    </row>
    <row r="161" spans="1:16" s="235" customFormat="1">
      <c r="A161" s="232"/>
      <c r="B161" s="233"/>
      <c r="C161" s="233"/>
      <c r="D161" s="233"/>
      <c r="E161" s="233"/>
      <c r="F161" s="233"/>
      <c r="G161" s="233"/>
      <c r="H161" s="233"/>
      <c r="I161" s="233"/>
      <c r="J161" s="233"/>
      <c r="K161" s="233"/>
      <c r="L161" s="233"/>
      <c r="M161" s="233"/>
      <c r="N161" s="234"/>
      <c r="O161" s="224">
        <f t="shared" si="3"/>
        <v>0</v>
      </c>
    </row>
    <row r="162" spans="1:16" ht="13.5" thickBot="1">
      <c r="A162" s="229" t="s">
        <v>269</v>
      </c>
      <c r="B162" s="236">
        <f>-(ROUND(-B39+B160, 5))</f>
        <v>22144.71</v>
      </c>
      <c r="C162" s="236">
        <f t="shared" ref="C162:M162" si="5">-(ROUND(-C39+C160, 5))</f>
        <v>27438.95</v>
      </c>
      <c r="D162" s="236">
        <f t="shared" si="5"/>
        <v>7364.65</v>
      </c>
      <c r="E162" s="236">
        <f t="shared" si="5"/>
        <v>57346.01</v>
      </c>
      <c r="F162" s="236">
        <f t="shared" si="5"/>
        <v>23395.63</v>
      </c>
      <c r="G162" s="236">
        <f t="shared" si="5"/>
        <v>21881.41</v>
      </c>
      <c r="H162" s="236">
        <f t="shared" si="5"/>
        <v>34629.629999999997</v>
      </c>
      <c r="I162" s="236">
        <f t="shared" si="5"/>
        <v>47776.51</v>
      </c>
      <c r="J162" s="236">
        <f t="shared" si="5"/>
        <v>-13419.25</v>
      </c>
      <c r="K162" s="236">
        <f t="shared" si="5"/>
        <v>-24438.39</v>
      </c>
      <c r="L162" s="236">
        <f t="shared" si="5"/>
        <v>-5503.74</v>
      </c>
      <c r="M162" s="236">
        <f t="shared" si="5"/>
        <v>-37517.279999999999</v>
      </c>
      <c r="O162" s="236">
        <f>-(ROUND(-O39+O160, 5))</f>
        <v>161098.84</v>
      </c>
      <c r="P162" s="700" t="s">
        <v>966</v>
      </c>
    </row>
    <row r="163" spans="1:16" ht="13.5" thickTop="1"/>
    <row r="164" spans="1:16">
      <c r="O164" s="885">
        <f>O162</f>
        <v>161098.84</v>
      </c>
      <c r="P164" s="886" t="s">
        <v>1035</v>
      </c>
    </row>
    <row r="165" spans="1:16">
      <c r="O165" s="885">
        <f>O154</f>
        <v>-38000</v>
      </c>
      <c r="P165" s="886" t="s">
        <v>1034</v>
      </c>
    </row>
    <row r="166" spans="1:16">
      <c r="O166" s="887">
        <f>+O156</f>
        <v>-7.1399999999999988</v>
      </c>
      <c r="P166" s="886" t="s">
        <v>66</v>
      </c>
    </row>
    <row r="167" spans="1:16">
      <c r="O167" s="885">
        <f>+O164+O165+O166</f>
        <v>123091.7</v>
      </c>
      <c r="P167" s="886"/>
    </row>
    <row r="168" spans="1:16">
      <c r="O168" s="887">
        <f>Operations!C101</f>
        <v>123091.69999999925</v>
      </c>
      <c r="P168" s="886" t="s">
        <v>1036</v>
      </c>
    </row>
    <row r="169" spans="1:16">
      <c r="O169" s="885">
        <f>O167-O168</f>
        <v>7.4214767664670944E-10</v>
      </c>
      <c r="P169" s="700" t="s">
        <v>1037</v>
      </c>
    </row>
  </sheetData>
  <printOptions horizontalCentered="1"/>
  <pageMargins left="0.5" right="0.5" top="0.27" bottom="0.5" header="0.22" footer="0.26"/>
  <pageSetup scale="10" fitToHeight="3"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10"/>
  <sheetViews>
    <sheetView zoomScaleNormal="100" workbookViewId="0">
      <selection sqref="A1:I1"/>
    </sheetView>
  </sheetViews>
  <sheetFormatPr defaultRowHeight="15.75"/>
  <cols>
    <col min="1" max="1" width="5.77734375" style="1" customWidth="1"/>
    <col min="2" max="8" width="7.77734375" style="1" customWidth="1"/>
    <col min="9" max="9" width="16.109375" style="1" customWidth="1"/>
    <col min="10" max="11" width="8.88671875" style="1"/>
    <col min="12" max="12" width="9.88671875" style="1" customWidth="1"/>
    <col min="13" max="16384" width="8.88671875" style="1"/>
  </cols>
  <sheetData>
    <row r="1" spans="1:14" ht="16.5">
      <c r="A1" s="1275" t="s">
        <v>385</v>
      </c>
      <c r="B1" s="1275"/>
      <c r="C1" s="1275"/>
      <c r="D1" s="1275"/>
      <c r="E1" s="1275"/>
      <c r="F1" s="1275"/>
      <c r="G1" s="1275"/>
      <c r="H1" s="1275"/>
      <c r="I1" s="1275"/>
    </row>
    <row r="3" spans="1:14" ht="16.5">
      <c r="A3" s="1275" t="s">
        <v>386</v>
      </c>
      <c r="B3" s="1275"/>
      <c r="C3" s="1275"/>
      <c r="D3" s="1275"/>
      <c r="E3" s="1275"/>
      <c r="F3" s="1275"/>
      <c r="G3" s="1275"/>
      <c r="H3" s="1275"/>
      <c r="I3" s="1275"/>
    </row>
    <row r="5" spans="1:14" ht="16.5">
      <c r="A5" s="1285" t="s">
        <v>1260</v>
      </c>
      <c r="B5" s="1285"/>
      <c r="C5" s="1285"/>
      <c r="D5" s="1285"/>
      <c r="E5" s="1285"/>
      <c r="F5" s="1285"/>
      <c r="G5" s="1285"/>
      <c r="H5" s="1285"/>
      <c r="I5" s="1285"/>
    </row>
    <row r="6" spans="1:14">
      <c r="D6" s="107"/>
    </row>
    <row r="7" spans="1:14" ht="109.5" customHeight="1">
      <c r="A7" s="1288" t="s">
        <v>1262</v>
      </c>
      <c r="B7" s="1288"/>
      <c r="C7" s="1288"/>
      <c r="D7" s="1288"/>
      <c r="E7" s="1288"/>
      <c r="F7" s="1288"/>
      <c r="G7" s="1288"/>
      <c r="H7" s="1288"/>
      <c r="I7" s="1288"/>
      <c r="K7" s="238"/>
      <c r="L7" s="239"/>
      <c r="M7" s="238"/>
    </row>
    <row r="8" spans="1:14" ht="12.95" customHeight="1">
      <c r="D8" s="108"/>
    </row>
    <row r="9" spans="1:14" ht="86.25" customHeight="1">
      <c r="A9" s="1289" t="s">
        <v>1261</v>
      </c>
      <c r="B9" s="1289"/>
      <c r="C9" s="1289"/>
      <c r="D9" s="1289"/>
      <c r="E9" s="1289"/>
      <c r="F9" s="1289"/>
      <c r="G9" s="1289"/>
      <c r="H9" s="1289"/>
      <c r="I9" s="1289"/>
      <c r="K9" s="238"/>
      <c r="L9" s="240"/>
      <c r="M9" s="238"/>
      <c r="N9" s="240"/>
    </row>
    <row r="10" spans="1:14" ht="18.75">
      <c r="A10" s="7"/>
      <c r="D10" s="109"/>
    </row>
  </sheetData>
  <mergeCells count="5">
    <mergeCell ref="A7:I7"/>
    <mergeCell ref="A9:I9"/>
    <mergeCell ref="A1:I1"/>
    <mergeCell ref="A3:I3"/>
    <mergeCell ref="A5:I5"/>
  </mergeCells>
  <printOptions horizontalCentered="1"/>
  <pageMargins left="0.9" right="0.7" top="0.75" bottom="0.5" header="0" footer="0.25"/>
  <pageSetup scale="86" orientation="portrait" horizontalDpi="300" verticalDpi="300"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7"/>
  <sheetViews>
    <sheetView zoomScaleNormal="100" workbookViewId="0">
      <selection sqref="A1:I1"/>
    </sheetView>
  </sheetViews>
  <sheetFormatPr defaultColWidth="8" defaultRowHeight="15.75"/>
  <cols>
    <col min="1" max="1" width="5.77734375" style="18" customWidth="1"/>
    <col min="2" max="2" width="14.21875" style="8" customWidth="1"/>
    <col min="3" max="3" width="18.44140625" style="8" customWidth="1"/>
    <col min="4" max="4" width="10.6640625" style="8" bestFit="1" customWidth="1"/>
    <col min="5" max="5" width="11.5546875" style="8" bestFit="1" customWidth="1"/>
    <col min="6" max="6" width="9.44140625" style="8" customWidth="1"/>
    <col min="7" max="7" width="6.5546875" style="8" customWidth="1"/>
    <col min="8" max="8" width="5.44140625" style="8" customWidth="1"/>
    <col min="9" max="9" width="2.109375" style="8" customWidth="1"/>
    <col min="10" max="10" width="9.6640625" style="311" customWidth="1"/>
    <col min="11" max="11" width="8" style="8"/>
    <col min="12" max="12" width="9" style="8" bestFit="1" customWidth="1"/>
    <col min="13" max="16384" width="8" style="8"/>
  </cols>
  <sheetData>
    <row r="1" spans="1:10" ht="16.5" customHeight="1">
      <c r="A1" s="1295" t="str">
        <f>+Assumptions!A1</f>
        <v>Waste Control, Inc.</v>
      </c>
      <c r="B1" s="1296"/>
      <c r="C1" s="1296"/>
      <c r="D1" s="1296"/>
      <c r="E1" s="1296"/>
      <c r="F1" s="1296"/>
      <c r="G1" s="1296"/>
      <c r="H1" s="1296"/>
      <c r="I1" s="1296"/>
    </row>
    <row r="2" spans="1:10" ht="13.5" customHeight="1">
      <c r="A2" s="1296"/>
      <c r="B2" s="1296"/>
      <c r="C2" s="1296"/>
      <c r="D2" s="1296"/>
      <c r="E2" s="1296"/>
      <c r="F2" s="1296"/>
      <c r="G2" s="1296"/>
      <c r="H2" s="1296"/>
      <c r="I2" s="1296"/>
    </row>
    <row r="3" spans="1:10" ht="16.5">
      <c r="A3" s="1296" t="s">
        <v>210</v>
      </c>
      <c r="B3" s="1296"/>
      <c r="C3" s="1296"/>
      <c r="D3" s="1296"/>
      <c r="E3" s="1296"/>
      <c r="F3" s="1296"/>
      <c r="G3" s="1296"/>
      <c r="H3" s="1296"/>
      <c r="I3" s="1296"/>
    </row>
    <row r="4" spans="1:10" ht="15.75" customHeight="1">
      <c r="A4" s="134"/>
      <c r="B4" s="134"/>
      <c r="C4" s="134"/>
      <c r="D4" s="134"/>
      <c r="E4" s="134"/>
      <c r="F4" s="134"/>
      <c r="G4" s="134"/>
      <c r="H4" s="134"/>
      <c r="I4" s="134"/>
    </row>
    <row r="5" spans="1:10" ht="15.75" customHeight="1">
      <c r="A5" s="1297" t="str">
        <f>'Fly Sheet'!$A$20</f>
        <v>For the Twelve Months Ended March 31, 2018 Historical and September 30, 2019 Forecasted</v>
      </c>
      <c r="B5" s="1298"/>
      <c r="C5" s="1298"/>
      <c r="D5" s="1298"/>
      <c r="E5" s="1298"/>
      <c r="F5" s="1298"/>
      <c r="G5" s="1298"/>
      <c r="H5" s="1298"/>
      <c r="I5" s="1298"/>
    </row>
    <row r="6" spans="1:10" ht="15.75" customHeight="1">
      <c r="A6" s="1297"/>
      <c r="B6" s="1298"/>
      <c r="C6" s="1298"/>
      <c r="D6" s="1298"/>
      <c r="E6" s="1298"/>
      <c r="F6" s="1298"/>
      <c r="G6" s="1298"/>
      <c r="H6" s="1298"/>
      <c r="I6" s="1298"/>
    </row>
    <row r="7" spans="1:10" s="17" customFormat="1" ht="15.75" customHeight="1">
      <c r="B7" s="135"/>
      <c r="C7" s="135"/>
      <c r="D7" s="135"/>
      <c r="E7" s="135"/>
      <c r="F7" s="135"/>
      <c r="G7" s="135"/>
      <c r="H7" s="135"/>
      <c r="I7" s="135"/>
      <c r="J7" s="311"/>
    </row>
    <row r="8" spans="1:10" s="17" customFormat="1" ht="39.75" customHeight="1">
      <c r="A8" s="634" t="s">
        <v>107</v>
      </c>
      <c r="B8" s="1293" t="s">
        <v>1055</v>
      </c>
      <c r="C8" s="1294"/>
      <c r="D8" s="1294"/>
      <c r="E8" s="1294"/>
      <c r="F8" s="1294"/>
      <c r="G8" s="1294"/>
      <c r="H8" s="1294"/>
      <c r="I8" s="1294"/>
      <c r="J8" s="312"/>
    </row>
    <row r="9" spans="1:10" s="17" customFormat="1" ht="30" customHeight="1">
      <c r="A9" s="634" t="s">
        <v>108</v>
      </c>
      <c r="B9" s="1293" t="s">
        <v>128</v>
      </c>
      <c r="C9" s="1294"/>
      <c r="D9" s="1294"/>
      <c r="E9" s="1294"/>
      <c r="F9" s="1294"/>
      <c r="G9" s="1294"/>
      <c r="H9" s="1294"/>
      <c r="I9" s="1294"/>
      <c r="J9" s="311"/>
    </row>
    <row r="10" spans="1:10" s="17" customFormat="1" ht="27.75" customHeight="1">
      <c r="A10" s="644" t="s">
        <v>109</v>
      </c>
      <c r="B10" s="1293" t="s">
        <v>1057</v>
      </c>
      <c r="C10" s="1294"/>
      <c r="D10" s="1294"/>
      <c r="E10" s="1294"/>
      <c r="F10" s="1294"/>
      <c r="G10" s="1294"/>
      <c r="H10" s="1294"/>
      <c r="I10" s="1294"/>
      <c r="J10" s="311"/>
    </row>
    <row r="11" spans="1:10" s="17" customFormat="1" ht="24.75" customHeight="1">
      <c r="A11" s="634" t="s">
        <v>110</v>
      </c>
      <c r="B11" s="1293" t="s">
        <v>661</v>
      </c>
      <c r="C11" s="1294"/>
      <c r="D11" s="1294"/>
      <c r="E11" s="1294"/>
      <c r="F11" s="1294"/>
      <c r="G11" s="1294"/>
      <c r="H11" s="1294"/>
      <c r="I11" s="1294"/>
      <c r="J11" s="311"/>
    </row>
    <row r="12" spans="1:10" s="17" customFormat="1" ht="27" customHeight="1">
      <c r="A12" s="634" t="s">
        <v>111</v>
      </c>
      <c r="B12" s="1293" t="s">
        <v>1117</v>
      </c>
      <c r="C12" s="1294"/>
      <c r="D12" s="1294"/>
      <c r="E12" s="1294"/>
      <c r="F12" s="1294"/>
      <c r="G12" s="1294"/>
      <c r="H12" s="1294"/>
      <c r="I12" s="1294"/>
      <c r="J12" s="311"/>
    </row>
    <row r="13" spans="1:10" s="17" customFormat="1" ht="73.5" customHeight="1">
      <c r="A13" s="634" t="s">
        <v>112</v>
      </c>
      <c r="B13" s="1293" t="s">
        <v>1167</v>
      </c>
      <c r="C13" s="1294"/>
      <c r="D13" s="1294"/>
      <c r="E13" s="1294"/>
      <c r="F13" s="1294"/>
      <c r="G13" s="1294"/>
      <c r="H13" s="1294"/>
      <c r="I13" s="1294"/>
      <c r="J13" s="870"/>
    </row>
    <row r="14" spans="1:10" ht="21" customHeight="1">
      <c r="A14" s="634" t="s">
        <v>113</v>
      </c>
      <c r="B14" s="1291" t="s">
        <v>1114</v>
      </c>
      <c r="C14" s="1292"/>
      <c r="D14" s="1292"/>
      <c r="E14" s="1292"/>
      <c r="F14" s="1292"/>
      <c r="G14" s="1292"/>
      <c r="H14" s="1292"/>
      <c r="I14" s="1292"/>
      <c r="J14" s="312"/>
    </row>
    <row r="15" spans="1:10" ht="21" customHeight="1">
      <c r="A15" s="634" t="s">
        <v>1078</v>
      </c>
      <c r="B15" s="1290" t="s">
        <v>1116</v>
      </c>
      <c r="C15" s="1290"/>
      <c r="D15" s="1290"/>
      <c r="E15" s="1290"/>
      <c r="F15" s="1290"/>
      <c r="G15" s="1290"/>
      <c r="H15" s="1290"/>
      <c r="I15" s="1290"/>
      <c r="J15" s="312"/>
    </row>
    <row r="16" spans="1:10" ht="21" customHeight="1">
      <c r="A16" s="634" t="s">
        <v>1079</v>
      </c>
      <c r="B16" s="1291" t="s">
        <v>1115</v>
      </c>
      <c r="C16" s="1292"/>
      <c r="D16" s="1292"/>
      <c r="E16" s="1292"/>
      <c r="F16" s="1292"/>
      <c r="G16" s="1292"/>
      <c r="H16" s="1292"/>
      <c r="I16" s="1292"/>
      <c r="J16" s="312"/>
    </row>
    <row r="17" spans="1:12" ht="9.75" customHeight="1">
      <c r="A17" s="634"/>
      <c r="B17" s="866"/>
      <c r="C17" s="867"/>
      <c r="D17" s="867"/>
      <c r="E17" s="867"/>
      <c r="F17" s="867"/>
      <c r="G17" s="867"/>
      <c r="H17" s="867"/>
      <c r="I17" s="867"/>
      <c r="J17" s="312"/>
    </row>
    <row r="18" spans="1:12">
      <c r="A18" s="862" t="s">
        <v>1077</v>
      </c>
      <c r="H18" s="316"/>
      <c r="I18" s="314"/>
    </row>
    <row r="19" spans="1:12">
      <c r="A19" s="806" t="s">
        <v>111</v>
      </c>
      <c r="B19" s="863" t="s">
        <v>712</v>
      </c>
      <c r="C19" s="314"/>
      <c r="D19" s="314"/>
      <c r="E19" s="316"/>
      <c r="F19" s="316"/>
      <c r="G19" s="316"/>
      <c r="H19" s="316"/>
      <c r="I19" s="314"/>
    </row>
    <row r="20" spans="1:12">
      <c r="B20" s="658" t="s">
        <v>1166</v>
      </c>
      <c r="C20" s="657">
        <f>+'WP-9 Bad Debts'!B22</f>
        <v>51505.29</v>
      </c>
      <c r="D20" s="658" t="s">
        <v>1113</v>
      </c>
      <c r="G20" s="314"/>
      <c r="H20" s="314"/>
      <c r="I20" s="314"/>
      <c r="L20" s="890"/>
    </row>
    <row r="21" spans="1:12">
      <c r="B21" s="658" t="s">
        <v>209</v>
      </c>
      <c r="C21" s="657">
        <v>0</v>
      </c>
      <c r="D21" s="315" t="s">
        <v>726</v>
      </c>
      <c r="L21" s="890"/>
    </row>
    <row r="22" spans="1:12">
      <c r="B22" s="658" t="s">
        <v>712</v>
      </c>
      <c r="C22" s="657">
        <f>SUM(C20:C21)</f>
        <v>51505.29</v>
      </c>
      <c r="D22" s="315"/>
      <c r="E22" s="658"/>
      <c r="L22" s="890"/>
    </row>
    <row r="23" spans="1:12">
      <c r="B23" s="890" t="s">
        <v>723</v>
      </c>
      <c r="C23" s="758">
        <f>Operations!C47</f>
        <v>49515.26999999999</v>
      </c>
      <c r="D23" s="658"/>
      <c r="L23" s="890"/>
    </row>
    <row r="24" spans="1:12" ht="16.5" thickBot="1">
      <c r="B24" s="892" t="s">
        <v>209</v>
      </c>
      <c r="C24" s="893">
        <f>C22-C23</f>
        <v>1990.0200000000114</v>
      </c>
      <c r="L24" s="891"/>
    </row>
    <row r="25" spans="1:12" ht="16.5" thickTop="1">
      <c r="B25" s="891"/>
      <c r="C25" s="978"/>
      <c r="L25" s="891"/>
    </row>
    <row r="26" spans="1:12">
      <c r="A26" s="806" t="s">
        <v>112</v>
      </c>
      <c r="B26" s="891" t="s">
        <v>1164</v>
      </c>
      <c r="C26" s="978"/>
      <c r="L26" s="891"/>
    </row>
    <row r="27" spans="1:12">
      <c r="B27" s="890" t="s">
        <v>163</v>
      </c>
      <c r="C27" s="979">
        <f>-'WP-4 - Dues &amp; Sub'!I29</f>
        <v>4200</v>
      </c>
      <c r="D27" s="658" t="s">
        <v>1165</v>
      </c>
      <c r="L27" s="891"/>
    </row>
    <row r="28" spans="1:12">
      <c r="B28" s="890" t="s">
        <v>634</v>
      </c>
      <c r="C28" s="979">
        <f>-'WP-4 - Dues &amp; Sub'!I28</f>
        <v>1797.6000000000001</v>
      </c>
      <c r="L28" s="891"/>
    </row>
    <row r="29" spans="1:12" ht="16.5" thickBot="1">
      <c r="B29" s="892" t="s">
        <v>209</v>
      </c>
      <c r="C29" s="893">
        <f>SUM(C27:C28)</f>
        <v>5997.6</v>
      </c>
      <c r="E29" s="660"/>
      <c r="F29" s="661"/>
      <c r="G29" s="659"/>
    </row>
    <row r="30" spans="1:12" ht="16.5" thickTop="1">
      <c r="C30" s="657"/>
      <c r="E30" s="660"/>
      <c r="F30" s="661"/>
      <c r="G30" s="659"/>
    </row>
    <row r="31" spans="1:12">
      <c r="A31" s="806" t="s">
        <v>113</v>
      </c>
      <c r="B31" s="862" t="s">
        <v>33</v>
      </c>
    </row>
    <row r="32" spans="1:12">
      <c r="B32" s="658" t="s">
        <v>723</v>
      </c>
      <c r="C32" s="320">
        <f>+Operations!C58</f>
        <v>12519.800000000001</v>
      </c>
      <c r="D32" s="894" t="s">
        <v>1111</v>
      </c>
      <c r="E32" s="849"/>
    </row>
    <row r="33" spans="1:7">
      <c r="B33" s="658" t="s">
        <v>714</v>
      </c>
      <c r="C33" s="320">
        <f>+'WP-10 Utilities'!D15</f>
        <v>30839.458050000001</v>
      </c>
      <c r="D33" s="849"/>
      <c r="E33" s="849"/>
    </row>
    <row r="34" spans="1:7" ht="16.5" thickBot="1">
      <c r="B34" s="807" t="s">
        <v>209</v>
      </c>
      <c r="C34" s="808">
        <f>C33-C32</f>
        <v>18319.658049999998</v>
      </c>
      <c r="D34" s="854"/>
      <c r="E34" s="849"/>
    </row>
    <row r="35" spans="1:7" ht="16.5" thickTop="1">
      <c r="D35" s="850"/>
      <c r="E35" s="850"/>
    </row>
    <row r="36" spans="1:7">
      <c r="A36" s="806" t="s">
        <v>1078</v>
      </c>
      <c r="B36" s="862" t="s">
        <v>1048</v>
      </c>
      <c r="D36" s="850"/>
      <c r="E36" s="850"/>
    </row>
    <row r="37" spans="1:7" ht="15.75" customHeight="1" thickBot="1">
      <c r="B37" s="964" t="s">
        <v>1084</v>
      </c>
      <c r="C37" s="965">
        <f>+'WP-11 Rent'!C15</f>
        <v>14400</v>
      </c>
      <c r="D37" s="873" t="s">
        <v>1105</v>
      </c>
      <c r="E37" s="850"/>
    </row>
    <row r="38" spans="1:7" ht="16.5" thickTop="1">
      <c r="B38" s="658"/>
      <c r="D38" s="850"/>
      <c r="E38" s="850"/>
    </row>
    <row r="39" spans="1:7">
      <c r="A39" s="806" t="s">
        <v>1079</v>
      </c>
      <c r="B39" s="862" t="s">
        <v>43</v>
      </c>
      <c r="D39" s="850"/>
      <c r="E39" s="850"/>
    </row>
    <row r="40" spans="1:7">
      <c r="B40" s="658" t="s">
        <v>723</v>
      </c>
      <c r="C40" s="320">
        <f>+Operations!C80</f>
        <v>14275.8</v>
      </c>
      <c r="D40" s="894" t="s">
        <v>1112</v>
      </c>
      <c r="E40" s="850"/>
    </row>
    <row r="41" spans="1:7">
      <c r="B41" s="658" t="s">
        <v>714</v>
      </c>
      <c r="C41" s="759">
        <f>+'WP-12 Property Taxes'!C129</f>
        <v>23584.103420000003</v>
      </c>
      <c r="D41" s="849"/>
      <c r="E41" s="850"/>
    </row>
    <row r="42" spans="1:7" ht="16.5" thickBot="1">
      <c r="B42" s="807" t="s">
        <v>209</v>
      </c>
      <c r="C42" s="808">
        <f>+C41-C40</f>
        <v>9308.3034200000038</v>
      </c>
      <c r="D42" s="854"/>
      <c r="E42" s="851"/>
    </row>
    <row r="43" spans="1:7" ht="16.5" thickTop="1"/>
    <row r="44" spans="1:7">
      <c r="A44" s="854"/>
    </row>
    <row r="47" spans="1:7">
      <c r="F47" s="320"/>
      <c r="G47" s="320"/>
    </row>
  </sheetData>
  <mergeCells count="14">
    <mergeCell ref="B15:I15"/>
    <mergeCell ref="B16:I16"/>
    <mergeCell ref="B8:I8"/>
    <mergeCell ref="B14:I14"/>
    <mergeCell ref="A1:I1"/>
    <mergeCell ref="A2:I2"/>
    <mergeCell ref="A3:I3"/>
    <mergeCell ref="A5:I5"/>
    <mergeCell ref="A6:I6"/>
    <mergeCell ref="B9:I9"/>
    <mergeCell ref="B13:I13"/>
    <mergeCell ref="B12:I12"/>
    <mergeCell ref="B10:I10"/>
    <mergeCell ref="B11:I11"/>
  </mergeCells>
  <phoneticPr fontId="8" type="noConversion"/>
  <printOptions horizontalCentered="1"/>
  <pageMargins left="0.9" right="0.7" top="0.75" bottom="0.5" header="0" footer="0.25"/>
  <pageSetup scale="84" fitToHeight="3" orientation="portrait" horizontalDpi="300" verticalDpi="300" r:id="rId1"/>
  <headerFooter scaleWithDoc="0" alignWithMargins="0">
    <oddFooter xml:space="preserve">&amp;C&amp;"Times New Roman,Regular"&amp;10See accompanying summary of significant forecast assumptions. </oddFooter>
  </headerFooter>
  <colBreaks count="1" manualBreakCount="1">
    <brk id="9"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W109"/>
  <sheetViews>
    <sheetView zoomScale="85" zoomScaleNormal="85" workbookViewId="0">
      <selection sqref="A1:T1"/>
    </sheetView>
  </sheetViews>
  <sheetFormatPr defaultColWidth="8" defaultRowHeight="15.75"/>
  <cols>
    <col min="1" max="1" width="25.21875" style="384" customWidth="1"/>
    <col min="2" max="2" width="10.77734375" style="384" customWidth="1"/>
    <col min="3" max="3" width="2.77734375" style="385" customWidth="1"/>
    <col min="4" max="4" width="10.77734375" style="386" customWidth="1"/>
    <col min="5" max="5" width="2.77734375" style="387" customWidth="1"/>
    <col min="6" max="6" width="10.77734375" style="384" customWidth="1"/>
    <col min="7" max="7" width="2.77734375" style="385" customWidth="1"/>
    <col min="8" max="8" width="10.77734375" style="384" customWidth="1"/>
    <col min="9" max="9" width="2.77734375" style="385" customWidth="1"/>
    <col min="10" max="10" width="10.77734375" style="384" customWidth="1"/>
    <col min="11" max="11" width="2.77734375" style="385" customWidth="1"/>
    <col min="12" max="12" width="10.77734375" style="384" customWidth="1"/>
    <col min="13" max="13" width="2.77734375" style="385" customWidth="1"/>
    <col min="14" max="14" width="10.77734375" style="384" customWidth="1"/>
    <col min="15" max="15" width="2.77734375" style="384" customWidth="1"/>
    <col min="16" max="16" width="10.77734375" style="384" customWidth="1"/>
    <col min="17" max="17" width="2.77734375" style="384" customWidth="1"/>
    <col min="18" max="18" width="10.77734375" style="384" customWidth="1"/>
    <col min="19" max="19" width="2.77734375" style="384" customWidth="1"/>
    <col min="20" max="20" width="10.77734375" style="384" customWidth="1"/>
    <col min="21" max="21" width="1.44140625" style="382" customWidth="1"/>
    <col min="22" max="22" width="4.88671875" style="382" customWidth="1"/>
    <col min="23" max="16384" width="8" style="382"/>
  </cols>
  <sheetData>
    <row r="1" spans="1:23">
      <c r="A1" s="1299" t="str">
        <f>+Operations!B1</f>
        <v>WASTE CONTROL, INC.</v>
      </c>
      <c r="B1" s="1299"/>
      <c r="C1" s="1299"/>
      <c r="D1" s="1299"/>
      <c r="E1" s="1299"/>
      <c r="F1" s="1299"/>
      <c r="G1" s="1299"/>
      <c r="H1" s="1299"/>
      <c r="I1" s="1299"/>
      <c r="J1" s="1299"/>
      <c r="K1" s="1299"/>
      <c r="L1" s="1299"/>
      <c r="M1" s="1299"/>
      <c r="N1" s="1299"/>
      <c r="O1" s="1299"/>
      <c r="P1" s="1299"/>
      <c r="Q1" s="1299"/>
      <c r="R1" s="1299"/>
      <c r="S1" s="1299"/>
      <c r="T1" s="1299"/>
    </row>
    <row r="2" spans="1:23" ht="13.5" customHeight="1">
      <c r="A2" s="383"/>
      <c r="V2" s="388" t="s">
        <v>696</v>
      </c>
      <c r="W2" s="389" t="s">
        <v>1085</v>
      </c>
    </row>
    <row r="3" spans="1:23">
      <c r="A3" s="1299" t="s">
        <v>360</v>
      </c>
      <c r="B3" s="1299"/>
      <c r="C3" s="1299"/>
      <c r="D3" s="1299"/>
      <c r="E3" s="1299"/>
      <c r="F3" s="1299"/>
      <c r="G3" s="1299"/>
      <c r="H3" s="1299"/>
      <c r="I3" s="1299"/>
      <c r="J3" s="1299"/>
      <c r="K3" s="1299"/>
      <c r="L3" s="1299"/>
      <c r="M3" s="1299"/>
      <c r="N3" s="1299"/>
      <c r="O3" s="1299"/>
      <c r="P3" s="1299"/>
      <c r="Q3" s="1299"/>
      <c r="R3" s="1299"/>
      <c r="S3" s="1299"/>
      <c r="T3" s="1299"/>
      <c r="V3" s="388" t="s">
        <v>697</v>
      </c>
      <c r="W3" s="389" t="s">
        <v>708</v>
      </c>
    </row>
    <row r="4" spans="1:23">
      <c r="A4" s="390"/>
      <c r="B4" s="390"/>
      <c r="C4" s="390"/>
      <c r="D4" s="390"/>
      <c r="E4" s="390"/>
      <c r="F4" s="390"/>
      <c r="G4" s="390"/>
      <c r="H4" s="390"/>
      <c r="I4" s="390"/>
      <c r="J4" s="390"/>
      <c r="K4" s="390"/>
      <c r="L4" s="390"/>
      <c r="M4" s="390"/>
      <c r="N4" s="390"/>
      <c r="O4" s="390"/>
      <c r="P4" s="868"/>
      <c r="Q4" s="868"/>
      <c r="R4" s="868"/>
      <c r="S4" s="868"/>
      <c r="T4" s="390"/>
      <c r="V4" s="388" t="s">
        <v>698</v>
      </c>
      <c r="W4" s="389" t="s">
        <v>1086</v>
      </c>
    </row>
    <row r="5" spans="1:23">
      <c r="A5" s="1299" t="str">
        <f>'Fly Sheet'!$A$20</f>
        <v>For the Twelve Months Ended March 31, 2018 Historical and September 30, 2019 Forecasted</v>
      </c>
      <c r="B5" s="1299"/>
      <c r="C5" s="1299"/>
      <c r="D5" s="1299"/>
      <c r="E5" s="1299"/>
      <c r="F5" s="1299"/>
      <c r="G5" s="1299"/>
      <c r="H5" s="1299"/>
      <c r="I5" s="1299"/>
      <c r="J5" s="1299"/>
      <c r="K5" s="1299"/>
      <c r="L5" s="1299"/>
      <c r="M5" s="1299"/>
      <c r="N5" s="1299"/>
      <c r="O5" s="1299"/>
      <c r="P5" s="1299"/>
      <c r="Q5" s="1299"/>
      <c r="R5" s="1299"/>
      <c r="S5" s="1299"/>
      <c r="T5" s="1299"/>
      <c r="V5" s="388" t="s">
        <v>699</v>
      </c>
      <c r="W5" s="389" t="s">
        <v>700</v>
      </c>
    </row>
    <row r="6" spans="1:23">
      <c r="A6" s="1299"/>
      <c r="B6" s="1299"/>
      <c r="C6" s="1299"/>
      <c r="D6" s="1299"/>
      <c r="E6" s="1299"/>
      <c r="F6" s="1299"/>
      <c r="G6" s="1299"/>
      <c r="H6" s="1299"/>
      <c r="I6" s="1299"/>
      <c r="J6" s="1299"/>
      <c r="K6" s="1299"/>
      <c r="L6" s="1299"/>
      <c r="M6" s="1299"/>
      <c r="N6" s="1299"/>
      <c r="O6" s="1299"/>
      <c r="P6" s="1299"/>
      <c r="Q6" s="1299"/>
      <c r="R6" s="1299"/>
      <c r="S6" s="1299"/>
      <c r="T6" s="1299"/>
    </row>
    <row r="7" spans="1:23">
      <c r="A7" s="390"/>
      <c r="B7" s="390"/>
      <c r="C7" s="391"/>
      <c r="D7" s="390"/>
      <c r="E7" s="391"/>
      <c r="F7" s="390"/>
      <c r="G7" s="391"/>
      <c r="H7" s="390"/>
      <c r="I7" s="391"/>
      <c r="J7" s="390"/>
      <c r="K7" s="391"/>
      <c r="L7" s="390"/>
      <c r="M7" s="391"/>
      <c r="N7" s="390"/>
      <c r="O7" s="390"/>
      <c r="P7" s="868"/>
      <c r="Q7" s="868"/>
      <c r="R7" s="868"/>
      <c r="S7" s="868"/>
      <c r="T7" s="390"/>
    </row>
    <row r="8" spans="1:23" ht="12.95" customHeight="1">
      <c r="A8" s="392"/>
      <c r="B8" s="393" t="s">
        <v>107</v>
      </c>
      <c r="C8" s="394"/>
      <c r="D8" s="393" t="s">
        <v>108</v>
      </c>
      <c r="E8" s="394"/>
      <c r="F8" s="393" t="s">
        <v>109</v>
      </c>
      <c r="G8" s="394"/>
      <c r="H8" s="393" t="s">
        <v>110</v>
      </c>
      <c r="I8" s="394"/>
      <c r="J8" s="393" t="s">
        <v>111</v>
      </c>
      <c r="K8" s="394"/>
      <c r="L8" s="393" t="s">
        <v>112</v>
      </c>
      <c r="M8" s="394"/>
      <c r="N8" s="393" t="s">
        <v>113</v>
      </c>
      <c r="O8" s="393"/>
      <c r="P8" s="393" t="s">
        <v>1078</v>
      </c>
      <c r="Q8" s="393"/>
      <c r="R8" s="393" t="s">
        <v>1079</v>
      </c>
      <c r="S8" s="393"/>
      <c r="T8" s="395"/>
    </row>
    <row r="9" spans="1:23" ht="12.95" customHeight="1">
      <c r="A9" s="392"/>
      <c r="B9" s="393" t="s">
        <v>61</v>
      </c>
      <c r="C9" s="394"/>
      <c r="D9" s="398" t="s">
        <v>62</v>
      </c>
      <c r="E9" s="396"/>
      <c r="F9" s="393" t="s">
        <v>91</v>
      </c>
      <c r="G9" s="394"/>
      <c r="H9" s="393" t="s">
        <v>60</v>
      </c>
      <c r="I9" s="394"/>
      <c r="J9" s="393" t="s">
        <v>59</v>
      </c>
      <c r="K9" s="397"/>
      <c r="L9" s="393" t="s">
        <v>60</v>
      </c>
      <c r="M9" s="394"/>
      <c r="N9" s="393" t="s">
        <v>59</v>
      </c>
      <c r="O9" s="393"/>
      <c r="P9" s="393" t="s">
        <v>60</v>
      </c>
      <c r="Q9" s="393"/>
      <c r="R9" s="393" t="s">
        <v>59</v>
      </c>
      <c r="S9" s="393"/>
      <c r="T9" s="393" t="s">
        <v>0</v>
      </c>
    </row>
    <row r="10" spans="1:23" ht="12.95" customHeight="1">
      <c r="A10" s="392"/>
      <c r="B10" s="393" t="s">
        <v>65</v>
      </c>
      <c r="C10" s="394"/>
      <c r="D10" s="399" t="s">
        <v>78</v>
      </c>
      <c r="E10" s="399"/>
      <c r="F10" s="393" t="s">
        <v>100</v>
      </c>
      <c r="G10" s="394"/>
      <c r="H10" s="393" t="s">
        <v>66</v>
      </c>
      <c r="I10" s="394"/>
      <c r="J10" s="393" t="s">
        <v>1080</v>
      </c>
      <c r="K10" s="394"/>
      <c r="L10" s="393" t="s">
        <v>102</v>
      </c>
      <c r="M10" s="394"/>
      <c r="N10" s="393" t="s">
        <v>1081</v>
      </c>
      <c r="O10" s="393"/>
      <c r="P10" s="393" t="s">
        <v>1082</v>
      </c>
      <c r="Q10" s="393"/>
      <c r="R10" s="393" t="s">
        <v>1081</v>
      </c>
      <c r="S10" s="393"/>
      <c r="T10" s="393" t="s">
        <v>67</v>
      </c>
    </row>
    <row r="11" spans="1:23" ht="12.95" customHeight="1">
      <c r="A11" s="392"/>
      <c r="B11" s="400" t="s">
        <v>70</v>
      </c>
      <c r="C11" s="394"/>
      <c r="D11" s="401" t="s">
        <v>1056</v>
      </c>
      <c r="E11" s="399"/>
      <c r="F11" s="400" t="s">
        <v>373</v>
      </c>
      <c r="G11" s="394"/>
      <c r="H11" s="400" t="s">
        <v>12</v>
      </c>
      <c r="I11" s="394"/>
      <c r="J11" s="400" t="s">
        <v>711</v>
      </c>
      <c r="K11" s="394"/>
      <c r="L11" s="400" t="s">
        <v>76</v>
      </c>
      <c r="M11" s="394"/>
      <c r="N11" s="400" t="s">
        <v>33</v>
      </c>
      <c r="O11" s="400"/>
      <c r="P11" s="400" t="s">
        <v>1083</v>
      </c>
      <c r="Q11" s="400"/>
      <c r="R11" s="400" t="s">
        <v>43</v>
      </c>
      <c r="S11" s="400"/>
      <c r="T11" s="400" t="s">
        <v>71</v>
      </c>
    </row>
    <row r="12" spans="1:23" ht="15" customHeight="1">
      <c r="A12" s="402" t="str">
        <f>+Operations!B11</f>
        <v>REVENUES</v>
      </c>
      <c r="B12" s="392"/>
      <c r="C12" s="403"/>
      <c r="D12" s="404"/>
      <c r="E12" s="405"/>
      <c r="F12" s="392"/>
      <c r="G12" s="403"/>
      <c r="H12" s="392"/>
      <c r="I12" s="403"/>
      <c r="J12" s="392"/>
      <c r="K12" s="403"/>
      <c r="L12" s="392"/>
      <c r="M12" s="403"/>
      <c r="N12" s="392"/>
      <c r="O12" s="392"/>
      <c r="P12" s="392"/>
      <c r="Q12" s="392"/>
      <c r="R12" s="392"/>
      <c r="S12" s="392"/>
      <c r="T12" s="392"/>
    </row>
    <row r="13" spans="1:23" ht="15" customHeight="1">
      <c r="A13" s="406" t="s">
        <v>74</v>
      </c>
      <c r="B13" s="635">
        <v>0</v>
      </c>
      <c r="C13" s="636"/>
      <c r="D13" s="635">
        <v>-10008.290000000001</v>
      </c>
      <c r="E13" s="636" t="s">
        <v>668</v>
      </c>
      <c r="F13" s="635">
        <v>0</v>
      </c>
      <c r="G13" s="636"/>
      <c r="H13" s="635">
        <v>0</v>
      </c>
      <c r="I13" s="636"/>
      <c r="J13" s="635">
        <v>0</v>
      </c>
      <c r="K13" s="636"/>
      <c r="L13" s="635">
        <v>0</v>
      </c>
      <c r="M13" s="636"/>
      <c r="N13" s="635">
        <v>0</v>
      </c>
      <c r="O13" s="637"/>
      <c r="P13" s="635">
        <v>0</v>
      </c>
      <c r="Q13" s="637"/>
      <c r="R13" s="635">
        <v>0</v>
      </c>
      <c r="S13" s="637"/>
      <c r="T13" s="635">
        <f>SUM(B13:R13)</f>
        <v>-10008.290000000001</v>
      </c>
    </row>
    <row r="14" spans="1:23" ht="15" customHeight="1">
      <c r="A14" s="406" t="s">
        <v>75</v>
      </c>
      <c r="B14" s="637">
        <v>0</v>
      </c>
      <c r="C14" s="636"/>
      <c r="D14" s="637">
        <v>-2536.36</v>
      </c>
      <c r="E14" s="636" t="s">
        <v>668</v>
      </c>
      <c r="F14" s="637">
        <v>0</v>
      </c>
      <c r="G14" s="636"/>
      <c r="H14" s="637">
        <v>0</v>
      </c>
      <c r="I14" s="636"/>
      <c r="J14" s="637">
        <v>0</v>
      </c>
      <c r="K14" s="636"/>
      <c r="L14" s="637">
        <v>0</v>
      </c>
      <c r="M14" s="636"/>
      <c r="N14" s="637">
        <v>0</v>
      </c>
      <c r="O14" s="637"/>
      <c r="P14" s="637">
        <v>0</v>
      </c>
      <c r="Q14" s="637"/>
      <c r="R14" s="637">
        <v>0</v>
      </c>
      <c r="S14" s="637"/>
      <c r="T14" s="637">
        <f>SUM(B14:R14)</f>
        <v>-2536.36</v>
      </c>
    </row>
    <row r="15" spans="1:23" ht="15" customHeight="1">
      <c r="A15" s="406" t="s">
        <v>7</v>
      </c>
      <c r="B15" s="637">
        <v>0</v>
      </c>
      <c r="C15" s="636"/>
      <c r="D15" s="637">
        <v>-2290.34</v>
      </c>
      <c r="E15" s="636" t="s">
        <v>668</v>
      </c>
      <c r="F15" s="637">
        <v>0</v>
      </c>
      <c r="G15" s="636"/>
      <c r="H15" s="637">
        <v>0</v>
      </c>
      <c r="I15" s="636"/>
      <c r="J15" s="637">
        <v>0</v>
      </c>
      <c r="K15" s="636"/>
      <c r="L15" s="637">
        <v>0</v>
      </c>
      <c r="M15" s="636"/>
      <c r="N15" s="637">
        <v>0</v>
      </c>
      <c r="O15" s="637"/>
      <c r="P15" s="637">
        <v>0</v>
      </c>
      <c r="Q15" s="637"/>
      <c r="R15" s="637">
        <v>0</v>
      </c>
      <c r="S15" s="637"/>
      <c r="T15" s="637">
        <f t="shared" ref="T15:T20" si="0">SUM(B15:R15)</f>
        <v>-2290.34</v>
      </c>
    </row>
    <row r="16" spans="1:23" ht="15" customHeight="1">
      <c r="A16" s="406" t="s">
        <v>440</v>
      </c>
      <c r="B16" s="407">
        <v>0</v>
      </c>
      <c r="C16" s="636"/>
      <c r="D16" s="407">
        <v>0</v>
      </c>
      <c r="E16" s="636"/>
      <c r="F16" s="407">
        <v>0</v>
      </c>
      <c r="G16" s="636"/>
      <c r="H16" s="407">
        <v>0</v>
      </c>
      <c r="I16" s="636"/>
      <c r="J16" s="407">
        <v>0</v>
      </c>
      <c r="K16" s="636"/>
      <c r="L16" s="407">
        <v>0</v>
      </c>
      <c r="M16" s="636"/>
      <c r="N16" s="407">
        <f>-Operations!C15</f>
        <v>0</v>
      </c>
      <c r="O16" s="637"/>
      <c r="P16" s="637">
        <v>0</v>
      </c>
      <c r="Q16" s="637"/>
      <c r="R16" s="637">
        <v>0</v>
      </c>
      <c r="S16" s="637"/>
      <c r="T16" s="637">
        <f t="shared" si="0"/>
        <v>0</v>
      </c>
    </row>
    <row r="17" spans="1:20" ht="15" customHeight="1">
      <c r="A17" s="406" t="s">
        <v>22</v>
      </c>
      <c r="B17" s="407">
        <v>0</v>
      </c>
      <c r="C17" s="636"/>
      <c r="D17" s="407">
        <v>0</v>
      </c>
      <c r="E17" s="636"/>
      <c r="F17" s="407">
        <v>0</v>
      </c>
      <c r="G17" s="636"/>
      <c r="H17" s="407">
        <v>0</v>
      </c>
      <c r="I17" s="636"/>
      <c r="J17" s="407">
        <v>0</v>
      </c>
      <c r="K17" s="636"/>
      <c r="L17" s="407">
        <v>0</v>
      </c>
      <c r="M17" s="636"/>
      <c r="N17" s="407">
        <v>0</v>
      </c>
      <c r="O17" s="637"/>
      <c r="P17" s="637">
        <v>0</v>
      </c>
      <c r="Q17" s="637"/>
      <c r="R17" s="637">
        <v>0</v>
      </c>
      <c r="S17" s="637"/>
      <c r="T17" s="637">
        <f t="shared" si="0"/>
        <v>0</v>
      </c>
    </row>
    <row r="18" spans="1:20" ht="15" customHeight="1">
      <c r="A18" s="406" t="s">
        <v>77</v>
      </c>
      <c r="B18" s="637">
        <v>0</v>
      </c>
      <c r="C18" s="636"/>
      <c r="D18" s="637">
        <v>0</v>
      </c>
      <c r="E18" s="636"/>
      <c r="F18" s="637">
        <v>0</v>
      </c>
      <c r="G18" s="636"/>
      <c r="H18" s="637">
        <v>0</v>
      </c>
      <c r="I18" s="636"/>
      <c r="J18" s="637">
        <v>0</v>
      </c>
      <c r="K18" s="636"/>
      <c r="L18" s="637">
        <v>0</v>
      </c>
      <c r="M18" s="636"/>
      <c r="N18" s="637">
        <v>0</v>
      </c>
      <c r="O18" s="407"/>
      <c r="P18" s="407">
        <v>0</v>
      </c>
      <c r="Q18" s="407"/>
      <c r="R18" s="407">
        <v>0</v>
      </c>
      <c r="S18" s="407"/>
      <c r="T18" s="637">
        <f t="shared" si="0"/>
        <v>0</v>
      </c>
    </row>
    <row r="19" spans="1:20" ht="15" customHeight="1">
      <c r="A19" s="406" t="s">
        <v>96</v>
      </c>
      <c r="B19" s="637">
        <v>0</v>
      </c>
      <c r="C19" s="636"/>
      <c r="D19" s="637">
        <v>0</v>
      </c>
      <c r="E19" s="636"/>
      <c r="F19" s="637">
        <v>0</v>
      </c>
      <c r="G19" s="636"/>
      <c r="H19" s="637">
        <v>0</v>
      </c>
      <c r="I19" s="636"/>
      <c r="J19" s="637">
        <v>0</v>
      </c>
      <c r="K19" s="636"/>
      <c r="L19" s="637">
        <v>0</v>
      </c>
      <c r="M19" s="636"/>
      <c r="N19" s="637">
        <v>0</v>
      </c>
      <c r="O19" s="407"/>
      <c r="P19" s="407">
        <v>0</v>
      </c>
      <c r="Q19" s="407"/>
      <c r="R19" s="407">
        <v>0</v>
      </c>
      <c r="S19" s="407"/>
      <c r="T19" s="637">
        <f t="shared" si="0"/>
        <v>0</v>
      </c>
    </row>
    <row r="20" spans="1:20" ht="15" customHeight="1">
      <c r="A20" s="406" t="s">
        <v>78</v>
      </c>
      <c r="B20" s="638">
        <v>0</v>
      </c>
      <c r="C20" s="636"/>
      <c r="D20" s="637">
        <f>-Operations!C19</f>
        <v>14834.99</v>
      </c>
      <c r="E20" s="636" t="s">
        <v>668</v>
      </c>
      <c r="F20" s="638">
        <v>0</v>
      </c>
      <c r="G20" s="636"/>
      <c r="H20" s="638">
        <v>0</v>
      </c>
      <c r="I20" s="636"/>
      <c r="J20" s="638">
        <v>0</v>
      </c>
      <c r="K20" s="636"/>
      <c r="L20" s="638">
        <v>0</v>
      </c>
      <c r="M20" s="636"/>
      <c r="N20" s="638">
        <v>0</v>
      </c>
      <c r="O20" s="636"/>
      <c r="P20" s="654">
        <v>0</v>
      </c>
      <c r="Q20" s="636"/>
      <c r="R20" s="654">
        <v>0</v>
      </c>
      <c r="S20" s="636"/>
      <c r="T20" s="637">
        <f t="shared" si="0"/>
        <v>14834.99</v>
      </c>
    </row>
    <row r="21" spans="1:20" ht="15" customHeight="1">
      <c r="A21" s="392"/>
      <c r="B21" s="638">
        <f>SUM(B13:B20)</f>
        <v>0</v>
      </c>
      <c r="C21" s="636"/>
      <c r="D21" s="645">
        <f>SUM(D13:D20)</f>
        <v>0</v>
      </c>
      <c r="E21" s="636"/>
      <c r="F21" s="638">
        <f>SUM(F13:F20)</f>
        <v>0</v>
      </c>
      <c r="G21" s="636"/>
      <c r="H21" s="638">
        <f>SUM(H13:H20)</f>
        <v>0</v>
      </c>
      <c r="I21" s="636"/>
      <c r="J21" s="638">
        <f>SUM(J13:J20)</f>
        <v>0</v>
      </c>
      <c r="K21" s="636"/>
      <c r="L21" s="638">
        <f>SUM(L13:L20)</f>
        <v>0</v>
      </c>
      <c r="M21" s="636"/>
      <c r="N21" s="638">
        <f>SUM(N13:N20)</f>
        <v>0</v>
      </c>
      <c r="O21" s="636"/>
      <c r="P21" s="638">
        <f>SUM(P13:P20)</f>
        <v>0</v>
      </c>
      <c r="Q21" s="636"/>
      <c r="R21" s="638">
        <f>SUM(R13:R20)</f>
        <v>0</v>
      </c>
      <c r="S21" s="636"/>
      <c r="T21" s="645">
        <f>SUM(T13:T20)</f>
        <v>0</v>
      </c>
    </row>
    <row r="22" spans="1:20" ht="15" customHeight="1">
      <c r="A22" s="392"/>
      <c r="B22" s="636"/>
      <c r="C22" s="636"/>
      <c r="D22" s="636"/>
      <c r="E22" s="636"/>
      <c r="F22" s="636"/>
      <c r="G22" s="636"/>
      <c r="H22" s="636"/>
      <c r="I22" s="636"/>
      <c r="J22" s="636"/>
      <c r="K22" s="636"/>
      <c r="L22" s="636"/>
      <c r="M22" s="636"/>
      <c r="N22" s="636"/>
      <c r="O22" s="636"/>
      <c r="P22" s="636"/>
      <c r="Q22" s="636"/>
      <c r="R22" s="636"/>
      <c r="S22" s="636"/>
      <c r="T22" s="636"/>
    </row>
    <row r="23" spans="1:20" ht="15" customHeight="1">
      <c r="A23" s="408" t="str">
        <f>+Operations!B23</f>
        <v>OPERATING EXPENSES</v>
      </c>
      <c r="B23" s="637"/>
      <c r="C23" s="636"/>
      <c r="D23" s="637"/>
      <c r="E23" s="636"/>
      <c r="F23" s="637"/>
      <c r="G23" s="636"/>
      <c r="H23" s="637"/>
      <c r="I23" s="636"/>
      <c r="J23" s="637"/>
      <c r="K23" s="636"/>
      <c r="L23" s="637"/>
      <c r="M23" s="636"/>
      <c r="N23" s="637"/>
      <c r="O23" s="637"/>
      <c r="P23" s="637"/>
      <c r="Q23" s="637"/>
      <c r="R23" s="637"/>
      <c r="S23" s="637"/>
      <c r="T23" s="637"/>
    </row>
    <row r="24" spans="1:20" ht="15" customHeight="1">
      <c r="A24" s="406" t="s">
        <v>13</v>
      </c>
      <c r="B24" s="637">
        <v>0</v>
      </c>
      <c r="C24" s="636"/>
      <c r="D24" s="637">
        <v>0</v>
      </c>
      <c r="E24" s="636"/>
      <c r="F24" s="637">
        <v>0</v>
      </c>
      <c r="G24" s="636"/>
      <c r="H24" s="637">
        <v>0</v>
      </c>
      <c r="I24" s="636"/>
      <c r="J24" s="637">
        <v>0</v>
      </c>
      <c r="K24" s="636"/>
      <c r="L24" s="637">
        <v>0</v>
      </c>
      <c r="M24" s="636"/>
      <c r="N24" s="637">
        <v>0</v>
      </c>
      <c r="O24" s="637"/>
      <c r="P24" s="637">
        <v>0</v>
      </c>
      <c r="Q24" s="637"/>
      <c r="R24" s="637">
        <v>0</v>
      </c>
      <c r="S24" s="637"/>
      <c r="T24" s="637">
        <f>SUM(B24:R24)</f>
        <v>0</v>
      </c>
    </row>
    <row r="25" spans="1:20" ht="15" customHeight="1">
      <c r="A25" s="406" t="s">
        <v>14</v>
      </c>
      <c r="B25" s="637">
        <v>0</v>
      </c>
      <c r="C25" s="636"/>
      <c r="D25" s="637">
        <v>0</v>
      </c>
      <c r="E25" s="636"/>
      <c r="F25" s="637">
        <v>0</v>
      </c>
      <c r="G25" s="636"/>
      <c r="H25" s="637">
        <v>0</v>
      </c>
      <c r="I25" s="636"/>
      <c r="J25" s="637">
        <v>0</v>
      </c>
      <c r="K25" s="636"/>
      <c r="L25" s="637">
        <v>0</v>
      </c>
      <c r="M25" s="636"/>
      <c r="N25" s="637">
        <v>0</v>
      </c>
      <c r="O25" s="637"/>
      <c r="P25" s="637">
        <v>0</v>
      </c>
      <c r="Q25" s="637"/>
      <c r="R25" s="637">
        <v>0</v>
      </c>
      <c r="S25" s="637"/>
      <c r="T25" s="637">
        <f t="shared" ref="T25:T88" si="1">SUM(B25:R25)</f>
        <v>0</v>
      </c>
    </row>
    <row r="26" spans="1:20" ht="15" customHeight="1">
      <c r="A26" s="406" t="s">
        <v>15</v>
      </c>
      <c r="B26" s="637">
        <v>0</v>
      </c>
      <c r="C26" s="636"/>
      <c r="D26" s="637">
        <v>0</v>
      </c>
      <c r="E26" s="636"/>
      <c r="F26" s="637">
        <v>0</v>
      </c>
      <c r="G26" s="636"/>
      <c r="H26" s="637">
        <v>0</v>
      </c>
      <c r="I26" s="636"/>
      <c r="J26" s="637">
        <v>0</v>
      </c>
      <c r="K26" s="636"/>
      <c r="L26" s="637">
        <v>0</v>
      </c>
      <c r="M26" s="636"/>
      <c r="N26" s="637">
        <v>0</v>
      </c>
      <c r="O26" s="637"/>
      <c r="P26" s="637">
        <v>0</v>
      </c>
      <c r="Q26" s="637"/>
      <c r="R26" s="637">
        <v>0</v>
      </c>
      <c r="S26" s="637"/>
      <c r="T26" s="637">
        <f t="shared" si="1"/>
        <v>0</v>
      </c>
    </row>
    <row r="27" spans="1:20" ht="15" customHeight="1">
      <c r="A27" s="406" t="s">
        <v>16</v>
      </c>
      <c r="B27" s="637">
        <v>0</v>
      </c>
      <c r="C27" s="636"/>
      <c r="D27" s="637">
        <v>0</v>
      </c>
      <c r="E27" s="636"/>
      <c r="F27" s="637">
        <v>0</v>
      </c>
      <c r="G27" s="636"/>
      <c r="H27" s="637">
        <v>0</v>
      </c>
      <c r="I27" s="636"/>
      <c r="J27" s="637">
        <v>0</v>
      </c>
      <c r="K27" s="636"/>
      <c r="L27" s="637">
        <v>0</v>
      </c>
      <c r="M27" s="636"/>
      <c r="N27" s="637">
        <v>0</v>
      </c>
      <c r="O27" s="637"/>
      <c r="P27" s="637">
        <v>0</v>
      </c>
      <c r="Q27" s="637"/>
      <c r="R27" s="637">
        <v>0</v>
      </c>
      <c r="S27" s="637"/>
      <c r="T27" s="637">
        <f t="shared" si="1"/>
        <v>0</v>
      </c>
    </row>
    <row r="28" spans="1:20" ht="15" customHeight="1">
      <c r="A28" s="406" t="s">
        <v>118</v>
      </c>
      <c r="B28" s="637">
        <v>0</v>
      </c>
      <c r="C28" s="636"/>
      <c r="D28" s="637">
        <v>0</v>
      </c>
      <c r="E28" s="636"/>
      <c r="F28" s="637">
        <v>0</v>
      </c>
      <c r="G28" s="636"/>
      <c r="H28" s="637">
        <v>0</v>
      </c>
      <c r="I28" s="636"/>
      <c r="J28" s="637">
        <v>0</v>
      </c>
      <c r="K28" s="636"/>
      <c r="L28" s="637">
        <v>0</v>
      </c>
      <c r="M28" s="636"/>
      <c r="N28" s="637">
        <v>0</v>
      </c>
      <c r="O28" s="637"/>
      <c r="P28" s="637">
        <v>0</v>
      </c>
      <c r="Q28" s="637"/>
      <c r="R28" s="637">
        <v>0</v>
      </c>
      <c r="S28" s="637"/>
      <c r="T28" s="637">
        <f t="shared" si="1"/>
        <v>0</v>
      </c>
    </row>
    <row r="29" spans="1:20" ht="15" customHeight="1">
      <c r="A29" s="406" t="s">
        <v>17</v>
      </c>
      <c r="B29" s="637">
        <v>0</v>
      </c>
      <c r="C29" s="636"/>
      <c r="D29" s="637">
        <v>0</v>
      </c>
      <c r="E29" s="636"/>
      <c r="F29" s="637">
        <f>-SUM(F31:F96)</f>
        <v>361371.43999999994</v>
      </c>
      <c r="G29" s="636"/>
      <c r="H29" s="637">
        <v>0</v>
      </c>
      <c r="I29" s="636"/>
      <c r="J29" s="637">
        <v>0</v>
      </c>
      <c r="K29" s="636"/>
      <c r="L29" s="637">
        <v>0</v>
      </c>
      <c r="M29" s="636"/>
      <c r="N29" s="637">
        <v>0</v>
      </c>
      <c r="O29" s="637"/>
      <c r="P29" s="637">
        <v>0</v>
      </c>
      <c r="Q29" s="637"/>
      <c r="R29" s="637">
        <v>0</v>
      </c>
      <c r="S29" s="637"/>
      <c r="T29" s="637">
        <f t="shared" si="1"/>
        <v>361371.43999999994</v>
      </c>
    </row>
    <row r="30" spans="1:20" ht="15" customHeight="1">
      <c r="A30" s="406" t="s">
        <v>409</v>
      </c>
      <c r="B30" s="407">
        <v>0</v>
      </c>
      <c r="C30" s="636"/>
      <c r="D30" s="407">
        <v>0</v>
      </c>
      <c r="E30" s="636"/>
      <c r="F30" s="407">
        <v>0</v>
      </c>
      <c r="G30" s="636"/>
      <c r="H30" s="407">
        <v>0</v>
      </c>
      <c r="I30" s="636"/>
      <c r="J30" s="407">
        <v>0</v>
      </c>
      <c r="K30" s="636"/>
      <c r="L30" s="407">
        <v>0</v>
      </c>
      <c r="M30" s="636"/>
      <c r="N30" s="637">
        <v>0</v>
      </c>
      <c r="O30" s="637"/>
      <c r="P30" s="637">
        <v>0</v>
      </c>
      <c r="Q30" s="637"/>
      <c r="R30" s="637">
        <v>0</v>
      </c>
      <c r="S30" s="637"/>
      <c r="T30" s="637">
        <f t="shared" si="1"/>
        <v>0</v>
      </c>
    </row>
    <row r="31" spans="1:20" ht="15" customHeight="1">
      <c r="A31" s="406" t="s">
        <v>18</v>
      </c>
      <c r="B31" s="637">
        <v>0</v>
      </c>
      <c r="C31" s="636"/>
      <c r="D31" s="637">
        <v>0</v>
      </c>
      <c r="E31" s="636"/>
      <c r="F31" s="637">
        <v>0</v>
      </c>
      <c r="G31" s="636"/>
      <c r="H31" s="637">
        <v>0</v>
      </c>
      <c r="I31" s="636"/>
      <c r="J31" s="637">
        <v>0</v>
      </c>
      <c r="K31" s="636"/>
      <c r="L31" s="637">
        <v>0</v>
      </c>
      <c r="M31" s="636"/>
      <c r="N31" s="637">
        <v>0</v>
      </c>
      <c r="O31" s="637"/>
      <c r="P31" s="637">
        <v>0</v>
      </c>
      <c r="Q31" s="637"/>
      <c r="R31" s="637">
        <v>0</v>
      </c>
      <c r="S31" s="637"/>
      <c r="T31" s="637">
        <f t="shared" si="1"/>
        <v>0</v>
      </c>
    </row>
    <row r="32" spans="1:20" ht="15" customHeight="1">
      <c r="A32" s="406" t="s">
        <v>662</v>
      </c>
      <c r="B32" s="637">
        <v>0</v>
      </c>
      <c r="C32" s="636"/>
      <c r="D32" s="637">
        <v>0</v>
      </c>
      <c r="E32" s="636"/>
      <c r="F32" s="637">
        <v>0</v>
      </c>
      <c r="G32" s="636"/>
      <c r="H32" s="637">
        <v>0</v>
      </c>
      <c r="I32" s="636"/>
      <c r="J32" s="637">
        <v>0</v>
      </c>
      <c r="K32" s="636"/>
      <c r="L32" s="637">
        <v>0</v>
      </c>
      <c r="M32" s="636"/>
      <c r="N32" s="637">
        <v>0</v>
      </c>
      <c r="O32" s="637"/>
      <c r="P32" s="637">
        <v>0</v>
      </c>
      <c r="Q32" s="637"/>
      <c r="R32" s="637">
        <v>0</v>
      </c>
      <c r="S32" s="637"/>
      <c r="T32" s="637">
        <f t="shared" si="1"/>
        <v>0</v>
      </c>
    </row>
    <row r="33" spans="1:20" ht="15" customHeight="1">
      <c r="A33" s="406" t="s">
        <v>25</v>
      </c>
      <c r="B33" s="637">
        <v>0</v>
      </c>
      <c r="C33" s="636"/>
      <c r="D33" s="637">
        <v>0</v>
      </c>
      <c r="E33" s="636"/>
      <c r="F33" s="637">
        <v>0</v>
      </c>
      <c r="G33" s="636"/>
      <c r="H33" s="637">
        <v>0</v>
      </c>
      <c r="I33" s="636"/>
      <c r="J33" s="637">
        <v>0</v>
      </c>
      <c r="K33" s="636"/>
      <c r="L33" s="637">
        <v>0</v>
      </c>
      <c r="M33" s="655"/>
      <c r="N33" s="637">
        <v>0</v>
      </c>
      <c r="O33" s="407"/>
      <c r="P33" s="407">
        <v>0</v>
      </c>
      <c r="Q33" s="407"/>
      <c r="R33" s="407">
        <v>0</v>
      </c>
      <c r="S33" s="407"/>
      <c r="T33" s="637">
        <f t="shared" si="1"/>
        <v>0</v>
      </c>
    </row>
    <row r="34" spans="1:20" ht="15" customHeight="1">
      <c r="A34" s="406" t="s">
        <v>156</v>
      </c>
      <c r="B34" s="637">
        <v>0</v>
      </c>
      <c r="C34" s="636"/>
      <c r="D34" s="637">
        <v>0</v>
      </c>
      <c r="E34" s="636"/>
      <c r="F34" s="637">
        <v>0</v>
      </c>
      <c r="G34" s="636"/>
      <c r="H34" s="637">
        <v>0</v>
      </c>
      <c r="I34" s="636"/>
      <c r="J34" s="637">
        <v>0</v>
      </c>
      <c r="K34" s="636"/>
      <c r="L34" s="637">
        <v>0</v>
      </c>
      <c r="M34" s="636"/>
      <c r="N34" s="637">
        <v>0</v>
      </c>
      <c r="O34" s="407"/>
      <c r="P34" s="407">
        <v>0</v>
      </c>
      <c r="Q34" s="407"/>
      <c r="R34" s="407">
        <v>0</v>
      </c>
      <c r="S34" s="407"/>
      <c r="T34" s="637">
        <f t="shared" si="1"/>
        <v>0</v>
      </c>
    </row>
    <row r="35" spans="1:20" ht="15" customHeight="1">
      <c r="A35" s="406" t="s">
        <v>20</v>
      </c>
      <c r="B35" s="637">
        <v>0</v>
      </c>
      <c r="C35" s="636"/>
      <c r="D35" s="637">
        <v>0</v>
      </c>
      <c r="E35" s="636"/>
      <c r="F35" s="637">
        <v>0</v>
      </c>
      <c r="G35" s="636"/>
      <c r="H35" s="637">
        <v>0</v>
      </c>
      <c r="I35" s="636"/>
      <c r="J35" s="637">
        <v>0</v>
      </c>
      <c r="K35" s="636"/>
      <c r="L35" s="637">
        <v>0</v>
      </c>
      <c r="M35" s="655"/>
      <c r="N35" s="637"/>
      <c r="O35" s="637"/>
      <c r="P35" s="637">
        <v>0</v>
      </c>
      <c r="Q35" s="637"/>
      <c r="R35" s="637">
        <v>0</v>
      </c>
      <c r="S35" s="637"/>
      <c r="T35" s="637">
        <f t="shared" si="1"/>
        <v>0</v>
      </c>
    </row>
    <row r="36" spans="1:20" ht="15" customHeight="1">
      <c r="A36" s="406" t="s">
        <v>21</v>
      </c>
      <c r="B36" s="637">
        <v>0</v>
      </c>
      <c r="C36" s="636"/>
      <c r="D36" s="637">
        <v>0</v>
      </c>
      <c r="E36" s="636"/>
      <c r="F36" s="637">
        <v>0</v>
      </c>
      <c r="G36" s="636"/>
      <c r="H36" s="637">
        <v>0</v>
      </c>
      <c r="I36" s="636"/>
      <c r="J36" s="637">
        <v>0</v>
      </c>
      <c r="K36" s="636"/>
      <c r="L36" s="637">
        <v>0</v>
      </c>
      <c r="M36" s="636"/>
      <c r="N36" s="637">
        <v>0</v>
      </c>
      <c r="O36" s="637"/>
      <c r="P36" s="637">
        <v>0</v>
      </c>
      <c r="Q36" s="637"/>
      <c r="R36" s="637">
        <v>0</v>
      </c>
      <c r="S36" s="637"/>
      <c r="T36" s="637">
        <f t="shared" si="1"/>
        <v>0</v>
      </c>
    </row>
    <row r="37" spans="1:20" ht="15" customHeight="1">
      <c r="A37" s="406" t="s">
        <v>22</v>
      </c>
      <c r="B37" s="637">
        <v>0</v>
      </c>
      <c r="C37" s="636"/>
      <c r="D37" s="637">
        <v>0</v>
      </c>
      <c r="E37" s="636"/>
      <c r="F37" s="637">
        <v>0</v>
      </c>
      <c r="G37" s="636"/>
      <c r="H37" s="637">
        <v>0</v>
      </c>
      <c r="I37" s="636"/>
      <c r="J37" s="637">
        <v>0</v>
      </c>
      <c r="K37" s="636"/>
      <c r="L37" s="637">
        <v>0</v>
      </c>
      <c r="M37" s="636"/>
      <c r="N37" s="637">
        <v>0</v>
      </c>
      <c r="O37" s="407"/>
      <c r="P37" s="407">
        <v>0</v>
      </c>
      <c r="Q37" s="407"/>
      <c r="R37" s="407">
        <v>0</v>
      </c>
      <c r="S37" s="407"/>
      <c r="T37" s="637">
        <f t="shared" si="1"/>
        <v>0</v>
      </c>
    </row>
    <row r="38" spans="1:20" ht="15" customHeight="1">
      <c r="A38" s="406" t="s">
        <v>372</v>
      </c>
      <c r="B38" s="637">
        <v>0</v>
      </c>
      <c r="C38" s="636"/>
      <c r="D38" s="637">
        <v>0</v>
      </c>
      <c r="E38" s="636"/>
      <c r="F38" s="637">
        <v>0</v>
      </c>
      <c r="G38" s="636"/>
      <c r="H38" s="637">
        <v>0</v>
      </c>
      <c r="I38" s="636"/>
      <c r="J38" s="637">
        <v>0</v>
      </c>
      <c r="K38" s="636"/>
      <c r="L38" s="637">
        <v>0</v>
      </c>
      <c r="M38" s="636"/>
      <c r="N38" s="637">
        <v>0</v>
      </c>
      <c r="O38" s="637"/>
      <c r="P38" s="637">
        <v>0</v>
      </c>
      <c r="Q38" s="637"/>
      <c r="R38" s="637">
        <v>0</v>
      </c>
      <c r="S38" s="637"/>
      <c r="T38" s="637">
        <f t="shared" si="1"/>
        <v>0</v>
      </c>
    </row>
    <row r="39" spans="1:20" ht="15" customHeight="1">
      <c r="A39" s="406" t="s">
        <v>377</v>
      </c>
      <c r="B39" s="407">
        <v>0</v>
      </c>
      <c r="C39" s="636"/>
      <c r="D39" s="407">
        <v>0</v>
      </c>
      <c r="E39" s="636"/>
      <c r="F39" s="407">
        <v>0</v>
      </c>
      <c r="G39" s="636"/>
      <c r="H39" s="407">
        <v>0</v>
      </c>
      <c r="I39" s="636"/>
      <c r="J39" s="407">
        <v>0</v>
      </c>
      <c r="K39" s="636"/>
      <c r="L39" s="407">
        <v>0</v>
      </c>
      <c r="M39" s="636"/>
      <c r="N39" s="637">
        <v>0</v>
      </c>
      <c r="O39" s="637"/>
      <c r="P39" s="637">
        <v>0</v>
      </c>
      <c r="Q39" s="637"/>
      <c r="R39" s="637">
        <v>0</v>
      </c>
      <c r="S39" s="637"/>
      <c r="T39" s="637">
        <f t="shared" si="1"/>
        <v>0</v>
      </c>
    </row>
    <row r="40" spans="1:20" ht="15" customHeight="1">
      <c r="A40" s="406" t="s">
        <v>441</v>
      </c>
      <c r="B40" s="407">
        <v>0</v>
      </c>
      <c r="C40" s="636"/>
      <c r="D40" s="407">
        <v>0</v>
      </c>
      <c r="E40" s="636"/>
      <c r="F40" s="407">
        <v>0</v>
      </c>
      <c r="G40" s="636"/>
      <c r="H40" s="407">
        <v>0</v>
      </c>
      <c r="I40" s="636"/>
      <c r="J40" s="407">
        <v>0</v>
      </c>
      <c r="K40" s="636"/>
      <c r="L40" s="407">
        <v>0</v>
      </c>
      <c r="M40" s="636"/>
      <c r="N40" s="637">
        <v>0</v>
      </c>
      <c r="O40" s="637"/>
      <c r="P40" s="637">
        <v>0</v>
      </c>
      <c r="Q40" s="637"/>
      <c r="R40" s="637">
        <v>0</v>
      </c>
      <c r="S40" s="637"/>
      <c r="T40" s="637">
        <f t="shared" si="1"/>
        <v>0</v>
      </c>
    </row>
    <row r="41" spans="1:20" ht="15" customHeight="1">
      <c r="A41" s="406" t="s">
        <v>104</v>
      </c>
      <c r="B41" s="637">
        <v>0</v>
      </c>
      <c r="C41" s="636"/>
      <c r="D41" s="637">
        <v>0</v>
      </c>
      <c r="E41" s="636"/>
      <c r="F41" s="637">
        <v>0</v>
      </c>
      <c r="G41" s="636"/>
      <c r="H41" s="637">
        <v>0</v>
      </c>
      <c r="I41" s="636"/>
      <c r="J41" s="637">
        <v>0</v>
      </c>
      <c r="K41" s="636"/>
      <c r="L41" s="637">
        <v>0</v>
      </c>
      <c r="M41" s="636"/>
      <c r="N41" s="637">
        <v>0</v>
      </c>
      <c r="O41" s="637"/>
      <c r="P41" s="637">
        <v>0</v>
      </c>
      <c r="Q41" s="637"/>
      <c r="R41" s="637">
        <v>0</v>
      </c>
      <c r="S41" s="637"/>
      <c r="T41" s="637">
        <f t="shared" si="1"/>
        <v>0</v>
      </c>
    </row>
    <row r="42" spans="1:20" ht="15" customHeight="1">
      <c r="A42" s="406" t="s">
        <v>635</v>
      </c>
      <c r="B42" s="407">
        <v>0</v>
      </c>
      <c r="C42" s="636"/>
      <c r="D42" s="407">
        <v>0</v>
      </c>
      <c r="E42" s="636"/>
      <c r="F42" s="407">
        <v>0</v>
      </c>
      <c r="G42" s="636"/>
      <c r="H42" s="407">
        <v>0</v>
      </c>
      <c r="I42" s="636"/>
      <c r="J42" s="407">
        <v>0</v>
      </c>
      <c r="K42" s="636"/>
      <c r="L42" s="407">
        <v>0</v>
      </c>
      <c r="M42" s="636"/>
      <c r="N42" s="637">
        <v>0</v>
      </c>
      <c r="O42" s="637"/>
      <c r="P42" s="637">
        <v>0</v>
      </c>
      <c r="Q42" s="637"/>
      <c r="R42" s="637">
        <v>0</v>
      </c>
      <c r="S42" s="637"/>
      <c r="T42" s="637">
        <f t="shared" si="1"/>
        <v>0</v>
      </c>
    </row>
    <row r="43" spans="1:20" ht="15" customHeight="1">
      <c r="A43" s="406" t="s">
        <v>154</v>
      </c>
      <c r="B43" s="637">
        <v>0</v>
      </c>
      <c r="C43" s="636"/>
      <c r="D43" s="637">
        <v>0</v>
      </c>
      <c r="E43" s="636"/>
      <c r="F43" s="637">
        <v>0</v>
      </c>
      <c r="G43" s="636"/>
      <c r="H43" s="637">
        <v>0</v>
      </c>
      <c r="I43" s="636"/>
      <c r="J43" s="637">
        <v>0</v>
      </c>
      <c r="K43" s="636"/>
      <c r="L43" s="637">
        <v>0</v>
      </c>
      <c r="M43" s="636"/>
      <c r="N43" s="637">
        <v>0</v>
      </c>
      <c r="O43" s="637"/>
      <c r="P43" s="637">
        <v>0</v>
      </c>
      <c r="Q43" s="637"/>
      <c r="R43" s="637">
        <v>0</v>
      </c>
      <c r="S43" s="637"/>
      <c r="T43" s="637">
        <f t="shared" si="1"/>
        <v>0</v>
      </c>
    </row>
    <row r="44" spans="1:20" ht="15" customHeight="1">
      <c r="A44" s="406" t="s">
        <v>23</v>
      </c>
      <c r="B44" s="637">
        <v>0</v>
      </c>
      <c r="C44" s="636"/>
      <c r="D44" s="637">
        <v>0</v>
      </c>
      <c r="E44" s="636"/>
      <c r="F44" s="637">
        <v>0</v>
      </c>
      <c r="G44" s="636"/>
      <c r="H44" s="637">
        <v>0</v>
      </c>
      <c r="I44" s="636"/>
      <c r="J44" s="637">
        <v>0</v>
      </c>
      <c r="K44" s="636"/>
      <c r="L44" s="637">
        <v>0</v>
      </c>
      <c r="M44" s="636"/>
      <c r="N44" s="637">
        <v>0</v>
      </c>
      <c r="O44" s="637"/>
      <c r="P44" s="637">
        <v>0</v>
      </c>
      <c r="Q44" s="637"/>
      <c r="R44" s="637">
        <v>0</v>
      </c>
      <c r="S44" s="637"/>
      <c r="T44" s="637">
        <f t="shared" si="1"/>
        <v>0</v>
      </c>
    </row>
    <row r="45" spans="1:20" ht="15" customHeight="1">
      <c r="A45" s="406" t="s">
        <v>24</v>
      </c>
      <c r="B45" s="637">
        <v>0</v>
      </c>
      <c r="C45" s="636"/>
      <c r="D45" s="637">
        <v>0</v>
      </c>
      <c r="E45" s="636"/>
      <c r="F45" s="637">
        <v>0</v>
      </c>
      <c r="G45" s="636"/>
      <c r="H45" s="637">
        <v>0</v>
      </c>
      <c r="I45" s="636"/>
      <c r="J45" s="637">
        <v>0</v>
      </c>
      <c r="K45" s="636"/>
      <c r="L45" s="637">
        <v>0</v>
      </c>
      <c r="M45" s="636"/>
      <c r="N45" s="637">
        <v>0</v>
      </c>
      <c r="O45" s="637"/>
      <c r="P45" s="637">
        <v>0</v>
      </c>
      <c r="Q45" s="637"/>
      <c r="R45" s="637">
        <v>0</v>
      </c>
      <c r="S45" s="637"/>
      <c r="T45" s="637">
        <f t="shared" si="1"/>
        <v>0</v>
      </c>
    </row>
    <row r="46" spans="1:20" ht="15" customHeight="1">
      <c r="A46" s="406" t="s">
        <v>26</v>
      </c>
      <c r="B46" s="637">
        <v>0</v>
      </c>
      <c r="C46" s="636"/>
      <c r="D46" s="637">
        <v>0</v>
      </c>
      <c r="E46" s="636"/>
      <c r="F46" s="637">
        <v>0</v>
      </c>
      <c r="G46" s="636"/>
      <c r="H46" s="637">
        <v>0</v>
      </c>
      <c r="I46" s="636"/>
      <c r="J46" s="637">
        <v>0</v>
      </c>
      <c r="K46" s="636"/>
      <c r="L46" s="637">
        <v>0</v>
      </c>
      <c r="M46" s="636"/>
      <c r="N46" s="637">
        <v>0</v>
      </c>
      <c r="O46" s="637"/>
      <c r="P46" s="637">
        <v>0</v>
      </c>
      <c r="Q46" s="637"/>
      <c r="R46" s="637">
        <v>0</v>
      </c>
      <c r="S46" s="637"/>
      <c r="T46" s="637">
        <f t="shared" si="1"/>
        <v>0</v>
      </c>
    </row>
    <row r="47" spans="1:20" ht="15" customHeight="1">
      <c r="A47" s="406" t="s">
        <v>159</v>
      </c>
      <c r="B47" s="637">
        <v>0</v>
      </c>
      <c r="C47" s="636"/>
      <c r="D47" s="637">
        <v>0</v>
      </c>
      <c r="E47" s="636"/>
      <c r="F47" s="637">
        <v>0</v>
      </c>
      <c r="G47" s="636"/>
      <c r="H47" s="637">
        <v>0</v>
      </c>
      <c r="I47" s="636"/>
      <c r="J47" s="637">
        <f>'Sch 1 - Restated Exp'!C24</f>
        <v>1990.0200000000114</v>
      </c>
      <c r="K47" s="636"/>
      <c r="L47" s="637">
        <v>0</v>
      </c>
      <c r="M47" s="655"/>
      <c r="N47" s="637">
        <v>0</v>
      </c>
      <c r="O47" s="637"/>
      <c r="P47" s="637">
        <v>0</v>
      </c>
      <c r="Q47" s="637"/>
      <c r="R47" s="637">
        <v>0</v>
      </c>
      <c r="S47" s="637"/>
      <c r="T47" s="637">
        <f t="shared" si="1"/>
        <v>1990.0200000000114</v>
      </c>
    </row>
    <row r="48" spans="1:20" ht="15" customHeight="1">
      <c r="A48" s="406" t="s">
        <v>27</v>
      </c>
      <c r="B48" s="637">
        <v>0</v>
      </c>
      <c r="C48" s="636"/>
      <c r="D48" s="637">
        <v>0</v>
      </c>
      <c r="E48" s="636"/>
      <c r="F48" s="637">
        <v>0</v>
      </c>
      <c r="G48" s="636"/>
      <c r="H48" s="637">
        <v>0</v>
      </c>
      <c r="I48" s="636"/>
      <c r="J48" s="637">
        <v>0</v>
      </c>
      <c r="K48" s="636"/>
      <c r="L48" s="637">
        <v>0</v>
      </c>
      <c r="M48" s="655"/>
      <c r="N48" s="637">
        <v>0</v>
      </c>
      <c r="O48" s="637"/>
      <c r="P48" s="637">
        <v>0</v>
      </c>
      <c r="Q48" s="637"/>
      <c r="R48" s="637">
        <v>0</v>
      </c>
      <c r="S48" s="637"/>
      <c r="T48" s="637">
        <f t="shared" si="1"/>
        <v>0</v>
      </c>
    </row>
    <row r="49" spans="1:20" ht="15" customHeight="1">
      <c r="A49" s="406" t="s">
        <v>28</v>
      </c>
      <c r="B49" s="637">
        <v>0</v>
      </c>
      <c r="C49" s="636"/>
      <c r="D49" s="637">
        <v>0</v>
      </c>
      <c r="E49" s="636"/>
      <c r="F49" s="637">
        <v>0</v>
      </c>
      <c r="G49" s="636"/>
      <c r="H49" s="637">
        <v>0</v>
      </c>
      <c r="I49" s="636"/>
      <c r="J49" s="637">
        <v>0</v>
      </c>
      <c r="K49" s="636"/>
      <c r="L49" s="637">
        <v>0</v>
      </c>
      <c r="M49" s="636"/>
      <c r="N49" s="637">
        <v>0</v>
      </c>
      <c r="O49" s="637"/>
      <c r="P49" s="637">
        <v>0</v>
      </c>
      <c r="Q49" s="637"/>
      <c r="R49" s="637">
        <v>0</v>
      </c>
      <c r="S49" s="637"/>
      <c r="T49" s="637">
        <f t="shared" si="1"/>
        <v>0</v>
      </c>
    </row>
    <row r="50" spans="1:20" ht="15" customHeight="1">
      <c r="A50" s="406" t="s">
        <v>29</v>
      </c>
      <c r="B50" s="637">
        <v>0</v>
      </c>
      <c r="C50" s="636"/>
      <c r="D50" s="637">
        <v>0</v>
      </c>
      <c r="E50" s="636"/>
      <c r="F50" s="637">
        <v>0</v>
      </c>
      <c r="G50" s="636"/>
      <c r="H50" s="637">
        <v>0</v>
      </c>
      <c r="I50" s="636"/>
      <c r="J50" s="637">
        <v>0</v>
      </c>
      <c r="K50" s="636"/>
      <c r="L50" s="637">
        <v>0</v>
      </c>
      <c r="M50" s="636"/>
      <c r="N50" s="637">
        <v>0</v>
      </c>
      <c r="O50" s="637"/>
      <c r="P50" s="637">
        <v>0</v>
      </c>
      <c r="Q50" s="637"/>
      <c r="R50" s="637">
        <v>0</v>
      </c>
      <c r="S50" s="637"/>
      <c r="T50" s="637">
        <f t="shared" si="1"/>
        <v>0</v>
      </c>
    </row>
    <row r="51" spans="1:20" ht="15" customHeight="1">
      <c r="A51" s="406" t="s">
        <v>18</v>
      </c>
      <c r="B51" s="637">
        <v>0</v>
      </c>
      <c r="C51" s="636"/>
      <c r="D51" s="637">
        <v>0</v>
      </c>
      <c r="E51" s="636"/>
      <c r="F51" s="637">
        <v>0</v>
      </c>
      <c r="G51" s="636"/>
      <c r="H51" s="637">
        <v>0</v>
      </c>
      <c r="I51" s="636"/>
      <c r="J51" s="637">
        <v>0</v>
      </c>
      <c r="K51" s="636"/>
      <c r="L51" s="637">
        <v>0</v>
      </c>
      <c r="M51" s="636"/>
      <c r="N51" s="637">
        <v>0</v>
      </c>
      <c r="O51" s="407"/>
      <c r="P51" s="407">
        <v>0</v>
      </c>
      <c r="Q51" s="407"/>
      <c r="R51" s="407">
        <v>0</v>
      </c>
      <c r="S51" s="407"/>
      <c r="T51" s="637">
        <f t="shared" si="1"/>
        <v>0</v>
      </c>
    </row>
    <row r="52" spans="1:20" ht="15" customHeight="1">
      <c r="A52" s="406" t="s">
        <v>30</v>
      </c>
      <c r="B52" s="637">
        <v>0</v>
      </c>
      <c r="C52" s="636"/>
      <c r="D52" s="637">
        <v>0</v>
      </c>
      <c r="E52" s="636"/>
      <c r="F52" s="637">
        <v>0</v>
      </c>
      <c r="G52" s="636"/>
      <c r="H52" s="637">
        <v>0</v>
      </c>
      <c r="I52" s="636"/>
      <c r="J52" s="637">
        <v>0</v>
      </c>
      <c r="K52" s="636"/>
      <c r="L52" s="637">
        <v>0</v>
      </c>
      <c r="M52" s="636"/>
      <c r="N52" s="637">
        <v>0</v>
      </c>
      <c r="O52" s="637"/>
      <c r="P52" s="637">
        <v>0</v>
      </c>
      <c r="Q52" s="637"/>
      <c r="R52" s="637">
        <v>0</v>
      </c>
      <c r="S52" s="637"/>
      <c r="T52" s="637">
        <f t="shared" si="1"/>
        <v>0</v>
      </c>
    </row>
    <row r="53" spans="1:20" ht="15" customHeight="1">
      <c r="A53" s="406" t="s">
        <v>85</v>
      </c>
      <c r="B53" s="637">
        <v>0</v>
      </c>
      <c r="C53" s="636"/>
      <c r="D53" s="637">
        <v>0</v>
      </c>
      <c r="E53" s="636"/>
      <c r="F53" s="637">
        <v>0</v>
      </c>
      <c r="G53" s="636"/>
      <c r="H53" s="637">
        <v>0</v>
      </c>
      <c r="I53" s="636"/>
      <c r="J53" s="637">
        <v>0</v>
      </c>
      <c r="K53" s="636"/>
      <c r="L53" s="637">
        <v>0</v>
      </c>
      <c r="M53" s="636"/>
      <c r="N53" s="637">
        <v>0</v>
      </c>
      <c r="O53" s="637"/>
      <c r="P53" s="637">
        <v>0</v>
      </c>
      <c r="Q53" s="637"/>
      <c r="R53" s="637">
        <v>0</v>
      </c>
      <c r="S53" s="637"/>
      <c r="T53" s="637">
        <f t="shared" si="1"/>
        <v>0</v>
      </c>
    </row>
    <row r="54" spans="1:20" ht="15" customHeight="1">
      <c r="A54" s="406" t="s">
        <v>89</v>
      </c>
      <c r="B54" s="637">
        <v>0</v>
      </c>
      <c r="C54" s="636"/>
      <c r="D54" s="637">
        <v>0</v>
      </c>
      <c r="E54" s="636"/>
      <c r="F54" s="637">
        <v>0</v>
      </c>
      <c r="G54" s="636"/>
      <c r="H54" s="637">
        <v>0</v>
      </c>
      <c r="I54" s="636"/>
      <c r="J54" s="637">
        <v>0</v>
      </c>
      <c r="K54" s="636"/>
      <c r="L54" s="637"/>
      <c r="M54" s="655"/>
      <c r="N54" s="637">
        <v>0</v>
      </c>
      <c r="O54" s="637"/>
      <c r="P54" s="637">
        <v>0</v>
      </c>
      <c r="Q54" s="637"/>
      <c r="R54" s="637">
        <v>0</v>
      </c>
      <c r="S54" s="637"/>
      <c r="T54" s="637">
        <f t="shared" si="1"/>
        <v>0</v>
      </c>
    </row>
    <row r="55" spans="1:20" ht="15" customHeight="1">
      <c r="A55" s="406" t="s">
        <v>31</v>
      </c>
      <c r="B55" s="637">
        <v>0</v>
      </c>
      <c r="C55" s="636"/>
      <c r="D55" s="637">
        <v>0</v>
      </c>
      <c r="E55" s="636"/>
      <c r="F55" s="637">
        <v>0</v>
      </c>
      <c r="G55" s="636"/>
      <c r="H55" s="637">
        <v>0</v>
      </c>
      <c r="I55" s="636"/>
      <c r="J55" s="637">
        <v>0</v>
      </c>
      <c r="K55" s="636"/>
      <c r="L55" s="637">
        <v>0</v>
      </c>
      <c r="M55" s="636"/>
      <c r="N55" s="637">
        <v>0</v>
      </c>
      <c r="O55" s="637"/>
      <c r="P55" s="637">
        <v>0</v>
      </c>
      <c r="Q55" s="637"/>
      <c r="R55" s="637">
        <v>0</v>
      </c>
      <c r="S55" s="637"/>
      <c r="T55" s="637">
        <f t="shared" si="1"/>
        <v>0</v>
      </c>
    </row>
    <row r="56" spans="1:20" ht="15" customHeight="1">
      <c r="A56" s="406" t="s">
        <v>32</v>
      </c>
      <c r="B56" s="637">
        <v>0</v>
      </c>
      <c r="C56" s="636"/>
      <c r="D56" s="637">
        <v>0</v>
      </c>
      <c r="E56" s="636"/>
      <c r="F56" s="637">
        <v>0</v>
      </c>
      <c r="G56" s="636"/>
      <c r="H56" s="637">
        <v>0</v>
      </c>
      <c r="I56" s="636"/>
      <c r="J56" s="637">
        <v>0</v>
      </c>
      <c r="K56" s="636"/>
      <c r="L56" s="637">
        <f>-Operations!C56</f>
        <v>-9551.25</v>
      </c>
      <c r="M56" s="655"/>
      <c r="N56" s="637">
        <v>0</v>
      </c>
      <c r="O56" s="637"/>
      <c r="P56" s="637">
        <v>0</v>
      </c>
      <c r="Q56" s="637"/>
      <c r="R56" s="637">
        <v>0</v>
      </c>
      <c r="S56" s="637"/>
      <c r="T56" s="637">
        <f t="shared" si="1"/>
        <v>-9551.25</v>
      </c>
    </row>
    <row r="57" spans="1:20" ht="15" customHeight="1">
      <c r="A57" s="406" t="s">
        <v>155</v>
      </c>
      <c r="B57" s="637">
        <v>0</v>
      </c>
      <c r="C57" s="636"/>
      <c r="D57" s="637">
        <v>0</v>
      </c>
      <c r="E57" s="636"/>
      <c r="F57" s="637">
        <v>0</v>
      </c>
      <c r="G57" s="636"/>
      <c r="H57" s="637">
        <v>0</v>
      </c>
      <c r="I57" s="636"/>
      <c r="J57" s="637">
        <v>0</v>
      </c>
      <c r="K57" s="636"/>
      <c r="L57" s="637">
        <v>0</v>
      </c>
      <c r="M57" s="636"/>
      <c r="N57" s="637">
        <v>0</v>
      </c>
      <c r="O57" s="637"/>
      <c r="P57" s="637">
        <v>0</v>
      </c>
      <c r="Q57" s="637"/>
      <c r="R57" s="637">
        <v>0</v>
      </c>
      <c r="S57" s="637"/>
      <c r="T57" s="637">
        <f t="shared" si="1"/>
        <v>0</v>
      </c>
    </row>
    <row r="58" spans="1:20" ht="15" customHeight="1">
      <c r="A58" s="406" t="s">
        <v>33</v>
      </c>
      <c r="B58" s="637">
        <v>0</v>
      </c>
      <c r="C58" s="636"/>
      <c r="D58" s="637">
        <v>0</v>
      </c>
      <c r="E58" s="636"/>
      <c r="F58" s="637">
        <v>0</v>
      </c>
      <c r="G58" s="636"/>
      <c r="H58" s="637">
        <v>0</v>
      </c>
      <c r="I58" s="636"/>
      <c r="J58" s="637">
        <v>0</v>
      </c>
      <c r="K58" s="636"/>
      <c r="L58" s="637">
        <v>0</v>
      </c>
      <c r="M58" s="655"/>
      <c r="N58" s="637">
        <f>+'Sch 1 - Restated Exp'!C34</f>
        <v>18319.658049999998</v>
      </c>
      <c r="O58" s="637"/>
      <c r="P58" s="637">
        <v>0</v>
      </c>
      <c r="Q58" s="637"/>
      <c r="R58" s="637">
        <v>0</v>
      </c>
      <c r="S58" s="637"/>
      <c r="T58" s="637">
        <f t="shared" si="1"/>
        <v>18319.658049999998</v>
      </c>
    </row>
    <row r="59" spans="1:20" ht="15" customHeight="1">
      <c r="A59" s="406" t="s">
        <v>34</v>
      </c>
      <c r="B59" s="637">
        <v>0</v>
      </c>
      <c r="C59" s="636"/>
      <c r="D59" s="637">
        <v>0</v>
      </c>
      <c r="E59" s="636"/>
      <c r="F59" s="637">
        <v>0</v>
      </c>
      <c r="G59" s="636"/>
      <c r="H59" s="637">
        <v>0</v>
      </c>
      <c r="I59" s="636"/>
      <c r="J59" s="637">
        <v>0</v>
      </c>
      <c r="K59" s="636"/>
      <c r="L59" s="637">
        <v>0</v>
      </c>
      <c r="M59" s="636"/>
      <c r="N59" s="637">
        <v>0</v>
      </c>
      <c r="O59" s="637"/>
      <c r="P59" s="637">
        <v>0</v>
      </c>
      <c r="Q59" s="637"/>
      <c r="R59" s="637">
        <v>0</v>
      </c>
      <c r="S59" s="637"/>
      <c r="T59" s="637">
        <f t="shared" si="1"/>
        <v>0</v>
      </c>
    </row>
    <row r="60" spans="1:20" ht="15" customHeight="1">
      <c r="A60" s="406" t="s">
        <v>106</v>
      </c>
      <c r="B60" s="637">
        <v>0</v>
      </c>
      <c r="C60" s="636"/>
      <c r="D60" s="637">
        <v>0</v>
      </c>
      <c r="E60" s="636"/>
      <c r="F60" s="637">
        <v>0</v>
      </c>
      <c r="G60" s="636"/>
      <c r="H60" s="637">
        <v>0</v>
      </c>
      <c r="I60" s="636"/>
      <c r="J60" s="637">
        <v>0</v>
      </c>
      <c r="K60" s="636"/>
      <c r="L60" s="637">
        <v>0</v>
      </c>
      <c r="M60" s="636"/>
      <c r="N60" s="637">
        <v>0</v>
      </c>
      <c r="O60" s="637"/>
      <c r="P60" s="637">
        <v>0</v>
      </c>
      <c r="Q60" s="637"/>
      <c r="R60" s="637">
        <v>0</v>
      </c>
      <c r="S60" s="637"/>
      <c r="T60" s="637">
        <f t="shared" si="1"/>
        <v>0</v>
      </c>
    </row>
    <row r="61" spans="1:20" ht="15" customHeight="1">
      <c r="A61" s="406" t="s">
        <v>374</v>
      </c>
      <c r="B61" s="637">
        <v>0</v>
      </c>
      <c r="C61" s="636"/>
      <c r="D61" s="637">
        <v>0</v>
      </c>
      <c r="E61" s="636"/>
      <c r="F61" s="637">
        <v>0</v>
      </c>
      <c r="G61" s="636"/>
      <c r="H61" s="637">
        <v>0</v>
      </c>
      <c r="I61" s="636"/>
      <c r="J61" s="637">
        <v>0</v>
      </c>
      <c r="K61" s="636"/>
      <c r="L61" s="637">
        <v>0</v>
      </c>
      <c r="M61" s="655"/>
      <c r="N61" s="637">
        <v>0</v>
      </c>
      <c r="O61" s="637"/>
      <c r="P61" s="637">
        <v>0</v>
      </c>
      <c r="Q61" s="637"/>
      <c r="R61" s="637">
        <v>0</v>
      </c>
      <c r="S61" s="637"/>
      <c r="T61" s="637">
        <f t="shared" si="1"/>
        <v>0</v>
      </c>
    </row>
    <row r="62" spans="1:20" ht="15" customHeight="1">
      <c r="A62" s="406" t="s">
        <v>160</v>
      </c>
      <c r="B62" s="637">
        <v>0</v>
      </c>
      <c r="C62" s="636"/>
      <c r="D62" s="637">
        <v>0</v>
      </c>
      <c r="E62" s="636"/>
      <c r="F62" s="637">
        <v>0</v>
      </c>
      <c r="G62" s="636"/>
      <c r="H62" s="637">
        <v>0</v>
      </c>
      <c r="I62" s="636"/>
      <c r="J62" s="637">
        <v>0</v>
      </c>
      <c r="K62" s="636"/>
      <c r="L62" s="637">
        <f>'WP-4 - Dues &amp; Sub'!I32</f>
        <v>-5997.6</v>
      </c>
      <c r="M62" s="655"/>
      <c r="N62" s="637">
        <v>0</v>
      </c>
      <c r="O62" s="637"/>
      <c r="P62" s="637">
        <v>0</v>
      </c>
      <c r="Q62" s="637"/>
      <c r="R62" s="637">
        <v>0</v>
      </c>
      <c r="S62" s="637"/>
      <c r="T62" s="637">
        <f t="shared" si="1"/>
        <v>-5997.6</v>
      </c>
    </row>
    <row r="63" spans="1:20" ht="15" customHeight="1">
      <c r="A63" s="406" t="s">
        <v>35</v>
      </c>
      <c r="B63" s="637">
        <v>0</v>
      </c>
      <c r="C63" s="636"/>
      <c r="D63" s="637">
        <v>0</v>
      </c>
      <c r="E63" s="636"/>
      <c r="F63" s="637">
        <v>0</v>
      </c>
      <c r="G63" s="636"/>
      <c r="H63" s="637">
        <v>0</v>
      </c>
      <c r="I63" s="636"/>
      <c r="J63" s="637">
        <v>0</v>
      </c>
      <c r="K63" s="636"/>
      <c r="L63" s="637">
        <v>0</v>
      </c>
      <c r="M63" s="655"/>
      <c r="N63" s="637">
        <v>0</v>
      </c>
      <c r="O63" s="637"/>
      <c r="P63" s="637">
        <v>0</v>
      </c>
      <c r="Q63" s="637"/>
      <c r="R63" s="637">
        <v>0</v>
      </c>
      <c r="S63" s="637"/>
      <c r="T63" s="637">
        <f t="shared" si="1"/>
        <v>0</v>
      </c>
    </row>
    <row r="64" spans="1:20" ht="15" customHeight="1">
      <c r="A64" s="406" t="s">
        <v>36</v>
      </c>
      <c r="B64" s="637">
        <v>0</v>
      </c>
      <c r="C64" s="636"/>
      <c r="D64" s="637">
        <v>0</v>
      </c>
      <c r="E64" s="636"/>
      <c r="F64" s="637">
        <v>0</v>
      </c>
      <c r="G64" s="636"/>
      <c r="H64" s="637">
        <v>0</v>
      </c>
      <c r="I64" s="636"/>
      <c r="J64" s="637">
        <v>0</v>
      </c>
      <c r="K64" s="636"/>
      <c r="L64" s="637">
        <v>0</v>
      </c>
      <c r="M64" s="655"/>
      <c r="N64" s="637">
        <v>0</v>
      </c>
      <c r="O64" s="637"/>
      <c r="P64" s="637">
        <v>0</v>
      </c>
      <c r="Q64" s="637"/>
      <c r="R64" s="637">
        <v>0</v>
      </c>
      <c r="S64" s="637"/>
      <c r="T64" s="637">
        <f t="shared" si="1"/>
        <v>0</v>
      </c>
    </row>
    <row r="65" spans="1:22" ht="15" customHeight="1">
      <c r="A65" s="406" t="s">
        <v>370</v>
      </c>
      <c r="B65" s="637">
        <v>0</v>
      </c>
      <c r="C65" s="636"/>
      <c r="D65" s="637">
        <v>0</v>
      </c>
      <c r="E65" s="636"/>
      <c r="F65" s="637">
        <v>0</v>
      </c>
      <c r="G65" s="636"/>
      <c r="H65" s="637">
        <v>0</v>
      </c>
      <c r="I65" s="636"/>
      <c r="J65" s="637">
        <v>0</v>
      </c>
      <c r="K65" s="636"/>
      <c r="L65" s="637">
        <v>0</v>
      </c>
      <c r="M65" s="655"/>
      <c r="N65" s="637">
        <v>0</v>
      </c>
      <c r="O65" s="637"/>
      <c r="P65" s="637">
        <v>0</v>
      </c>
      <c r="Q65" s="637"/>
      <c r="R65" s="637">
        <v>0</v>
      </c>
      <c r="S65" s="637"/>
      <c r="T65" s="637">
        <f t="shared" si="1"/>
        <v>0</v>
      </c>
    </row>
    <row r="66" spans="1:22" ht="15" customHeight="1">
      <c r="A66" s="406" t="s">
        <v>37</v>
      </c>
      <c r="B66" s="637">
        <v>0</v>
      </c>
      <c r="C66" s="636"/>
      <c r="D66" s="637">
        <v>0</v>
      </c>
      <c r="E66" s="636"/>
      <c r="F66" s="637">
        <v>0</v>
      </c>
      <c r="G66" s="636"/>
      <c r="H66" s="637">
        <v>0</v>
      </c>
      <c r="I66" s="636"/>
      <c r="J66" s="637">
        <v>0</v>
      </c>
      <c r="K66" s="636"/>
      <c r="L66" s="637">
        <v>0</v>
      </c>
      <c r="M66" s="655"/>
      <c r="N66" s="637">
        <v>0</v>
      </c>
      <c r="O66" s="637"/>
      <c r="P66" s="637">
        <v>0</v>
      </c>
      <c r="Q66" s="637"/>
      <c r="R66" s="637">
        <v>0</v>
      </c>
      <c r="S66" s="637"/>
      <c r="T66" s="637">
        <f t="shared" si="1"/>
        <v>0</v>
      </c>
    </row>
    <row r="67" spans="1:22" ht="15" customHeight="1">
      <c r="A67" s="406" t="s">
        <v>38</v>
      </c>
      <c r="B67" s="637">
        <v>0</v>
      </c>
      <c r="C67" s="636"/>
      <c r="D67" s="637">
        <v>0</v>
      </c>
      <c r="E67" s="636"/>
      <c r="F67" s="637">
        <v>0</v>
      </c>
      <c r="G67" s="636"/>
      <c r="H67" s="637">
        <v>0</v>
      </c>
      <c r="I67" s="636"/>
      <c r="J67" s="637">
        <f>+'WP-3 - Vehicle License'!E33*100%</f>
        <v>0</v>
      </c>
      <c r="K67" s="636"/>
      <c r="L67" s="637">
        <v>0</v>
      </c>
      <c r="M67" s="636"/>
      <c r="N67" s="637">
        <v>0</v>
      </c>
      <c r="O67" s="637"/>
      <c r="P67" s="637">
        <v>0</v>
      </c>
      <c r="Q67" s="637"/>
      <c r="R67" s="637">
        <v>0</v>
      </c>
      <c r="S67" s="637"/>
      <c r="T67" s="637">
        <f t="shared" si="1"/>
        <v>0</v>
      </c>
    </row>
    <row r="68" spans="1:22" ht="15" customHeight="1">
      <c r="A68" s="406" t="s">
        <v>167</v>
      </c>
      <c r="B68" s="637">
        <v>0</v>
      </c>
      <c r="C68" s="636"/>
      <c r="D68" s="637">
        <v>0</v>
      </c>
      <c r="E68" s="636"/>
      <c r="F68" s="637">
        <v>0</v>
      </c>
      <c r="G68" s="636"/>
      <c r="H68" s="637">
        <v>0</v>
      </c>
      <c r="I68" s="636"/>
      <c r="J68" s="637">
        <f>-J67</f>
        <v>0</v>
      </c>
      <c r="K68" s="636"/>
      <c r="L68" s="637">
        <v>0</v>
      </c>
      <c r="M68" s="636"/>
      <c r="N68" s="637">
        <v>0</v>
      </c>
      <c r="O68" s="637"/>
      <c r="P68" s="637">
        <v>0</v>
      </c>
      <c r="Q68" s="637"/>
      <c r="R68" s="637">
        <v>0</v>
      </c>
      <c r="S68" s="637"/>
      <c r="T68" s="637">
        <f t="shared" si="1"/>
        <v>0</v>
      </c>
    </row>
    <row r="69" spans="1:22" ht="15" customHeight="1">
      <c r="A69" s="406" t="s">
        <v>119</v>
      </c>
      <c r="B69" s="637">
        <v>0</v>
      </c>
      <c r="C69" s="636"/>
      <c r="D69" s="637">
        <v>0</v>
      </c>
      <c r="E69" s="636"/>
      <c r="F69" s="637">
        <v>0</v>
      </c>
      <c r="G69" s="636"/>
      <c r="H69" s="637">
        <v>0</v>
      </c>
      <c r="I69" s="636"/>
      <c r="J69" s="637">
        <v>0</v>
      </c>
      <c r="K69" s="636"/>
      <c r="L69" s="637">
        <v>0</v>
      </c>
      <c r="M69" s="636"/>
      <c r="N69" s="637">
        <v>0</v>
      </c>
      <c r="O69" s="637"/>
      <c r="P69" s="637">
        <v>0</v>
      </c>
      <c r="Q69" s="637"/>
      <c r="R69" s="637">
        <v>0</v>
      </c>
      <c r="S69" s="637"/>
      <c r="T69" s="637">
        <f t="shared" si="1"/>
        <v>0</v>
      </c>
    </row>
    <row r="70" spans="1:22" ht="15" customHeight="1">
      <c r="A70" s="406" t="s">
        <v>39</v>
      </c>
      <c r="B70" s="637">
        <v>0</v>
      </c>
      <c r="C70" s="636"/>
      <c r="D70" s="637">
        <v>0</v>
      </c>
      <c r="E70" s="636"/>
      <c r="F70" s="637">
        <v>0</v>
      </c>
      <c r="G70" s="636"/>
      <c r="H70" s="637">
        <v>0</v>
      </c>
      <c r="I70" s="636"/>
      <c r="J70" s="637">
        <v>0</v>
      </c>
      <c r="K70" s="636"/>
      <c r="L70" s="407">
        <f>-Operations!C70</f>
        <v>-1050</v>
      </c>
      <c r="M70" s="655"/>
      <c r="N70" s="637">
        <v>0</v>
      </c>
      <c r="O70" s="407"/>
      <c r="P70" s="407">
        <v>0</v>
      </c>
      <c r="Q70" s="407"/>
      <c r="R70" s="407">
        <v>0</v>
      </c>
      <c r="S70" s="407"/>
      <c r="T70" s="637">
        <f t="shared" si="1"/>
        <v>-1050</v>
      </c>
    </row>
    <row r="71" spans="1:22" ht="15" customHeight="1">
      <c r="A71" s="406" t="s">
        <v>40</v>
      </c>
      <c r="B71" s="637">
        <v>0</v>
      </c>
      <c r="C71" s="636"/>
      <c r="D71" s="637">
        <v>0</v>
      </c>
      <c r="E71" s="636"/>
      <c r="F71" s="637">
        <v>0</v>
      </c>
      <c r="G71" s="636"/>
      <c r="H71" s="637">
        <v>0</v>
      </c>
      <c r="I71" s="636"/>
      <c r="J71" s="637">
        <v>0</v>
      </c>
      <c r="K71" s="636"/>
      <c r="L71" s="637">
        <v>0</v>
      </c>
      <c r="M71" s="636"/>
      <c r="N71" s="637">
        <v>0</v>
      </c>
      <c r="O71" s="407"/>
      <c r="P71" s="407">
        <v>0</v>
      </c>
      <c r="Q71" s="407"/>
      <c r="R71" s="407">
        <v>0</v>
      </c>
      <c r="S71" s="407"/>
      <c r="T71" s="637">
        <f t="shared" si="1"/>
        <v>0</v>
      </c>
    </row>
    <row r="72" spans="1:22" ht="15" customHeight="1">
      <c r="A72" s="406" t="s">
        <v>41</v>
      </c>
      <c r="B72" s="637">
        <v>0</v>
      </c>
      <c r="C72" s="636"/>
      <c r="D72" s="637">
        <v>0</v>
      </c>
      <c r="E72" s="636"/>
      <c r="F72" s="637">
        <v>0</v>
      </c>
      <c r="G72" s="636"/>
      <c r="H72" s="637">
        <v>0</v>
      </c>
      <c r="I72" s="636"/>
      <c r="J72" s="637">
        <v>0</v>
      </c>
      <c r="K72" s="636"/>
      <c r="L72" s="637">
        <v>0</v>
      </c>
      <c r="M72" s="655"/>
      <c r="N72" s="637">
        <v>0</v>
      </c>
      <c r="O72" s="637"/>
      <c r="P72" s="637">
        <v>0</v>
      </c>
      <c r="Q72" s="637"/>
      <c r="R72" s="637">
        <v>0</v>
      </c>
      <c r="S72" s="637"/>
      <c r="T72" s="637">
        <f t="shared" si="1"/>
        <v>0</v>
      </c>
    </row>
    <row r="73" spans="1:22" ht="15" customHeight="1">
      <c r="A73" s="406" t="s">
        <v>42</v>
      </c>
      <c r="B73" s="637">
        <v>0</v>
      </c>
      <c r="C73" s="636"/>
      <c r="D73" s="637">
        <v>0</v>
      </c>
      <c r="E73" s="636"/>
      <c r="F73" s="637">
        <v>0</v>
      </c>
      <c r="G73" s="636"/>
      <c r="H73" s="637">
        <v>0</v>
      </c>
      <c r="I73" s="636"/>
      <c r="J73" s="637">
        <v>0</v>
      </c>
      <c r="K73" s="636"/>
      <c r="L73" s="637">
        <v>0</v>
      </c>
      <c r="M73" s="655"/>
      <c r="N73" s="637">
        <v>0</v>
      </c>
      <c r="O73" s="407"/>
      <c r="P73" s="407">
        <v>0</v>
      </c>
      <c r="Q73" s="407"/>
      <c r="R73" s="407">
        <v>0</v>
      </c>
      <c r="S73" s="407"/>
      <c r="T73" s="637">
        <f t="shared" si="1"/>
        <v>0</v>
      </c>
    </row>
    <row r="74" spans="1:22" ht="15" customHeight="1">
      <c r="A74" s="406" t="s">
        <v>369</v>
      </c>
      <c r="B74" s="637">
        <v>0</v>
      </c>
      <c r="C74" s="636"/>
      <c r="D74" s="637">
        <v>0</v>
      </c>
      <c r="E74" s="636"/>
      <c r="F74" s="407">
        <f>-Operations!C74</f>
        <v>-71859.45</v>
      </c>
      <c r="G74" s="636"/>
      <c r="H74" s="637">
        <v>0</v>
      </c>
      <c r="I74" s="636"/>
      <c r="J74" s="637">
        <v>0</v>
      </c>
      <c r="K74" s="636"/>
      <c r="L74" s="637">
        <v>0</v>
      </c>
      <c r="M74" s="636"/>
      <c r="N74" s="637">
        <v>0</v>
      </c>
      <c r="O74" s="407"/>
      <c r="P74" s="407">
        <v>0</v>
      </c>
      <c r="Q74" s="407"/>
      <c r="R74" s="407">
        <v>0</v>
      </c>
      <c r="S74" s="407"/>
      <c r="T74" s="637">
        <f t="shared" si="1"/>
        <v>-71859.45</v>
      </c>
    </row>
    <row r="75" spans="1:22" ht="15" customHeight="1">
      <c r="A75" s="406" t="s">
        <v>79</v>
      </c>
      <c r="B75" s="637">
        <v>0</v>
      </c>
      <c r="C75" s="636"/>
      <c r="D75" s="637">
        <v>0</v>
      </c>
      <c r="E75" s="636"/>
      <c r="F75" s="407">
        <f>-Operations!C75</f>
        <v>-83067.47</v>
      </c>
      <c r="G75" s="636"/>
      <c r="H75" s="637">
        <v>0</v>
      </c>
      <c r="I75" s="636"/>
      <c r="J75" s="637">
        <v>0</v>
      </c>
      <c r="K75" s="636"/>
      <c r="L75" s="637">
        <v>0</v>
      </c>
      <c r="M75" s="636"/>
      <c r="N75" s="637">
        <v>0</v>
      </c>
      <c r="O75" s="407"/>
      <c r="P75" s="407">
        <v>0</v>
      </c>
      <c r="Q75" s="407"/>
      <c r="R75" s="407">
        <v>0</v>
      </c>
      <c r="S75" s="407"/>
      <c r="T75" s="637">
        <f t="shared" si="1"/>
        <v>-83067.47</v>
      </c>
    </row>
    <row r="76" spans="1:22" ht="15" customHeight="1">
      <c r="A76" s="406" t="s">
        <v>308</v>
      </c>
      <c r="B76" s="637">
        <v>0</v>
      </c>
      <c r="C76" s="636"/>
      <c r="D76" s="637">
        <v>0</v>
      </c>
      <c r="E76" s="636"/>
      <c r="F76" s="637">
        <v>0</v>
      </c>
      <c r="G76" s="636"/>
      <c r="H76" s="637">
        <v>0</v>
      </c>
      <c r="I76" s="636"/>
      <c r="J76" s="637">
        <v>0</v>
      </c>
      <c r="K76" s="636"/>
      <c r="L76" s="637">
        <v>0</v>
      </c>
      <c r="M76" s="655"/>
      <c r="N76" s="637">
        <v>0</v>
      </c>
      <c r="O76" s="637"/>
      <c r="P76" s="637">
        <f>+'Sch 1 - Restated Exp'!C37:C37</f>
        <v>14400</v>
      </c>
      <c r="Q76" s="637"/>
      <c r="R76" s="637">
        <v>0</v>
      </c>
      <c r="S76" s="637"/>
      <c r="T76" s="637">
        <f t="shared" si="1"/>
        <v>14400</v>
      </c>
      <c r="U76" s="761"/>
      <c r="V76" s="761"/>
    </row>
    <row r="77" spans="1:22" ht="15" customHeight="1">
      <c r="A77" s="406" t="s">
        <v>368</v>
      </c>
      <c r="B77" s="637">
        <v>0</v>
      </c>
      <c r="C77" s="636"/>
      <c r="D77" s="637">
        <v>0</v>
      </c>
      <c r="E77" s="636"/>
      <c r="F77" s="637">
        <f>-Operations!C77</f>
        <v>-1009.8000000000002</v>
      </c>
      <c r="G77" s="636"/>
      <c r="H77" s="637">
        <v>0</v>
      </c>
      <c r="I77" s="636"/>
      <c r="J77" s="637">
        <v>0</v>
      </c>
      <c r="K77" s="636"/>
      <c r="L77" s="637">
        <v>0</v>
      </c>
      <c r="M77" s="636"/>
      <c r="N77" s="637">
        <v>0</v>
      </c>
      <c r="O77" s="637"/>
      <c r="P77" s="637">
        <v>0</v>
      </c>
      <c r="Q77" s="637"/>
      <c r="R77" s="637">
        <v>0</v>
      </c>
      <c r="S77" s="637"/>
      <c r="T77" s="637">
        <f t="shared" si="1"/>
        <v>-1009.8000000000002</v>
      </c>
    </row>
    <row r="78" spans="1:22" ht="15" customHeight="1">
      <c r="A78" s="406" t="s">
        <v>125</v>
      </c>
      <c r="B78" s="637">
        <v>0</v>
      </c>
      <c r="C78" s="636"/>
      <c r="D78" s="637">
        <v>0</v>
      </c>
      <c r="E78" s="636"/>
      <c r="F78" s="637">
        <v>0</v>
      </c>
      <c r="G78" s="636"/>
      <c r="H78" s="637">
        <v>0</v>
      </c>
      <c r="I78" s="636"/>
      <c r="J78" s="637">
        <v>0</v>
      </c>
      <c r="K78" s="636"/>
      <c r="L78" s="637">
        <v>0</v>
      </c>
      <c r="M78" s="636"/>
      <c r="N78" s="637">
        <v>0</v>
      </c>
      <c r="O78" s="637"/>
      <c r="P78" s="637">
        <v>0</v>
      </c>
      <c r="Q78" s="637"/>
      <c r="R78" s="637">
        <v>0</v>
      </c>
      <c r="S78" s="637"/>
      <c r="T78" s="637">
        <f t="shared" si="1"/>
        <v>0</v>
      </c>
    </row>
    <row r="79" spans="1:22" ht="15" customHeight="1">
      <c r="A79" s="406" t="s">
        <v>80</v>
      </c>
      <c r="B79" s="637">
        <v>0</v>
      </c>
      <c r="C79" s="636"/>
      <c r="D79" s="637">
        <v>0</v>
      </c>
      <c r="E79" s="636"/>
      <c r="F79" s="407">
        <f>-Operations!C79</f>
        <v>-138800.65999999997</v>
      </c>
      <c r="G79" s="636"/>
      <c r="H79" s="637">
        <v>0</v>
      </c>
      <c r="I79" s="636"/>
      <c r="J79" s="637">
        <v>0</v>
      </c>
      <c r="K79" s="636"/>
      <c r="L79" s="637">
        <v>0</v>
      </c>
      <c r="M79" s="636"/>
      <c r="N79" s="637">
        <v>0</v>
      </c>
      <c r="O79" s="407"/>
      <c r="P79" s="407">
        <v>0</v>
      </c>
      <c r="Q79" s="407"/>
      <c r="R79" s="407">
        <v>0</v>
      </c>
      <c r="S79" s="407"/>
      <c r="T79" s="637">
        <f t="shared" si="1"/>
        <v>-138800.65999999997</v>
      </c>
    </row>
    <row r="80" spans="1:22" ht="15" customHeight="1">
      <c r="A80" s="406" t="s">
        <v>43</v>
      </c>
      <c r="B80" s="637">
        <v>0</v>
      </c>
      <c r="C80" s="636"/>
      <c r="D80" s="637">
        <v>0</v>
      </c>
      <c r="E80" s="636"/>
      <c r="F80" s="637">
        <v>0</v>
      </c>
      <c r="G80" s="636"/>
      <c r="H80" s="637">
        <v>0</v>
      </c>
      <c r="I80" s="636"/>
      <c r="J80" s="637">
        <v>0</v>
      </c>
      <c r="K80" s="636"/>
      <c r="L80" s="637">
        <v>0</v>
      </c>
      <c r="M80" s="655"/>
      <c r="N80" s="637">
        <v>0</v>
      </c>
      <c r="O80" s="637"/>
      <c r="P80" s="637">
        <v>0</v>
      </c>
      <c r="Q80" s="637"/>
      <c r="R80" s="637">
        <f>+'Sch 1 - Restated Exp'!C42</f>
        <v>9308.3034200000038</v>
      </c>
      <c r="S80" s="637"/>
      <c r="T80" s="637">
        <f t="shared" si="1"/>
        <v>9308.3034200000038</v>
      </c>
    </row>
    <row r="81" spans="1:20" ht="15" customHeight="1">
      <c r="A81" s="406" t="s">
        <v>44</v>
      </c>
      <c r="B81" s="637">
        <v>0</v>
      </c>
      <c r="C81" s="636"/>
      <c r="D81" s="637">
        <v>0</v>
      </c>
      <c r="E81" s="636"/>
      <c r="F81" s="637">
        <v>0</v>
      </c>
      <c r="G81" s="636"/>
      <c r="H81" s="637">
        <v>0</v>
      </c>
      <c r="I81" s="636"/>
      <c r="J81" s="637">
        <v>0</v>
      </c>
      <c r="K81" s="636"/>
      <c r="L81" s="637">
        <v>0</v>
      </c>
      <c r="M81" s="636"/>
      <c r="N81" s="637">
        <v>0</v>
      </c>
      <c r="O81" s="637"/>
      <c r="P81" s="637">
        <v>0</v>
      </c>
      <c r="Q81" s="637"/>
      <c r="R81" s="637">
        <v>0</v>
      </c>
      <c r="S81" s="637"/>
      <c r="T81" s="637">
        <f t="shared" si="1"/>
        <v>0</v>
      </c>
    </row>
    <row r="82" spans="1:20" ht="15" customHeight="1">
      <c r="A82" s="406" t="s">
        <v>81</v>
      </c>
      <c r="B82" s="637">
        <v>0</v>
      </c>
      <c r="C82" s="636"/>
      <c r="D82" s="637">
        <v>0</v>
      </c>
      <c r="E82" s="636"/>
      <c r="F82" s="637">
        <f>-Operations!C82</f>
        <v>-66634.06</v>
      </c>
      <c r="G82" s="636"/>
      <c r="H82" s="637">
        <v>0</v>
      </c>
      <c r="I82" s="636"/>
      <c r="J82" s="637">
        <v>0</v>
      </c>
      <c r="K82" s="636"/>
      <c r="L82" s="637">
        <v>0</v>
      </c>
      <c r="M82" s="636"/>
      <c r="N82" s="637">
        <v>0</v>
      </c>
      <c r="O82" s="637"/>
      <c r="P82" s="637">
        <v>0</v>
      </c>
      <c r="Q82" s="637"/>
      <c r="R82" s="637">
        <v>0</v>
      </c>
      <c r="S82" s="637"/>
      <c r="T82" s="637">
        <f t="shared" si="1"/>
        <v>-66634.06</v>
      </c>
    </row>
    <row r="83" spans="1:20" ht="15" customHeight="1">
      <c r="A83" s="406" t="s">
        <v>66</v>
      </c>
      <c r="B83" s="637">
        <v>0</v>
      </c>
      <c r="C83" s="636"/>
      <c r="D83" s="637">
        <v>0</v>
      </c>
      <c r="E83" s="636"/>
      <c r="F83" s="637">
        <v>0</v>
      </c>
      <c r="G83" s="636"/>
      <c r="H83" s="637">
        <f>-Operations!C83</f>
        <v>-13892.949999999999</v>
      </c>
      <c r="I83" s="636"/>
      <c r="J83" s="637">
        <v>0</v>
      </c>
      <c r="K83" s="636"/>
      <c r="L83" s="637">
        <v>0</v>
      </c>
      <c r="M83" s="636"/>
      <c r="N83" s="637">
        <v>0</v>
      </c>
      <c r="O83" s="637"/>
      <c r="P83" s="637">
        <v>0</v>
      </c>
      <c r="Q83" s="637"/>
      <c r="R83" s="637">
        <v>0</v>
      </c>
      <c r="S83" s="637"/>
      <c r="T83" s="637">
        <f t="shared" si="1"/>
        <v>-13892.949999999999</v>
      </c>
    </row>
    <row r="84" spans="1:20" ht="15" customHeight="1">
      <c r="A84" s="406" t="s">
        <v>45</v>
      </c>
      <c r="B84" s="637">
        <v>0</v>
      </c>
      <c r="C84" s="636"/>
      <c r="D84" s="637">
        <v>0</v>
      </c>
      <c r="E84" s="636"/>
      <c r="F84" s="637">
        <v>0</v>
      </c>
      <c r="G84" s="636"/>
      <c r="H84" s="637">
        <v>0</v>
      </c>
      <c r="I84" s="636"/>
      <c r="J84" s="637">
        <v>0</v>
      </c>
      <c r="K84" s="636"/>
      <c r="L84" s="637">
        <v>0</v>
      </c>
      <c r="M84" s="636"/>
      <c r="N84" s="637">
        <v>0</v>
      </c>
      <c r="O84" s="637"/>
      <c r="P84" s="637">
        <v>0</v>
      </c>
      <c r="Q84" s="637"/>
      <c r="R84" s="637">
        <v>0</v>
      </c>
      <c r="S84" s="637"/>
      <c r="T84" s="637">
        <f t="shared" si="1"/>
        <v>0</v>
      </c>
    </row>
    <row r="85" spans="1:20" ht="15" customHeight="1">
      <c r="A85" s="406" t="s">
        <v>46</v>
      </c>
      <c r="B85" s="637">
        <v>0</v>
      </c>
      <c r="C85" s="636"/>
      <c r="D85" s="637">
        <v>0</v>
      </c>
      <c r="E85" s="636"/>
      <c r="F85" s="637">
        <v>0</v>
      </c>
      <c r="G85" s="636"/>
      <c r="H85" s="637">
        <v>0</v>
      </c>
      <c r="I85" s="636"/>
      <c r="J85" s="637">
        <v>0</v>
      </c>
      <c r="K85" s="636"/>
      <c r="L85" s="637">
        <v>0</v>
      </c>
      <c r="M85" s="636"/>
      <c r="N85" s="637">
        <v>0</v>
      </c>
      <c r="O85" s="637"/>
      <c r="P85" s="637">
        <v>0</v>
      </c>
      <c r="Q85" s="637"/>
      <c r="R85" s="637">
        <v>0</v>
      </c>
      <c r="S85" s="637"/>
      <c r="T85" s="637">
        <f t="shared" si="1"/>
        <v>0</v>
      </c>
    </row>
    <row r="86" spans="1:20" ht="15" customHeight="1">
      <c r="A86" s="406" t="s">
        <v>120</v>
      </c>
      <c r="B86" s="637">
        <v>0</v>
      </c>
      <c r="C86" s="636"/>
      <c r="D86" s="637">
        <v>0</v>
      </c>
      <c r="E86" s="636"/>
      <c r="F86" s="637">
        <v>0</v>
      </c>
      <c r="G86" s="636"/>
      <c r="H86" s="637">
        <v>0</v>
      </c>
      <c r="I86" s="636"/>
      <c r="J86" s="637">
        <v>0</v>
      </c>
      <c r="K86" s="636"/>
      <c r="L86" s="637">
        <v>0</v>
      </c>
      <c r="M86" s="636"/>
      <c r="N86" s="637">
        <v>0</v>
      </c>
      <c r="O86" s="637"/>
      <c r="P86" s="637">
        <v>0</v>
      </c>
      <c r="Q86" s="637"/>
      <c r="R86" s="637">
        <v>0</v>
      </c>
      <c r="S86" s="637"/>
      <c r="T86" s="637">
        <f t="shared" si="1"/>
        <v>0</v>
      </c>
    </row>
    <row r="87" spans="1:20" ht="15" customHeight="1">
      <c r="A87" s="406" t="s">
        <v>47</v>
      </c>
      <c r="B87" s="637">
        <f>-Operations!C87</f>
        <v>-259351.93000000002</v>
      </c>
      <c r="C87" s="636"/>
      <c r="D87" s="637">
        <v>0</v>
      </c>
      <c r="E87" s="636"/>
      <c r="F87" s="637">
        <v>0</v>
      </c>
      <c r="G87" s="636"/>
      <c r="H87" s="637">
        <v>0</v>
      </c>
      <c r="I87" s="636"/>
      <c r="J87" s="637">
        <v>0</v>
      </c>
      <c r="K87" s="636"/>
      <c r="L87" s="637">
        <v>0</v>
      </c>
      <c r="M87" s="636"/>
      <c r="N87" s="637">
        <v>0</v>
      </c>
      <c r="O87" s="637"/>
      <c r="P87" s="637">
        <v>0</v>
      </c>
      <c r="Q87" s="637"/>
      <c r="R87" s="637">
        <v>0</v>
      </c>
      <c r="S87" s="637"/>
      <c r="T87" s="637">
        <f t="shared" si="1"/>
        <v>-259351.93000000002</v>
      </c>
    </row>
    <row r="88" spans="1:20" ht="15" customHeight="1">
      <c r="A88" s="406" t="s">
        <v>49</v>
      </c>
      <c r="B88" s="637">
        <f>+'WP-1 - Summary Depr'!$L$18</f>
        <v>138881.10977619048</v>
      </c>
      <c r="C88" s="636"/>
      <c r="D88" s="637">
        <v>0</v>
      </c>
      <c r="E88" s="636"/>
      <c r="F88" s="637">
        <v>0</v>
      </c>
      <c r="G88" s="636"/>
      <c r="H88" s="637">
        <v>0</v>
      </c>
      <c r="I88" s="636"/>
      <c r="J88" s="637">
        <v>0</v>
      </c>
      <c r="K88" s="636"/>
      <c r="L88" s="637">
        <v>0</v>
      </c>
      <c r="M88" s="636"/>
      <c r="N88" s="637">
        <v>0</v>
      </c>
      <c r="O88" s="637"/>
      <c r="P88" s="637">
        <v>0</v>
      </c>
      <c r="Q88" s="637"/>
      <c r="R88" s="637">
        <v>0</v>
      </c>
      <c r="S88" s="637"/>
      <c r="T88" s="637">
        <f t="shared" si="1"/>
        <v>138881.10977619048</v>
      </c>
    </row>
    <row r="89" spans="1:20" ht="15" customHeight="1">
      <c r="A89" s="406" t="s">
        <v>50</v>
      </c>
      <c r="B89" s="637">
        <f>+'WP-1 - Summary Depr'!$L$19</f>
        <v>2782.7370630000269</v>
      </c>
      <c r="C89" s="636"/>
      <c r="D89" s="637">
        <v>0</v>
      </c>
      <c r="E89" s="636"/>
      <c r="F89" s="637">
        <v>0</v>
      </c>
      <c r="G89" s="636"/>
      <c r="H89" s="637">
        <v>0</v>
      </c>
      <c r="I89" s="636"/>
      <c r="J89" s="637">
        <v>0</v>
      </c>
      <c r="K89" s="636"/>
      <c r="L89" s="637">
        <v>0</v>
      </c>
      <c r="M89" s="636"/>
      <c r="N89" s="637">
        <v>0</v>
      </c>
      <c r="O89" s="637"/>
      <c r="P89" s="637">
        <v>0</v>
      </c>
      <c r="Q89" s="637"/>
      <c r="R89" s="637">
        <v>0</v>
      </c>
      <c r="S89" s="637"/>
      <c r="T89" s="637">
        <f>SUM(B89:R89)</f>
        <v>2782.7370630000269</v>
      </c>
    </row>
    <row r="90" spans="1:20" ht="15" customHeight="1">
      <c r="A90" s="406" t="s">
        <v>51</v>
      </c>
      <c r="B90" s="637">
        <f>+'WP-1 - Summary Depr'!$L$20</f>
        <v>350</v>
      </c>
      <c r="C90" s="636"/>
      <c r="D90" s="637">
        <v>0</v>
      </c>
      <c r="E90" s="636"/>
      <c r="F90" s="637">
        <v>0</v>
      </c>
      <c r="G90" s="636"/>
      <c r="H90" s="637">
        <v>0</v>
      </c>
      <c r="I90" s="636"/>
      <c r="J90" s="637">
        <v>0</v>
      </c>
      <c r="K90" s="636"/>
      <c r="L90" s="637">
        <v>0</v>
      </c>
      <c r="M90" s="636"/>
      <c r="N90" s="637">
        <v>0</v>
      </c>
      <c r="O90" s="637"/>
      <c r="P90" s="637">
        <v>0</v>
      </c>
      <c r="Q90" s="637"/>
      <c r="R90" s="637">
        <v>0</v>
      </c>
      <c r="S90" s="637"/>
      <c r="T90" s="637">
        <f t="shared" ref="T90:T96" si="2">SUM(B90:R90)</f>
        <v>350</v>
      </c>
    </row>
    <row r="91" spans="1:20" ht="15" customHeight="1">
      <c r="A91" s="406" t="s">
        <v>367</v>
      </c>
      <c r="B91" s="407">
        <f>+'WP-1 - Summary Depr'!$L$21</f>
        <v>1123.9561666666675</v>
      </c>
      <c r="C91" s="409"/>
      <c r="D91" s="637">
        <v>0</v>
      </c>
      <c r="E91" s="636"/>
      <c r="F91" s="637">
        <v>0</v>
      </c>
      <c r="G91" s="636"/>
      <c r="H91" s="637">
        <v>0</v>
      </c>
      <c r="I91" s="636"/>
      <c r="J91" s="637">
        <v>0</v>
      </c>
      <c r="K91" s="636"/>
      <c r="L91" s="637">
        <v>0</v>
      </c>
      <c r="M91" s="636"/>
      <c r="N91" s="637">
        <v>0</v>
      </c>
      <c r="O91" s="407"/>
      <c r="P91" s="407">
        <v>0</v>
      </c>
      <c r="Q91" s="407"/>
      <c r="R91" s="407">
        <v>0</v>
      </c>
      <c r="S91" s="407"/>
      <c r="T91" s="637">
        <f t="shared" si="2"/>
        <v>1123.9561666666675</v>
      </c>
    </row>
    <row r="92" spans="1:20" ht="15" customHeight="1">
      <c r="A92" s="406" t="s">
        <v>366</v>
      </c>
      <c r="B92" s="392">
        <f>+'WP-1 - Summary Depr'!$L$23</f>
        <v>2736.8334999999997</v>
      </c>
      <c r="C92" s="409"/>
      <c r="D92" s="637">
        <v>0</v>
      </c>
      <c r="E92" s="636"/>
      <c r="F92" s="637">
        <v>0</v>
      </c>
      <c r="G92" s="636"/>
      <c r="H92" s="637">
        <v>0</v>
      </c>
      <c r="I92" s="636"/>
      <c r="J92" s="637">
        <v>0</v>
      </c>
      <c r="K92" s="636"/>
      <c r="L92" s="637">
        <v>0</v>
      </c>
      <c r="M92" s="636"/>
      <c r="N92" s="637">
        <v>0</v>
      </c>
      <c r="O92" s="407"/>
      <c r="P92" s="407">
        <v>0</v>
      </c>
      <c r="Q92" s="407"/>
      <c r="R92" s="407">
        <v>0</v>
      </c>
      <c r="S92" s="407"/>
      <c r="T92" s="637">
        <f t="shared" si="2"/>
        <v>2736.8334999999997</v>
      </c>
    </row>
    <row r="93" spans="1:20" ht="15" customHeight="1">
      <c r="A93" s="406" t="s">
        <v>52</v>
      </c>
      <c r="B93" s="407">
        <f>+'WP-1 - Summary Depr'!$L$16</f>
        <v>4518.5499166666687</v>
      </c>
      <c r="C93" s="409"/>
      <c r="D93" s="637">
        <v>0</v>
      </c>
      <c r="E93" s="636"/>
      <c r="F93" s="637">
        <v>0</v>
      </c>
      <c r="G93" s="636"/>
      <c r="H93" s="637">
        <v>0</v>
      </c>
      <c r="I93" s="636"/>
      <c r="J93" s="637">
        <v>0</v>
      </c>
      <c r="K93" s="636"/>
      <c r="L93" s="637">
        <v>0</v>
      </c>
      <c r="M93" s="636"/>
      <c r="N93" s="637">
        <v>0</v>
      </c>
      <c r="O93" s="407"/>
      <c r="P93" s="407">
        <v>0</v>
      </c>
      <c r="Q93" s="407"/>
      <c r="R93" s="407">
        <v>0</v>
      </c>
      <c r="S93" s="407"/>
      <c r="T93" s="637">
        <f t="shared" si="2"/>
        <v>4518.5499166666687</v>
      </c>
    </row>
    <row r="94" spans="1:20" ht="15" customHeight="1">
      <c r="A94" s="406" t="s">
        <v>53</v>
      </c>
      <c r="B94" s="407">
        <f>+'WP-1 - Summary Depr'!$L$22</f>
        <v>34896.613000000005</v>
      </c>
      <c r="C94" s="409"/>
      <c r="D94" s="637">
        <v>0</v>
      </c>
      <c r="E94" s="636"/>
      <c r="F94" s="637">
        <v>0</v>
      </c>
      <c r="G94" s="636"/>
      <c r="H94" s="637">
        <v>0</v>
      </c>
      <c r="I94" s="636"/>
      <c r="J94" s="637">
        <v>0</v>
      </c>
      <c r="K94" s="636"/>
      <c r="L94" s="637">
        <v>0</v>
      </c>
      <c r="M94" s="636"/>
      <c r="N94" s="637">
        <v>0</v>
      </c>
      <c r="O94" s="407"/>
      <c r="P94" s="407">
        <v>0</v>
      </c>
      <c r="Q94" s="407"/>
      <c r="R94" s="407">
        <v>0</v>
      </c>
      <c r="S94" s="407"/>
      <c r="T94" s="637">
        <f t="shared" si="2"/>
        <v>34896.613000000005</v>
      </c>
    </row>
    <row r="95" spans="1:20" ht="15" customHeight="1">
      <c r="A95" s="406" t="s">
        <v>54</v>
      </c>
      <c r="B95" s="407">
        <f>+'WP-1 - Summary Depr'!$L$17</f>
        <v>23687.906285714282</v>
      </c>
      <c r="C95" s="409"/>
      <c r="D95" s="637">
        <v>0</v>
      </c>
      <c r="E95" s="636"/>
      <c r="F95" s="637">
        <v>0</v>
      </c>
      <c r="G95" s="636"/>
      <c r="H95" s="637">
        <v>0</v>
      </c>
      <c r="I95" s="636"/>
      <c r="J95" s="637">
        <v>0</v>
      </c>
      <c r="K95" s="636"/>
      <c r="L95" s="637">
        <v>0</v>
      </c>
      <c r="M95" s="636"/>
      <c r="N95" s="637">
        <v>0</v>
      </c>
      <c r="O95" s="407"/>
      <c r="P95" s="407">
        <v>0</v>
      </c>
      <c r="Q95" s="407"/>
      <c r="R95" s="407">
        <v>0</v>
      </c>
      <c r="S95" s="407"/>
      <c r="T95" s="637">
        <f t="shared" si="2"/>
        <v>23687.906285714282</v>
      </c>
    </row>
    <row r="96" spans="1:20" ht="15" customHeight="1">
      <c r="A96" s="406" t="s">
        <v>55</v>
      </c>
      <c r="B96" s="639">
        <f>+'WP-1 - Summary Depr'!$L$15</f>
        <v>8542.3845000000074</v>
      </c>
      <c r="C96" s="409"/>
      <c r="D96" s="638">
        <v>0</v>
      </c>
      <c r="E96" s="636"/>
      <c r="F96" s="638">
        <v>0</v>
      </c>
      <c r="G96" s="636"/>
      <c r="H96" s="638">
        <v>0</v>
      </c>
      <c r="I96" s="636"/>
      <c r="J96" s="638">
        <v>0</v>
      </c>
      <c r="K96" s="636"/>
      <c r="L96" s="638">
        <v>0</v>
      </c>
      <c r="M96" s="636"/>
      <c r="N96" s="637">
        <v>0</v>
      </c>
      <c r="O96" s="407"/>
      <c r="P96" s="407">
        <v>0</v>
      </c>
      <c r="Q96" s="407"/>
      <c r="R96" s="407">
        <v>0</v>
      </c>
      <c r="S96" s="407"/>
      <c r="T96" s="637">
        <f t="shared" si="2"/>
        <v>8542.3845000000074</v>
      </c>
    </row>
    <row r="97" spans="1:20" ht="15" customHeight="1">
      <c r="A97" s="404"/>
      <c r="B97" s="640">
        <f>SUM(B24:B96)</f>
        <v>-41831.839791761879</v>
      </c>
      <c r="C97" s="636"/>
      <c r="D97" s="640">
        <f>SUM(D24:D96)</f>
        <v>0</v>
      </c>
      <c r="E97" s="636"/>
      <c r="F97" s="640">
        <f>SUM(F24:F96)</f>
        <v>-2.9103830456733704E-11</v>
      </c>
      <c r="G97" s="636"/>
      <c r="H97" s="640">
        <f>SUM(H24:H96)</f>
        <v>-13892.949999999999</v>
      </c>
      <c r="I97" s="636"/>
      <c r="J97" s="640">
        <f>SUM(J24:J96)</f>
        <v>1990.0200000000114</v>
      </c>
      <c r="K97" s="636"/>
      <c r="L97" s="640">
        <f>SUM(L24:L96)</f>
        <v>-16598.849999999999</v>
      </c>
      <c r="M97" s="636"/>
      <c r="N97" s="640">
        <f>SUM(N24:N96)</f>
        <v>18319.658049999998</v>
      </c>
      <c r="O97" s="636"/>
      <c r="P97" s="640">
        <f>SUM(P24:P96)</f>
        <v>14400</v>
      </c>
      <c r="Q97" s="636"/>
      <c r="R97" s="640">
        <f>SUM(R24:R96)</f>
        <v>9308.3034200000038</v>
      </c>
      <c r="S97" s="636"/>
      <c r="T97" s="640">
        <f>SUM(T24:T96)</f>
        <v>-28305.658321761912</v>
      </c>
    </row>
    <row r="98" spans="1:20" ht="15" customHeight="1">
      <c r="A98" s="392"/>
      <c r="B98" s="407"/>
      <c r="C98" s="409"/>
      <c r="D98" s="407"/>
      <c r="E98" s="409"/>
      <c r="F98" s="407"/>
      <c r="G98" s="409"/>
      <c r="H98" s="407"/>
      <c r="I98" s="409"/>
      <c r="J98" s="407"/>
      <c r="K98" s="409"/>
      <c r="L98" s="407"/>
      <c r="M98" s="409"/>
      <c r="N98" s="407"/>
      <c r="O98" s="407"/>
      <c r="P98" s="409"/>
      <c r="Q98" s="407"/>
      <c r="R98" s="407"/>
      <c r="S98" s="407"/>
      <c r="T98" s="407"/>
    </row>
    <row r="99" spans="1:20" ht="15" customHeight="1" thickBot="1">
      <c r="A99" s="392" t="s">
        <v>99</v>
      </c>
      <c r="B99" s="641">
        <f>+B21-B97</f>
        <v>41831.839791761879</v>
      </c>
      <c r="C99" s="636"/>
      <c r="D99" s="641">
        <f>+D21-D97</f>
        <v>0</v>
      </c>
      <c r="E99" s="636"/>
      <c r="F99" s="641">
        <f>+F21-F97</f>
        <v>2.9103830456733704E-11</v>
      </c>
      <c r="G99" s="636"/>
      <c r="H99" s="641">
        <f>+H21-H97</f>
        <v>13892.949999999999</v>
      </c>
      <c r="I99" s="636"/>
      <c r="J99" s="641">
        <f>+J21-J97</f>
        <v>-1990.0200000000114</v>
      </c>
      <c r="K99" s="636"/>
      <c r="L99" s="641">
        <f>+L21-L97</f>
        <v>16598.849999999999</v>
      </c>
      <c r="M99" s="636"/>
      <c r="N99" s="641">
        <f>+N21-N97</f>
        <v>-18319.658049999998</v>
      </c>
      <c r="O99" s="637"/>
      <c r="P99" s="641">
        <f>+P21-P97</f>
        <v>-14400</v>
      </c>
      <c r="Q99" s="637"/>
      <c r="R99" s="641">
        <f>+R21-R97</f>
        <v>-9308.3034200000038</v>
      </c>
      <c r="S99" s="637"/>
      <c r="T99" s="641">
        <f>+T21-T97</f>
        <v>28305.658321761912</v>
      </c>
    </row>
    <row r="100" spans="1:20" ht="15" customHeight="1" thickTop="1">
      <c r="A100" s="392"/>
      <c r="B100" s="407"/>
      <c r="C100" s="409"/>
      <c r="D100" s="407"/>
      <c r="E100" s="409"/>
      <c r="F100" s="407"/>
      <c r="G100" s="409"/>
      <c r="H100" s="407"/>
      <c r="I100" s="409"/>
      <c r="J100" s="407"/>
      <c r="K100" s="409"/>
      <c r="L100" s="407"/>
      <c r="M100" s="409"/>
      <c r="N100" s="407"/>
      <c r="O100" s="407"/>
      <c r="P100" s="407"/>
      <c r="Q100" s="407"/>
      <c r="R100" s="407"/>
      <c r="S100" s="407"/>
      <c r="T100" s="407"/>
    </row>
    <row r="101" spans="1:20" ht="15" customHeight="1">
      <c r="D101" s="384"/>
      <c r="E101" s="385"/>
      <c r="J101" s="714"/>
      <c r="N101" s="714"/>
      <c r="T101" s="384">
        <f>+Operations!E98</f>
        <v>-28305.658321761912</v>
      </c>
    </row>
    <row r="102" spans="1:20" ht="15" customHeight="1">
      <c r="T102" s="637">
        <f>+T99+T101</f>
        <v>0</v>
      </c>
    </row>
    <row r="103" spans="1:20" ht="15" customHeight="1"/>
    <row r="104" spans="1:20" ht="15" customHeight="1"/>
    <row r="105" spans="1:20" ht="15" customHeight="1"/>
    <row r="106" spans="1:20" ht="15" customHeight="1"/>
    <row r="107" spans="1:20" ht="15" customHeight="1"/>
    <row r="108" spans="1:20" ht="15" customHeight="1">
      <c r="D108" s="384"/>
      <c r="E108" s="385"/>
    </row>
    <row r="109" spans="1:20" ht="15" customHeight="1"/>
  </sheetData>
  <mergeCells count="4">
    <mergeCell ref="A1:T1"/>
    <mergeCell ref="A5:T5"/>
    <mergeCell ref="A3:T3"/>
    <mergeCell ref="A6:T6"/>
  </mergeCells>
  <phoneticPr fontId="8" type="noConversion"/>
  <printOptions horizontalCentered="1"/>
  <pageMargins left="0.25" right="0.25" top="0.75" bottom="0.5" header="0" footer="0.25"/>
  <pageSetup scale="71" fitToHeight="3" orientation="landscape" horizontalDpi="300" verticalDpi="300" r:id="rId1"/>
  <headerFooter scaleWithDoc="0" alignWithMargins="0">
    <oddFooter xml:space="preserve">&amp;C&amp;"Times New Roman,Regular"&amp;10See accompanying summary of significant forecast assumptions. &amp;"Arial,Regular"&amp;9
</oddFooter>
  </headerFooter>
  <rowBreaks count="2" manualBreakCount="2">
    <brk id="35" max="15" man="1"/>
    <brk id="70" max="19"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5"/>
  <sheetViews>
    <sheetView zoomScaleNormal="100" workbookViewId="0">
      <selection sqref="A1:I1"/>
    </sheetView>
  </sheetViews>
  <sheetFormatPr defaultColWidth="8" defaultRowHeight="15.75"/>
  <cols>
    <col min="1" max="1" width="5.77734375" style="382" customWidth="1"/>
    <col min="2" max="2" width="18.44140625" style="382" customWidth="1"/>
    <col min="3" max="4" width="10.33203125" style="382" customWidth="1"/>
    <col min="5" max="6" width="7.77734375" style="382" customWidth="1"/>
    <col min="7" max="7" width="4.21875" style="382" customWidth="1"/>
    <col min="8" max="8" width="3.5546875" style="382" customWidth="1"/>
    <col min="9" max="9" width="5.88671875" style="382" customWidth="1"/>
    <col min="10" max="16384" width="8" style="382"/>
  </cols>
  <sheetData>
    <row r="1" spans="1:10" ht="16.5" customHeight="1">
      <c r="A1" s="1301" t="s">
        <v>9</v>
      </c>
      <c r="B1" s="1302"/>
      <c r="C1" s="1302"/>
      <c r="D1" s="1302"/>
      <c r="E1" s="1302"/>
      <c r="F1" s="1302"/>
      <c r="G1" s="1302"/>
      <c r="H1" s="1302"/>
      <c r="I1" s="1302"/>
    </row>
    <row r="2" spans="1:10" ht="13.5" customHeight="1">
      <c r="A2" s="1302"/>
      <c r="B2" s="1302"/>
      <c r="C2" s="1302"/>
      <c r="D2" s="1302"/>
      <c r="E2" s="1302"/>
      <c r="F2" s="1302"/>
      <c r="G2" s="1302"/>
      <c r="H2" s="1302"/>
      <c r="I2" s="1302"/>
    </row>
    <row r="3" spans="1:10" ht="16.5">
      <c r="A3" s="1302" t="s">
        <v>212</v>
      </c>
      <c r="B3" s="1302"/>
      <c r="C3" s="1302"/>
      <c r="D3" s="1302"/>
      <c r="E3" s="1302"/>
      <c r="F3" s="1302"/>
      <c r="G3" s="1302"/>
      <c r="H3" s="1302"/>
      <c r="I3" s="1302"/>
    </row>
    <row r="4" spans="1:10" ht="15.75" customHeight="1">
      <c r="A4" s="410"/>
      <c r="B4" s="410"/>
      <c r="C4" s="410"/>
      <c r="D4" s="410"/>
      <c r="E4" s="410"/>
      <c r="F4" s="410"/>
      <c r="G4" s="410"/>
      <c r="H4" s="410"/>
      <c r="I4" s="410"/>
    </row>
    <row r="5" spans="1:10" ht="15.75" customHeight="1">
      <c r="A5" s="1303" t="str">
        <f>'Fly Sheet'!$A$20</f>
        <v>For the Twelve Months Ended March 31, 2018 Historical and September 30, 2019 Forecasted</v>
      </c>
      <c r="B5" s="1304"/>
      <c r="C5" s="1304"/>
      <c r="D5" s="1304"/>
      <c r="E5" s="1304"/>
      <c r="F5" s="1304"/>
      <c r="G5" s="1304"/>
      <c r="H5" s="1304"/>
      <c r="I5" s="1304"/>
    </row>
    <row r="6" spans="1:10" ht="15.75" customHeight="1">
      <c r="A6" s="1303"/>
      <c r="B6" s="1304"/>
      <c r="C6" s="1304"/>
      <c r="D6" s="1304"/>
      <c r="E6" s="1304"/>
      <c r="F6" s="1304"/>
      <c r="G6" s="1304"/>
      <c r="H6" s="1304"/>
      <c r="I6" s="1304"/>
    </row>
    <row r="7" spans="1:10" ht="15.75" customHeight="1">
      <c r="B7" s="411"/>
      <c r="C7" s="411"/>
      <c r="D7" s="411"/>
      <c r="E7" s="411"/>
      <c r="F7" s="411"/>
      <c r="G7" s="411"/>
      <c r="H7" s="411"/>
      <c r="I7" s="411"/>
    </row>
    <row r="8" spans="1:10" ht="45" customHeight="1">
      <c r="A8" s="731" t="s">
        <v>820</v>
      </c>
      <c r="B8" s="1305" t="s">
        <v>1168</v>
      </c>
      <c r="C8" s="1305"/>
      <c r="D8" s="1305"/>
      <c r="E8" s="1305"/>
      <c r="F8" s="1305"/>
      <c r="G8" s="1305"/>
      <c r="H8" s="1305"/>
      <c r="I8" s="1305"/>
    </row>
    <row r="9" spans="1:10" ht="21" customHeight="1">
      <c r="A9" s="644" t="s">
        <v>114</v>
      </c>
      <c r="B9" s="1305" t="s">
        <v>127</v>
      </c>
      <c r="C9" s="1306"/>
      <c r="D9" s="1306"/>
      <c r="E9" s="1306"/>
      <c r="F9" s="1306"/>
      <c r="G9" s="1306"/>
      <c r="H9" s="1306"/>
      <c r="I9" s="1306"/>
    </row>
    <row r="10" spans="1:10" ht="17.25" customHeight="1">
      <c r="A10" s="644" t="s">
        <v>115</v>
      </c>
      <c r="B10" s="1305" t="s">
        <v>1169</v>
      </c>
      <c r="C10" s="1306"/>
      <c r="D10" s="1306"/>
      <c r="E10" s="1306"/>
      <c r="F10" s="1306"/>
      <c r="G10" s="1306"/>
      <c r="H10" s="1306"/>
      <c r="I10" s="1306"/>
    </row>
    <row r="11" spans="1:10">
      <c r="A11" s="644" t="s">
        <v>116</v>
      </c>
      <c r="B11" s="1305" t="s">
        <v>819</v>
      </c>
      <c r="C11" s="1305"/>
      <c r="D11" s="1305"/>
      <c r="E11" s="1305"/>
      <c r="F11" s="1305"/>
      <c r="G11" s="1305"/>
      <c r="H11" s="1305"/>
      <c r="I11" s="1305"/>
      <c r="J11" s="761"/>
    </row>
    <row r="12" spans="1:10">
      <c r="A12" s="644" t="s">
        <v>117</v>
      </c>
      <c r="B12" s="1300" t="s">
        <v>1104</v>
      </c>
      <c r="C12" s="1300"/>
      <c r="D12" s="1300"/>
      <c r="E12" s="1300"/>
      <c r="F12" s="1300"/>
      <c r="G12" s="1300"/>
      <c r="H12" s="1300"/>
      <c r="I12" s="1300"/>
    </row>
    <row r="13" spans="1:10">
      <c r="A13" s="644"/>
      <c r="B13" s="869"/>
      <c r="C13" s="869"/>
      <c r="D13" s="869"/>
      <c r="E13" s="869"/>
      <c r="F13" s="869"/>
      <c r="G13" s="869"/>
      <c r="H13" s="869"/>
      <c r="I13" s="869"/>
    </row>
    <row r="14" spans="1:10" ht="18" customHeight="1">
      <c r="A14" s="389" t="s">
        <v>1077</v>
      </c>
      <c r="B14" s="754"/>
      <c r="C14" s="644"/>
      <c r="D14" s="644"/>
      <c r="E14" s="644"/>
      <c r="F14" s="644"/>
      <c r="G14" s="644"/>
      <c r="H14" s="644"/>
      <c r="I14" s="644"/>
    </row>
    <row r="15" spans="1:10">
      <c r="A15" s="389" t="s">
        <v>116</v>
      </c>
      <c r="B15" s="389" t="s">
        <v>1051</v>
      </c>
      <c r="C15" s="412">
        <f>+'WP-8 - Fuel'!E34</f>
        <v>40139.8383399616</v>
      </c>
      <c r="J15" s="761"/>
    </row>
    <row r="16" spans="1:10" ht="16.5" thickBot="1">
      <c r="C16" s="1067">
        <f>C15</f>
        <v>40139.8383399616</v>
      </c>
      <c r="D16" s="412"/>
      <c r="E16" s="658"/>
    </row>
    <row r="17" spans="1:5" ht="16.5" thickTop="1">
      <c r="A17" s="413"/>
    </row>
    <row r="18" spans="1:5">
      <c r="A18" s="413" t="s">
        <v>117</v>
      </c>
      <c r="B18" s="389" t="s">
        <v>1050</v>
      </c>
    </row>
    <row r="19" spans="1:5">
      <c r="A19" s="413"/>
      <c r="B19" s="382" t="s">
        <v>727</v>
      </c>
      <c r="C19" s="732" t="s">
        <v>0</v>
      </c>
      <c r="D19" s="732"/>
      <c r="E19" s="732"/>
    </row>
    <row r="20" spans="1:5">
      <c r="A20" s="413"/>
      <c r="B20" s="382" t="s">
        <v>725</v>
      </c>
      <c r="C20" s="733">
        <f>+'WP-13 Disposal'!C39</f>
        <v>16052.552631578943</v>
      </c>
      <c r="D20" s="981"/>
      <c r="E20" s="412"/>
    </row>
    <row r="21" spans="1:5">
      <c r="A21" s="413"/>
      <c r="B21" s="382" t="s">
        <v>4</v>
      </c>
      <c r="C21" s="984">
        <f>+'WP-13 Disposal'!A32</f>
        <v>1.240000000000002</v>
      </c>
      <c r="D21" s="982"/>
      <c r="E21" s="412"/>
    </row>
    <row r="22" spans="1:5" ht="16.5" thickBot="1">
      <c r="A22" s="413"/>
      <c r="B22" s="389" t="s">
        <v>209</v>
      </c>
      <c r="C22" s="980">
        <f>+C20*C21</f>
        <v>19905.16526315792</v>
      </c>
      <c r="D22" s="983"/>
      <c r="E22" s="658"/>
    </row>
    <row r="23" spans="1:5" ht="16.5" thickTop="1">
      <c r="A23" s="413"/>
    </row>
    <row r="24" spans="1:5">
      <c r="A24" s="413"/>
      <c r="B24" s="389" t="s">
        <v>7</v>
      </c>
    </row>
    <row r="25" spans="1:5">
      <c r="A25" s="413"/>
      <c r="B25" s="382" t="s">
        <v>723</v>
      </c>
      <c r="C25" s="733">
        <f>Operations!G41</f>
        <v>297677.14999999997</v>
      </c>
    </row>
    <row r="26" spans="1:5">
      <c r="A26" s="413"/>
      <c r="B26" s="382" t="s">
        <v>729</v>
      </c>
      <c r="C26" s="733">
        <f>'WP-13 Disposal'!C38</f>
        <v>49.78</v>
      </c>
    </row>
    <row r="27" spans="1:5">
      <c r="A27" s="413"/>
      <c r="B27" s="382" t="s">
        <v>730</v>
      </c>
      <c r="C27" s="733">
        <f>C25/C26</f>
        <v>5979.8543591803927</v>
      </c>
    </row>
    <row r="28" spans="1:5">
      <c r="A28" s="413"/>
      <c r="B28" s="382" t="s">
        <v>731</v>
      </c>
      <c r="C28" s="734">
        <f>C21</f>
        <v>1.240000000000002</v>
      </c>
    </row>
    <row r="29" spans="1:5" ht="16.5" thickBot="1">
      <c r="A29" s="413"/>
      <c r="B29" s="389" t="s">
        <v>732</v>
      </c>
      <c r="C29" s="889">
        <f>C27*C28</f>
        <v>7415.0194053836985</v>
      </c>
      <c r="D29" s="761"/>
    </row>
    <row r="30" spans="1:5" ht="16.5" thickTop="1">
      <c r="A30" s="413"/>
    </row>
    <row r="31" spans="1:5">
      <c r="A31" s="413"/>
    </row>
    <row r="35" spans="3:3">
      <c r="C35" s="412"/>
    </row>
  </sheetData>
  <mergeCells count="10">
    <mergeCell ref="B12:I12"/>
    <mergeCell ref="A1:I1"/>
    <mergeCell ref="A3:I3"/>
    <mergeCell ref="A5:I5"/>
    <mergeCell ref="A6:I6"/>
    <mergeCell ref="B11:I11"/>
    <mergeCell ref="B9:I9"/>
    <mergeCell ref="B10:I10"/>
    <mergeCell ref="A2:I2"/>
    <mergeCell ref="B8:I8"/>
  </mergeCells>
  <phoneticPr fontId="8" type="noConversion"/>
  <printOptions horizontalCentered="1"/>
  <pageMargins left="0.9" right="0.7" top="0.75" bottom="0.5" header="0" footer="0.25"/>
  <pageSetup scale="89" fitToHeight="3" orientation="portrait" horizontalDpi="300" verticalDpi="300" r:id="rId1"/>
  <headerFooter scaleWithDoc="0" alignWithMargins="0">
    <oddFooter xml:space="preserve">&amp;C&amp;"Times New Roman,Regular"&amp;10See accompanying summary of significant forecast assumptions.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Q174"/>
  <sheetViews>
    <sheetView zoomScale="85" zoomScaleNormal="85" workbookViewId="0">
      <selection sqref="A1:L1"/>
    </sheetView>
  </sheetViews>
  <sheetFormatPr defaultColWidth="8" defaultRowHeight="15.75"/>
  <cols>
    <col min="1" max="1" width="27.77734375" style="384" customWidth="1"/>
    <col min="2" max="2" width="10.77734375" style="384" customWidth="1"/>
    <col min="3" max="3" width="3.77734375" style="385" customWidth="1"/>
    <col min="4" max="4" width="10.77734375" style="384" customWidth="1"/>
    <col min="5" max="5" width="3.77734375" style="385" customWidth="1"/>
    <col min="6" max="6" width="10.77734375" style="384" customWidth="1"/>
    <col min="7" max="7" width="3.77734375" style="384" customWidth="1"/>
    <col min="8" max="8" width="10.77734375" style="384" customWidth="1"/>
    <col min="9" max="9" width="3.77734375" style="385" customWidth="1"/>
    <col min="10" max="10" width="10.77734375" style="384" customWidth="1"/>
    <col min="11" max="11" width="3.77734375" style="384" customWidth="1"/>
    <col min="12" max="12" width="10.77734375" style="384" customWidth="1"/>
    <col min="13" max="13" width="4.33203125" style="382" customWidth="1"/>
    <col min="14" max="14" width="8" style="382" customWidth="1"/>
    <col min="15" max="15" width="2.88671875" style="382" customWidth="1"/>
    <col min="16" max="16" width="12.44140625" style="382" customWidth="1"/>
    <col min="17" max="16384" width="8" style="382"/>
  </cols>
  <sheetData>
    <row r="1" spans="1:14" ht="16.5" customHeight="1">
      <c r="A1" s="1299" t="s">
        <v>9</v>
      </c>
      <c r="B1" s="1299"/>
      <c r="C1" s="1299"/>
      <c r="D1" s="1299"/>
      <c r="E1" s="1299"/>
      <c r="F1" s="1299"/>
      <c r="G1" s="1299"/>
      <c r="H1" s="1299"/>
      <c r="I1" s="1299"/>
      <c r="J1" s="1299"/>
      <c r="K1" s="1299"/>
      <c r="L1" s="1299"/>
      <c r="M1" s="388" t="s">
        <v>696</v>
      </c>
      <c r="N1" s="389" t="s">
        <v>1085</v>
      </c>
    </row>
    <row r="2" spans="1:14" ht="13.5" customHeight="1">
      <c r="A2" s="383"/>
      <c r="M2" s="388" t="s">
        <v>697</v>
      </c>
      <c r="N2" s="389" t="s">
        <v>708</v>
      </c>
    </row>
    <row r="3" spans="1:14" ht="16.5" customHeight="1">
      <c r="A3" s="1299" t="s">
        <v>361</v>
      </c>
      <c r="B3" s="1299"/>
      <c r="C3" s="1299"/>
      <c r="D3" s="1299"/>
      <c r="E3" s="1299"/>
      <c r="F3" s="1299"/>
      <c r="G3" s="1299"/>
      <c r="H3" s="1299"/>
      <c r="I3" s="1299"/>
      <c r="J3" s="1299"/>
      <c r="K3" s="1299"/>
      <c r="L3" s="1299"/>
      <c r="M3" s="388" t="s">
        <v>698</v>
      </c>
      <c r="N3" s="389" t="s">
        <v>1086</v>
      </c>
    </row>
    <row r="4" spans="1:14">
      <c r="A4" s="390"/>
      <c r="B4" s="390"/>
      <c r="C4" s="391"/>
      <c r="D4" s="390"/>
      <c r="E4" s="391"/>
      <c r="F4" s="390"/>
      <c r="G4" s="390"/>
      <c r="H4" s="390"/>
      <c r="I4" s="391"/>
      <c r="J4" s="390"/>
      <c r="K4" s="390"/>
      <c r="L4" s="390"/>
      <c r="M4" s="388" t="s">
        <v>699</v>
      </c>
      <c r="N4" s="389" t="s">
        <v>700</v>
      </c>
    </row>
    <row r="5" spans="1:14">
      <c r="A5" s="1299" t="str">
        <f>'Fly Sheet'!$A$20</f>
        <v>For the Twelve Months Ended March 31, 2018 Historical and September 30, 2019 Forecasted</v>
      </c>
      <c r="B5" s="1299"/>
      <c r="C5" s="1299"/>
      <c r="D5" s="1299"/>
      <c r="E5" s="1299"/>
      <c r="F5" s="1299"/>
      <c r="G5" s="1299"/>
      <c r="H5" s="1299"/>
      <c r="I5" s="1299"/>
      <c r="J5" s="1299"/>
      <c r="K5" s="1299"/>
      <c r="L5" s="1299"/>
    </row>
    <row r="6" spans="1:14">
      <c r="A6" s="1299"/>
      <c r="B6" s="1299"/>
      <c r="C6" s="1299"/>
      <c r="D6" s="1299"/>
      <c r="E6" s="1299"/>
      <c r="F6" s="1299"/>
      <c r="G6" s="1299"/>
      <c r="H6" s="1299"/>
      <c r="I6" s="1299"/>
      <c r="J6" s="1299"/>
      <c r="K6" s="1299"/>
      <c r="L6" s="1299"/>
    </row>
    <row r="7" spans="1:14">
      <c r="A7" s="383"/>
    </row>
    <row r="8" spans="1:14" ht="12.95" customHeight="1">
      <c r="A8" s="392"/>
      <c r="B8" s="393" t="s">
        <v>170</v>
      </c>
      <c r="C8" s="394"/>
      <c r="D8" s="393" t="s">
        <v>114</v>
      </c>
      <c r="E8" s="394"/>
      <c r="F8" s="393" t="s">
        <v>115</v>
      </c>
      <c r="G8" s="393"/>
      <c r="H8" s="393" t="s">
        <v>116</v>
      </c>
      <c r="I8" s="394"/>
      <c r="J8" s="393" t="s">
        <v>117</v>
      </c>
      <c r="K8" s="393"/>
      <c r="L8" s="395" t="s">
        <v>5</v>
      </c>
    </row>
    <row r="9" spans="1:14" ht="12.95" customHeight="1">
      <c r="A9" s="392"/>
      <c r="B9" s="414"/>
      <c r="C9" s="415"/>
      <c r="D9" s="393"/>
      <c r="E9" s="394"/>
      <c r="F9" s="880">
        <f>1/3</f>
        <v>0.33333333333333331</v>
      </c>
      <c r="G9" s="414"/>
      <c r="H9" s="393"/>
      <c r="I9" s="415"/>
      <c r="J9" s="393" t="s">
        <v>4</v>
      </c>
      <c r="K9" s="393"/>
      <c r="L9" s="393" t="s">
        <v>0</v>
      </c>
    </row>
    <row r="10" spans="1:14" ht="12.95" customHeight="1">
      <c r="A10" s="392"/>
      <c r="B10" s="395"/>
      <c r="C10" s="397"/>
      <c r="D10" s="393" t="s">
        <v>375</v>
      </c>
      <c r="E10" s="394"/>
      <c r="F10" s="393" t="s">
        <v>82</v>
      </c>
      <c r="G10" s="393"/>
      <c r="H10" s="393" t="s">
        <v>59</v>
      </c>
      <c r="I10" s="394"/>
      <c r="J10" s="416" t="s">
        <v>132</v>
      </c>
      <c r="K10" s="416"/>
      <c r="L10" s="393" t="s">
        <v>68</v>
      </c>
    </row>
    <row r="11" spans="1:14" ht="12.95" customHeight="1">
      <c r="A11" s="392"/>
      <c r="B11" s="400" t="s">
        <v>8</v>
      </c>
      <c r="C11" s="394"/>
      <c r="D11" s="400" t="s">
        <v>72</v>
      </c>
      <c r="E11" s="394"/>
      <c r="F11" s="400" t="s">
        <v>1093</v>
      </c>
      <c r="G11" s="394"/>
      <c r="H11" s="417" t="s">
        <v>21</v>
      </c>
      <c r="I11" s="394"/>
      <c r="J11" s="400" t="s">
        <v>133</v>
      </c>
      <c r="K11" s="394"/>
      <c r="L11" s="400" t="s">
        <v>71</v>
      </c>
    </row>
    <row r="12" spans="1:14" ht="15" customHeight="1">
      <c r="A12" s="402" t="str">
        <f>+'Sch 1, pg 2 - Restated'!A12</f>
        <v>REVENUES</v>
      </c>
      <c r="B12" s="392"/>
      <c r="C12" s="403"/>
      <c r="D12" s="392"/>
      <c r="E12" s="403"/>
      <c r="F12" s="392"/>
      <c r="G12" s="392"/>
      <c r="H12" s="392"/>
      <c r="I12" s="403"/>
      <c r="J12" s="392"/>
      <c r="K12" s="392"/>
      <c r="L12" s="392"/>
    </row>
    <row r="13" spans="1:14" ht="15" customHeight="1">
      <c r="A13" s="406" t="s">
        <v>74</v>
      </c>
      <c r="B13" s="635">
        <v>0</v>
      </c>
      <c r="C13" s="653"/>
      <c r="D13" s="635">
        <v>0</v>
      </c>
      <c r="E13" s="653"/>
      <c r="F13" s="635">
        <v>0</v>
      </c>
      <c r="G13" s="635"/>
      <c r="H13" s="635">
        <v>0</v>
      </c>
      <c r="I13" s="653"/>
      <c r="J13" s="635">
        <v>0</v>
      </c>
      <c r="K13" s="635"/>
      <c r="L13" s="635">
        <f t="shared" ref="L13:L20" si="0">SUM(B13:K13)</f>
        <v>0</v>
      </c>
    </row>
    <row r="14" spans="1:14" ht="15" customHeight="1">
      <c r="A14" s="406" t="s">
        <v>75</v>
      </c>
      <c r="B14" s="637">
        <v>0</v>
      </c>
      <c r="C14" s="636"/>
      <c r="D14" s="637">
        <v>0</v>
      </c>
      <c r="E14" s="636"/>
      <c r="F14" s="637">
        <v>0</v>
      </c>
      <c r="G14" s="637"/>
      <c r="H14" s="637">
        <v>0</v>
      </c>
      <c r="I14" s="636"/>
      <c r="J14" s="637">
        <v>0</v>
      </c>
      <c r="K14" s="637"/>
      <c r="L14" s="637">
        <f t="shared" si="0"/>
        <v>0</v>
      </c>
    </row>
    <row r="15" spans="1:14" ht="15" customHeight="1">
      <c r="A15" s="406" t="s">
        <v>7</v>
      </c>
      <c r="B15" s="637">
        <v>0</v>
      </c>
      <c r="C15" s="636"/>
      <c r="D15" s="637">
        <v>0</v>
      </c>
      <c r="E15" s="636"/>
      <c r="F15" s="637">
        <v>0</v>
      </c>
      <c r="G15" s="637"/>
      <c r="H15" s="637">
        <v>0</v>
      </c>
      <c r="I15" s="636"/>
      <c r="J15" s="637">
        <v>0</v>
      </c>
      <c r="K15" s="637"/>
      <c r="L15" s="637">
        <f t="shared" si="0"/>
        <v>0</v>
      </c>
    </row>
    <row r="16" spans="1:14" ht="15" customHeight="1">
      <c r="A16" s="406" t="s">
        <v>440</v>
      </c>
      <c r="B16" s="637">
        <v>0</v>
      </c>
      <c r="C16" s="636"/>
      <c r="D16" s="637">
        <v>0</v>
      </c>
      <c r="E16" s="636"/>
      <c r="F16" s="637">
        <v>0</v>
      </c>
      <c r="G16" s="637"/>
      <c r="H16" s="637">
        <v>0</v>
      </c>
      <c r="I16" s="636"/>
      <c r="J16" s="637">
        <v>0</v>
      </c>
      <c r="K16" s="637"/>
      <c r="L16" s="637">
        <f t="shared" si="0"/>
        <v>0</v>
      </c>
    </row>
    <row r="17" spans="1:17" ht="15" customHeight="1">
      <c r="A17" s="406" t="s">
        <v>22</v>
      </c>
      <c r="B17" s="637">
        <v>0</v>
      </c>
      <c r="C17" s="636"/>
      <c r="D17" s="637">
        <v>0</v>
      </c>
      <c r="E17" s="636"/>
      <c r="F17" s="637">
        <v>0</v>
      </c>
      <c r="G17" s="637"/>
      <c r="H17" s="637">
        <v>0</v>
      </c>
      <c r="I17" s="636"/>
      <c r="J17" s="637">
        <v>0</v>
      </c>
      <c r="K17" s="637"/>
      <c r="L17" s="637">
        <f t="shared" si="0"/>
        <v>0</v>
      </c>
    </row>
    <row r="18" spans="1:17" ht="15" customHeight="1">
      <c r="A18" s="406" t="s">
        <v>77</v>
      </c>
      <c r="B18" s="407">
        <v>0</v>
      </c>
      <c r="C18" s="409"/>
      <c r="D18" s="407">
        <v>0</v>
      </c>
      <c r="E18" s="409"/>
      <c r="F18" s="407">
        <v>0</v>
      </c>
      <c r="G18" s="407"/>
      <c r="H18" s="407">
        <v>0</v>
      </c>
      <c r="I18" s="409"/>
      <c r="J18" s="407">
        <f>+'Sch 2 - Forecast Exp'!C29</f>
        <v>7415.0194053836985</v>
      </c>
      <c r="K18" s="735"/>
      <c r="L18" s="637">
        <f t="shared" si="0"/>
        <v>7415.0194053836985</v>
      </c>
    </row>
    <row r="19" spans="1:17" ht="15" customHeight="1">
      <c r="A19" s="406" t="s">
        <v>96</v>
      </c>
      <c r="B19" s="407">
        <v>0</v>
      </c>
      <c r="C19" s="409"/>
      <c r="D19" s="407">
        <v>0</v>
      </c>
      <c r="E19" s="409"/>
      <c r="F19" s="407">
        <v>0</v>
      </c>
      <c r="G19" s="407"/>
      <c r="H19" s="407"/>
      <c r="I19" s="409"/>
      <c r="J19" s="407">
        <v>0</v>
      </c>
      <c r="K19" s="407"/>
      <c r="L19" s="637">
        <f t="shared" si="0"/>
        <v>0</v>
      </c>
    </row>
    <row r="20" spans="1:17" ht="15" customHeight="1">
      <c r="A20" s="406" t="s">
        <v>78</v>
      </c>
      <c r="B20" s="638">
        <v>0</v>
      </c>
      <c r="C20" s="636"/>
      <c r="D20" s="638">
        <v>0</v>
      </c>
      <c r="E20" s="636"/>
      <c r="F20" s="638">
        <v>0</v>
      </c>
      <c r="G20" s="636"/>
      <c r="H20" s="638">
        <v>0</v>
      </c>
      <c r="I20" s="636"/>
      <c r="J20" s="638">
        <v>0</v>
      </c>
      <c r="K20" s="636"/>
      <c r="L20" s="637">
        <f t="shared" si="0"/>
        <v>0</v>
      </c>
    </row>
    <row r="21" spans="1:17" ht="15" customHeight="1">
      <c r="A21" s="404"/>
      <c r="B21" s="638">
        <f>SUM(B13:B20)</f>
        <v>0</v>
      </c>
      <c r="C21" s="636"/>
      <c r="D21" s="638">
        <f>SUM(D13:D20)</f>
        <v>0</v>
      </c>
      <c r="E21" s="636"/>
      <c r="F21" s="638">
        <f>SUM(F13:F20)</f>
        <v>0</v>
      </c>
      <c r="G21" s="636"/>
      <c r="H21" s="638">
        <f>SUM(H13:H20)</f>
        <v>0</v>
      </c>
      <c r="I21" s="636"/>
      <c r="J21" s="638">
        <f>SUM(J13:J20)</f>
        <v>7415.0194053836985</v>
      </c>
      <c r="K21" s="636"/>
      <c r="L21" s="713">
        <f>SUM(L13:L20)</f>
        <v>7415.0194053836985</v>
      </c>
    </row>
    <row r="22" spans="1:17" ht="15" customHeight="1">
      <c r="A22" s="404"/>
      <c r="B22" s="636"/>
      <c r="C22" s="636"/>
      <c r="D22" s="636"/>
      <c r="E22" s="636"/>
      <c r="F22" s="636"/>
      <c r="G22" s="636"/>
      <c r="H22" s="636"/>
      <c r="I22" s="636"/>
      <c r="J22" s="636"/>
      <c r="K22" s="636"/>
      <c r="L22" s="636"/>
    </row>
    <row r="23" spans="1:17" ht="15" customHeight="1">
      <c r="A23" s="408" t="str">
        <f>+'Sch 1, pg 2 - Restated'!A23</f>
        <v>OPERATING EXPENSES</v>
      </c>
      <c r="B23" s="637"/>
      <c r="C23" s="636"/>
      <c r="D23" s="637"/>
      <c r="E23" s="409"/>
      <c r="F23" s="407"/>
      <c r="G23" s="407"/>
      <c r="H23" s="407"/>
      <c r="I23" s="409"/>
      <c r="J23" s="407"/>
      <c r="K23" s="407"/>
      <c r="L23" s="637"/>
    </row>
    <row r="24" spans="1:17" ht="15" customHeight="1">
      <c r="A24" s="406" t="s">
        <v>13</v>
      </c>
      <c r="B24" s="637">
        <f>+'WP-2, pg 2 - Labor Increase'!T30*'WP-2, pg 2 - Labor Increase'!T8-Operations!G24</f>
        <v>-6683.657140000083</v>
      </c>
      <c r="C24" s="636"/>
      <c r="D24" s="637">
        <v>0</v>
      </c>
      <c r="E24" s="636"/>
      <c r="F24" s="637">
        <v>0</v>
      </c>
      <c r="G24" s="637"/>
      <c r="H24" s="637">
        <v>0</v>
      </c>
      <c r="I24" s="636"/>
      <c r="J24" s="637">
        <v>0</v>
      </c>
      <c r="K24" s="637"/>
      <c r="L24" s="637">
        <f t="shared" ref="L24:L55" si="1">SUM(B24:K24)</f>
        <v>-6683.657140000083</v>
      </c>
      <c r="P24" s="1066"/>
      <c r="Q24" s="637"/>
    </row>
    <row r="25" spans="1:17" ht="15" customHeight="1">
      <c r="A25" s="406" t="s">
        <v>14</v>
      </c>
      <c r="B25" s="637">
        <f>+'WP-2, pg 2 - Labor Increase'!T34*'WP-2, pg 2 - Labor Increase'!T8-Operations!G25</f>
        <v>4099.8616000000329</v>
      </c>
      <c r="C25" s="636"/>
      <c r="D25" s="637">
        <v>0</v>
      </c>
      <c r="E25" s="636"/>
      <c r="F25" s="637">
        <v>0</v>
      </c>
      <c r="G25" s="637"/>
      <c r="H25" s="637">
        <v>0</v>
      </c>
      <c r="I25" s="636"/>
      <c r="J25" s="637">
        <v>0</v>
      </c>
      <c r="K25" s="637"/>
      <c r="L25" s="637">
        <f t="shared" si="1"/>
        <v>4099.8616000000329</v>
      </c>
      <c r="P25" s="1066"/>
      <c r="Q25" s="637"/>
    </row>
    <row r="26" spans="1:17" ht="15" customHeight="1">
      <c r="A26" s="406" t="s">
        <v>15</v>
      </c>
      <c r="B26" s="637">
        <f>+'WP-2, pg 2 - Labor Increase'!T54*'WP-2, pg 2 - Labor Increase'!T8-Operations!G26</f>
        <v>11601.336299999966</v>
      </c>
      <c r="C26" s="636"/>
      <c r="D26" s="637">
        <v>0</v>
      </c>
      <c r="E26" s="636"/>
      <c r="F26" s="637">
        <v>0</v>
      </c>
      <c r="G26" s="637"/>
      <c r="H26" s="637">
        <v>0</v>
      </c>
      <c r="I26" s="636"/>
      <c r="J26" s="637">
        <v>0</v>
      </c>
      <c r="K26" s="637"/>
      <c r="L26" s="637">
        <f t="shared" si="1"/>
        <v>11601.336299999966</v>
      </c>
      <c r="P26" s="1066"/>
      <c r="Q26" s="637"/>
    </row>
    <row r="27" spans="1:17" ht="15" customHeight="1">
      <c r="A27" s="406" t="s">
        <v>16</v>
      </c>
      <c r="B27" s="637">
        <f>+'WP-2, pg 2 - Labor Increase'!T11*'WP-2, pg 2 - Labor Increase'!T8-Operations!G27</f>
        <v>2894.770399999994</v>
      </c>
      <c r="C27" s="636"/>
      <c r="D27" s="637">
        <v>0</v>
      </c>
      <c r="E27" s="636"/>
      <c r="F27" s="637">
        <v>0</v>
      </c>
      <c r="G27" s="637"/>
      <c r="H27" s="637">
        <v>0</v>
      </c>
      <c r="I27" s="636"/>
      <c r="J27" s="637">
        <v>0</v>
      </c>
      <c r="K27" s="637"/>
      <c r="L27" s="637">
        <f t="shared" si="1"/>
        <v>2894.770399999994</v>
      </c>
      <c r="P27" s="1066"/>
      <c r="Q27" s="637"/>
    </row>
    <row r="28" spans="1:17" ht="15" customHeight="1">
      <c r="A28" s="406" t="s">
        <v>118</v>
      </c>
      <c r="B28" s="637">
        <f>+'WP-2, pg 2 - Labor Increase'!T45*'WP-2, pg 2 - Labor Increase'!T8-Operations!G28</f>
        <v>22386.928439999989</v>
      </c>
      <c r="C28" s="636"/>
      <c r="D28" s="637">
        <v>0</v>
      </c>
      <c r="E28" s="636"/>
      <c r="F28" s="637">
        <v>0</v>
      </c>
      <c r="G28" s="637"/>
      <c r="H28" s="637">
        <v>0</v>
      </c>
      <c r="I28" s="636"/>
      <c r="J28" s="637">
        <v>0</v>
      </c>
      <c r="K28" s="637"/>
      <c r="L28" s="637">
        <f t="shared" si="1"/>
        <v>22386.928439999989</v>
      </c>
      <c r="P28" s="1066"/>
      <c r="Q28" s="637"/>
    </row>
    <row r="29" spans="1:17" ht="15" customHeight="1">
      <c r="A29" s="406" t="s">
        <v>17</v>
      </c>
      <c r="B29" s="637">
        <f>+'WP-2, pg 2 - Labor Increase'!AC57*'WP-2, pg 2 - Labor Increase'!T8-Operations!G29</f>
        <v>6083.0345825800905</v>
      </c>
      <c r="C29" s="636"/>
      <c r="D29" s="637">
        <v>0</v>
      </c>
      <c r="E29" s="636"/>
      <c r="F29" s="637">
        <v>0</v>
      </c>
      <c r="G29" s="637"/>
      <c r="H29" s="637">
        <v>0</v>
      </c>
      <c r="I29" s="636"/>
      <c r="J29" s="637">
        <v>0</v>
      </c>
      <c r="K29" s="637"/>
      <c r="L29" s="637">
        <f t="shared" si="1"/>
        <v>6083.0345825800905</v>
      </c>
      <c r="P29" s="1066"/>
    </row>
    <row r="30" spans="1:17" ht="15" customHeight="1">
      <c r="A30" s="406" t="s">
        <v>409</v>
      </c>
      <c r="B30" s="637">
        <v>0</v>
      </c>
      <c r="C30" s="636"/>
      <c r="D30" s="637">
        <v>0</v>
      </c>
      <c r="E30" s="636"/>
      <c r="F30" s="637">
        <v>0</v>
      </c>
      <c r="G30" s="637"/>
      <c r="H30" s="637">
        <v>0</v>
      </c>
      <c r="I30" s="636"/>
      <c r="J30" s="637">
        <v>0</v>
      </c>
      <c r="K30" s="637"/>
      <c r="L30" s="637">
        <f t="shared" si="1"/>
        <v>0</v>
      </c>
      <c r="P30" s="1066"/>
    </row>
    <row r="31" spans="1:17" ht="15" customHeight="1">
      <c r="A31" s="406" t="s">
        <v>18</v>
      </c>
      <c r="B31" s="637">
        <v>0</v>
      </c>
      <c r="C31" s="636"/>
      <c r="D31" s="637">
        <v>0</v>
      </c>
      <c r="E31" s="636"/>
      <c r="F31" s="637">
        <v>0</v>
      </c>
      <c r="G31" s="637"/>
      <c r="H31" s="637">
        <v>0</v>
      </c>
      <c r="I31" s="636"/>
      <c r="J31" s="637">
        <v>0</v>
      </c>
      <c r="K31" s="637"/>
      <c r="L31" s="637">
        <f t="shared" si="1"/>
        <v>0</v>
      </c>
      <c r="P31" s="1066"/>
    </row>
    <row r="32" spans="1:17" ht="15" customHeight="1">
      <c r="A32" s="406" t="s">
        <v>662</v>
      </c>
      <c r="B32" s="637">
        <v>0</v>
      </c>
      <c r="C32" s="636"/>
      <c r="D32" s="637">
        <v>0</v>
      </c>
      <c r="E32" s="636"/>
      <c r="F32" s="637">
        <v>0</v>
      </c>
      <c r="G32" s="637"/>
      <c r="H32" s="637">
        <v>0</v>
      </c>
      <c r="I32" s="636"/>
      <c r="J32" s="637">
        <v>0</v>
      </c>
      <c r="K32" s="637"/>
      <c r="L32" s="637">
        <f t="shared" si="1"/>
        <v>0</v>
      </c>
      <c r="P32" s="1066"/>
    </row>
    <row r="33" spans="1:16" ht="15" customHeight="1">
      <c r="A33" s="406" t="s">
        <v>25</v>
      </c>
      <c r="B33" s="637">
        <v>0</v>
      </c>
      <c r="C33" s="636"/>
      <c r="D33" s="637">
        <v>0</v>
      </c>
      <c r="E33" s="636"/>
      <c r="F33" s="637">
        <v>0</v>
      </c>
      <c r="G33" s="637"/>
      <c r="H33" s="637">
        <v>0</v>
      </c>
      <c r="I33" s="636"/>
      <c r="J33" s="637">
        <v>0</v>
      </c>
      <c r="K33" s="637"/>
      <c r="L33" s="637">
        <f t="shared" si="1"/>
        <v>0</v>
      </c>
      <c r="P33" s="1066"/>
    </row>
    <row r="34" spans="1:16" ht="15" customHeight="1">
      <c r="A34" s="406" t="s">
        <v>156</v>
      </c>
      <c r="B34" s="637">
        <v>0</v>
      </c>
      <c r="C34" s="636"/>
      <c r="D34" s="637">
        <v>0</v>
      </c>
      <c r="E34" s="636"/>
      <c r="F34" s="637">
        <v>0</v>
      </c>
      <c r="G34" s="637"/>
      <c r="H34" s="637">
        <v>0</v>
      </c>
      <c r="I34" s="636"/>
      <c r="J34" s="637">
        <v>0</v>
      </c>
      <c r="K34" s="637"/>
      <c r="L34" s="637">
        <f t="shared" si="1"/>
        <v>0</v>
      </c>
      <c r="P34" s="1066"/>
    </row>
    <row r="35" spans="1:16" ht="15" customHeight="1">
      <c r="A35" s="406" t="s">
        <v>20</v>
      </c>
      <c r="B35" s="637">
        <v>0</v>
      </c>
      <c r="C35" s="636"/>
      <c r="D35" s="637">
        <v>0</v>
      </c>
      <c r="E35" s="636"/>
      <c r="F35" s="637">
        <v>0</v>
      </c>
      <c r="G35" s="637"/>
      <c r="H35" s="637">
        <v>0</v>
      </c>
      <c r="I35" s="636"/>
      <c r="J35" s="637">
        <v>0</v>
      </c>
      <c r="K35" s="637"/>
      <c r="L35" s="637">
        <f t="shared" si="1"/>
        <v>0</v>
      </c>
      <c r="P35" s="1066"/>
    </row>
    <row r="36" spans="1:16" ht="15" customHeight="1">
      <c r="A36" s="406" t="s">
        <v>21</v>
      </c>
      <c r="B36" s="637">
        <v>0</v>
      </c>
      <c r="C36" s="636"/>
      <c r="D36" s="637">
        <v>0</v>
      </c>
      <c r="E36" s="636"/>
      <c r="F36" s="637">
        <v>0</v>
      </c>
      <c r="G36" s="637"/>
      <c r="H36" s="637">
        <f>'Sch 2 - Forecast Exp'!C15*100%</f>
        <v>40139.8383399616</v>
      </c>
      <c r="I36" s="655"/>
      <c r="J36" s="637">
        <v>0</v>
      </c>
      <c r="K36" s="637"/>
      <c r="L36" s="637">
        <f t="shared" si="1"/>
        <v>40139.8383399616</v>
      </c>
      <c r="P36" s="1066"/>
    </row>
    <row r="37" spans="1:16" ht="15" customHeight="1">
      <c r="A37" s="406" t="s">
        <v>22</v>
      </c>
      <c r="B37" s="637">
        <v>0</v>
      </c>
      <c r="C37" s="636"/>
      <c r="D37" s="637">
        <v>0</v>
      </c>
      <c r="E37" s="636"/>
      <c r="F37" s="637">
        <v>0</v>
      </c>
      <c r="G37" s="637"/>
      <c r="H37" s="637">
        <v>0</v>
      </c>
      <c r="I37" s="636"/>
      <c r="J37" s="637">
        <v>0</v>
      </c>
      <c r="K37" s="637"/>
      <c r="L37" s="637">
        <f t="shared" si="1"/>
        <v>0</v>
      </c>
      <c r="P37" s="1066"/>
    </row>
    <row r="38" spans="1:16" ht="15" customHeight="1">
      <c r="A38" s="406" t="s">
        <v>372</v>
      </c>
      <c r="B38" s="637">
        <v>0</v>
      </c>
      <c r="C38" s="636"/>
      <c r="D38" s="637">
        <v>0</v>
      </c>
      <c r="E38" s="636"/>
      <c r="F38" s="637">
        <v>0</v>
      </c>
      <c r="G38" s="637"/>
      <c r="H38" s="637">
        <v>0</v>
      </c>
      <c r="I38" s="636"/>
      <c r="J38" s="637">
        <f>+'Sch 2 - Forecast Exp'!C22</f>
        <v>19905.16526315792</v>
      </c>
      <c r="K38" s="735"/>
      <c r="L38" s="637">
        <f t="shared" si="1"/>
        <v>19905.16526315792</v>
      </c>
      <c r="P38" s="1066"/>
    </row>
    <row r="39" spans="1:16" ht="15" customHeight="1">
      <c r="A39" s="406" t="s">
        <v>377</v>
      </c>
      <c r="B39" s="637">
        <v>0</v>
      </c>
      <c r="C39" s="636"/>
      <c r="D39" s="637">
        <v>0</v>
      </c>
      <c r="E39" s="636"/>
      <c r="F39" s="637">
        <v>0</v>
      </c>
      <c r="G39" s="637"/>
      <c r="H39" s="637">
        <v>0</v>
      </c>
      <c r="I39" s="636"/>
      <c r="J39" s="637">
        <v>0</v>
      </c>
      <c r="K39" s="637"/>
      <c r="L39" s="637">
        <f t="shared" si="1"/>
        <v>0</v>
      </c>
      <c r="P39" s="1066"/>
    </row>
    <row r="40" spans="1:16" ht="15" customHeight="1">
      <c r="A40" s="406" t="s">
        <v>377</v>
      </c>
      <c r="B40" s="637">
        <v>0</v>
      </c>
      <c r="C40" s="636"/>
      <c r="D40" s="637">
        <v>0</v>
      </c>
      <c r="E40" s="636"/>
      <c r="F40" s="637">
        <v>0</v>
      </c>
      <c r="G40" s="637"/>
      <c r="H40" s="637">
        <v>0</v>
      </c>
      <c r="I40" s="636"/>
      <c r="J40" s="637">
        <v>0</v>
      </c>
      <c r="K40" s="637"/>
      <c r="L40" s="637">
        <f t="shared" si="1"/>
        <v>0</v>
      </c>
      <c r="P40" s="1066"/>
    </row>
    <row r="41" spans="1:16" ht="15" customHeight="1">
      <c r="A41" s="406" t="s">
        <v>104</v>
      </c>
      <c r="B41" s="637">
        <v>0</v>
      </c>
      <c r="C41" s="636"/>
      <c r="D41" s="637">
        <v>0</v>
      </c>
      <c r="E41" s="636"/>
      <c r="F41" s="637">
        <v>0</v>
      </c>
      <c r="G41" s="637"/>
      <c r="H41" s="637">
        <v>0</v>
      </c>
      <c r="I41" s="636"/>
      <c r="J41" s="637">
        <f>+J18</f>
        <v>7415.0194053836985</v>
      </c>
      <c r="K41" s="735"/>
      <c r="L41" s="637">
        <f t="shared" si="1"/>
        <v>7415.0194053836985</v>
      </c>
      <c r="P41" s="1066"/>
    </row>
    <row r="42" spans="1:16" ht="15" customHeight="1">
      <c r="A42" s="406" t="s">
        <v>635</v>
      </c>
      <c r="B42" s="637">
        <v>0</v>
      </c>
      <c r="C42" s="636"/>
      <c r="D42" s="637">
        <v>0</v>
      </c>
      <c r="E42" s="636"/>
      <c r="F42" s="637">
        <v>0</v>
      </c>
      <c r="G42" s="637"/>
      <c r="H42" s="637">
        <v>0</v>
      </c>
      <c r="I42" s="636"/>
      <c r="J42" s="637">
        <v>0</v>
      </c>
      <c r="K42" s="637"/>
      <c r="L42" s="637">
        <f t="shared" si="1"/>
        <v>0</v>
      </c>
      <c r="P42" s="1066"/>
    </row>
    <row r="43" spans="1:16" ht="15" customHeight="1">
      <c r="A43" s="406" t="s">
        <v>154</v>
      </c>
      <c r="B43" s="637">
        <v>0</v>
      </c>
      <c r="C43" s="636"/>
      <c r="D43" s="637">
        <v>0</v>
      </c>
      <c r="E43" s="409"/>
      <c r="F43" s="637">
        <v>0</v>
      </c>
      <c r="G43" s="637"/>
      <c r="H43" s="637">
        <v>0</v>
      </c>
      <c r="I43" s="636"/>
      <c r="J43" s="637">
        <v>0</v>
      </c>
      <c r="K43" s="637"/>
      <c r="L43" s="637">
        <f t="shared" si="1"/>
        <v>0</v>
      </c>
      <c r="P43" s="1066"/>
    </row>
    <row r="44" spans="1:16" ht="15" customHeight="1">
      <c r="A44" s="406" t="s">
        <v>23</v>
      </c>
      <c r="B44" s="637">
        <v>0</v>
      </c>
      <c r="C44" s="636"/>
      <c r="D44" s="637">
        <v>0</v>
      </c>
      <c r="E44" s="636"/>
      <c r="F44" s="637">
        <v>0</v>
      </c>
      <c r="G44" s="637"/>
      <c r="H44" s="637">
        <v>0</v>
      </c>
      <c r="I44" s="636"/>
      <c r="J44" s="637">
        <v>0</v>
      </c>
      <c r="K44" s="637"/>
      <c r="L44" s="637">
        <f t="shared" si="1"/>
        <v>0</v>
      </c>
      <c r="P44" s="1066"/>
    </row>
    <row r="45" spans="1:16" ht="15" customHeight="1">
      <c r="A45" s="406" t="s">
        <v>24</v>
      </c>
      <c r="B45" s="637">
        <f>+'WP-2, pg 2 - Labor Increase'!T18*'WP-2, pg 2 - Labor Increase'!T8-Operations!G45</f>
        <v>2872.4335199999914</v>
      </c>
      <c r="C45" s="636"/>
      <c r="D45" s="637">
        <v>0</v>
      </c>
      <c r="E45" s="636"/>
      <c r="F45" s="637">
        <v>0</v>
      </c>
      <c r="G45" s="637"/>
      <c r="H45" s="637">
        <v>0</v>
      </c>
      <c r="I45" s="636"/>
      <c r="J45" s="637">
        <v>0</v>
      </c>
      <c r="K45" s="637"/>
      <c r="L45" s="637">
        <f t="shared" si="1"/>
        <v>2872.4335199999914</v>
      </c>
      <c r="P45" s="1066"/>
    </row>
    <row r="46" spans="1:16" ht="15" customHeight="1">
      <c r="A46" s="406" t="s">
        <v>26</v>
      </c>
      <c r="B46" s="637">
        <f>+'WP-2, pg 2 - Labor Increase'!U12*100%</f>
        <v>0</v>
      </c>
      <c r="C46" s="636"/>
      <c r="D46" s="637">
        <v>0</v>
      </c>
      <c r="E46" s="636"/>
      <c r="F46" s="637">
        <v>0</v>
      </c>
      <c r="G46" s="637"/>
      <c r="H46" s="637">
        <v>0</v>
      </c>
      <c r="I46" s="636"/>
      <c r="J46" s="637">
        <v>0</v>
      </c>
      <c r="K46" s="637"/>
      <c r="L46" s="637">
        <f t="shared" si="1"/>
        <v>0</v>
      </c>
      <c r="P46" s="1066"/>
    </row>
    <row r="47" spans="1:16" ht="15" customHeight="1">
      <c r="A47" s="406" t="s">
        <v>159</v>
      </c>
      <c r="B47" s="637">
        <v>0</v>
      </c>
      <c r="C47" s="636"/>
      <c r="D47" s="637">
        <v>0</v>
      </c>
      <c r="E47" s="636"/>
      <c r="F47" s="637">
        <v>0</v>
      </c>
      <c r="G47" s="637"/>
      <c r="H47" s="637">
        <v>0</v>
      </c>
      <c r="I47" s="636"/>
      <c r="J47" s="637">
        <v>0</v>
      </c>
      <c r="K47" s="637"/>
      <c r="L47" s="637">
        <f t="shared" si="1"/>
        <v>0</v>
      </c>
    </row>
    <row r="48" spans="1:16" ht="15" customHeight="1">
      <c r="A48" s="406" t="s">
        <v>27</v>
      </c>
      <c r="B48" s="637">
        <v>0</v>
      </c>
      <c r="C48" s="636"/>
      <c r="D48" s="637">
        <v>0</v>
      </c>
      <c r="E48" s="636"/>
      <c r="F48" s="637">
        <v>0</v>
      </c>
      <c r="G48" s="637"/>
      <c r="H48" s="637">
        <v>0</v>
      </c>
      <c r="I48" s="636"/>
      <c r="J48" s="637">
        <v>0</v>
      </c>
      <c r="K48" s="637"/>
      <c r="L48" s="637">
        <f t="shared" si="1"/>
        <v>0</v>
      </c>
    </row>
    <row r="49" spans="1:12" ht="15" customHeight="1">
      <c r="A49" s="406" t="s">
        <v>28</v>
      </c>
      <c r="B49" s="637">
        <v>0</v>
      </c>
      <c r="C49" s="636"/>
      <c r="D49" s="637">
        <v>0</v>
      </c>
      <c r="E49" s="636"/>
      <c r="F49" s="637">
        <v>0</v>
      </c>
      <c r="G49" s="637"/>
      <c r="H49" s="637">
        <v>0</v>
      </c>
      <c r="I49" s="636"/>
      <c r="J49" s="637">
        <v>0</v>
      </c>
      <c r="K49" s="637"/>
      <c r="L49" s="637">
        <f t="shared" si="1"/>
        <v>0</v>
      </c>
    </row>
    <row r="50" spans="1:12" ht="15" customHeight="1">
      <c r="A50" s="406" t="s">
        <v>29</v>
      </c>
      <c r="B50" s="637">
        <v>0</v>
      </c>
      <c r="C50" s="636"/>
      <c r="D50" s="637">
        <v>0</v>
      </c>
      <c r="E50" s="636"/>
      <c r="F50" s="637">
        <v>0</v>
      </c>
      <c r="G50" s="637"/>
      <c r="H50" s="637">
        <v>0</v>
      </c>
      <c r="I50" s="636"/>
      <c r="J50" s="637">
        <v>0</v>
      </c>
      <c r="K50" s="637"/>
      <c r="L50" s="637">
        <f t="shared" si="1"/>
        <v>0</v>
      </c>
    </row>
    <row r="51" spans="1:12" ht="15" customHeight="1">
      <c r="A51" s="406" t="s">
        <v>18</v>
      </c>
      <c r="B51" s="637">
        <v>0</v>
      </c>
      <c r="C51" s="636"/>
      <c r="D51" s="637">
        <v>0</v>
      </c>
      <c r="E51" s="636"/>
      <c r="F51" s="637">
        <v>0</v>
      </c>
      <c r="G51" s="637"/>
      <c r="H51" s="637">
        <v>0</v>
      </c>
      <c r="I51" s="636"/>
      <c r="J51" s="637">
        <v>0</v>
      </c>
      <c r="K51" s="637"/>
      <c r="L51" s="637">
        <f t="shared" si="1"/>
        <v>0</v>
      </c>
    </row>
    <row r="52" spans="1:12" ht="15" customHeight="1">
      <c r="A52" s="406" t="s">
        <v>30</v>
      </c>
      <c r="B52" s="637">
        <v>0</v>
      </c>
      <c r="C52" s="636"/>
      <c r="D52" s="637">
        <f>+'WP-14 Rate Case Cost'!D17</f>
        <v>139514.1</v>
      </c>
      <c r="E52" s="636" t="s">
        <v>668</v>
      </c>
      <c r="F52" s="407">
        <f>-D52*(1-F9)</f>
        <v>-93009.400000000009</v>
      </c>
      <c r="G52" s="636" t="s">
        <v>668</v>
      </c>
      <c r="H52" s="637">
        <v>0</v>
      </c>
      <c r="I52" s="409"/>
      <c r="J52" s="637">
        <v>0</v>
      </c>
      <c r="K52" s="637"/>
      <c r="L52" s="637">
        <f t="shared" si="1"/>
        <v>46504.7</v>
      </c>
    </row>
    <row r="53" spans="1:12" ht="15" customHeight="1">
      <c r="A53" s="406" t="s">
        <v>85</v>
      </c>
      <c r="B53" s="637">
        <v>0</v>
      </c>
      <c r="C53" s="636"/>
      <c r="D53" s="637">
        <v>0</v>
      </c>
      <c r="E53" s="636"/>
      <c r="F53" s="637">
        <v>0</v>
      </c>
      <c r="G53" s="637"/>
      <c r="H53" s="637">
        <v>0</v>
      </c>
      <c r="I53" s="636"/>
      <c r="J53" s="637">
        <v>0</v>
      </c>
      <c r="K53" s="637"/>
      <c r="L53" s="637">
        <f t="shared" si="1"/>
        <v>0</v>
      </c>
    </row>
    <row r="54" spans="1:12" ht="15" customHeight="1">
      <c r="A54" s="406" t="s">
        <v>89</v>
      </c>
      <c r="B54" s="637">
        <v>0</v>
      </c>
      <c r="C54" s="636"/>
      <c r="D54" s="637">
        <v>0</v>
      </c>
      <c r="E54" s="636"/>
      <c r="F54" s="637">
        <v>0</v>
      </c>
      <c r="G54" s="637"/>
      <c r="H54" s="637">
        <v>0</v>
      </c>
      <c r="I54" s="636"/>
      <c r="J54" s="637">
        <v>0</v>
      </c>
      <c r="K54" s="637"/>
      <c r="L54" s="637">
        <f t="shared" si="1"/>
        <v>0</v>
      </c>
    </row>
    <row r="55" spans="1:12" ht="15" customHeight="1">
      <c r="A55" s="406" t="s">
        <v>31</v>
      </c>
      <c r="B55" s="637">
        <v>0</v>
      </c>
      <c r="C55" s="636"/>
      <c r="D55" s="637">
        <v>0</v>
      </c>
      <c r="E55" s="636"/>
      <c r="F55" s="637">
        <v>0</v>
      </c>
      <c r="G55" s="637"/>
      <c r="H55" s="637">
        <f>H21*0.004</f>
        <v>0</v>
      </c>
      <c r="I55" s="636"/>
      <c r="J55" s="637">
        <v>0</v>
      </c>
      <c r="K55" s="637"/>
      <c r="L55" s="637">
        <f t="shared" si="1"/>
        <v>0</v>
      </c>
    </row>
    <row r="56" spans="1:12" ht="15" customHeight="1">
      <c r="A56" s="406" t="s">
        <v>32</v>
      </c>
      <c r="B56" s="637">
        <v>0</v>
      </c>
      <c r="C56" s="636"/>
      <c r="D56" s="637">
        <v>0</v>
      </c>
      <c r="E56" s="636"/>
      <c r="F56" s="637">
        <v>0</v>
      </c>
      <c r="G56" s="637"/>
      <c r="H56" s="637">
        <v>0</v>
      </c>
      <c r="I56" s="636"/>
      <c r="J56" s="637">
        <v>0</v>
      </c>
      <c r="K56" s="637"/>
      <c r="L56" s="637">
        <f t="shared" ref="L56:L87" si="2">SUM(B56:K56)</f>
        <v>0</v>
      </c>
    </row>
    <row r="57" spans="1:12" ht="15" customHeight="1">
      <c r="A57" s="406" t="s">
        <v>155</v>
      </c>
      <c r="B57" s="637">
        <v>0</v>
      </c>
      <c r="C57" s="636"/>
      <c r="D57" s="637">
        <v>0</v>
      </c>
      <c r="E57" s="636"/>
      <c r="F57" s="637">
        <v>0</v>
      </c>
      <c r="G57" s="637"/>
      <c r="H57" s="637">
        <v>0</v>
      </c>
      <c r="I57" s="636"/>
      <c r="J57" s="637">
        <v>0</v>
      </c>
      <c r="K57" s="637"/>
      <c r="L57" s="637">
        <f t="shared" si="2"/>
        <v>0</v>
      </c>
    </row>
    <row r="58" spans="1:12" ht="15" customHeight="1">
      <c r="A58" s="406" t="s">
        <v>33</v>
      </c>
      <c r="B58" s="637">
        <v>0</v>
      </c>
      <c r="C58" s="636"/>
      <c r="D58" s="637">
        <v>0</v>
      </c>
      <c r="E58" s="636"/>
      <c r="F58" s="637">
        <v>0</v>
      </c>
      <c r="G58" s="637"/>
      <c r="H58" s="637">
        <v>0</v>
      </c>
      <c r="I58" s="636"/>
      <c r="J58" s="637">
        <v>0</v>
      </c>
      <c r="K58" s="637"/>
      <c r="L58" s="637">
        <f t="shared" si="2"/>
        <v>0</v>
      </c>
    </row>
    <row r="59" spans="1:12" ht="15" customHeight="1">
      <c r="A59" s="406" t="s">
        <v>34</v>
      </c>
      <c r="B59" s="637">
        <v>0</v>
      </c>
      <c r="C59" s="636"/>
      <c r="D59" s="637">
        <v>0</v>
      </c>
      <c r="E59" s="636"/>
      <c r="F59" s="637">
        <v>0</v>
      </c>
      <c r="G59" s="637"/>
      <c r="H59" s="637">
        <v>0</v>
      </c>
      <c r="I59" s="636"/>
      <c r="J59" s="637">
        <v>0</v>
      </c>
      <c r="K59" s="637"/>
      <c r="L59" s="637">
        <f t="shared" si="2"/>
        <v>0</v>
      </c>
    </row>
    <row r="60" spans="1:12" ht="15" customHeight="1">
      <c r="A60" s="406" t="s">
        <v>106</v>
      </c>
      <c r="B60" s="637">
        <v>0</v>
      </c>
      <c r="C60" s="636"/>
      <c r="D60" s="637">
        <v>0</v>
      </c>
      <c r="E60" s="636"/>
      <c r="F60" s="637">
        <v>0</v>
      </c>
      <c r="G60" s="637"/>
      <c r="H60" s="637">
        <v>0</v>
      </c>
      <c r="I60" s="636"/>
      <c r="J60" s="637">
        <v>0</v>
      </c>
      <c r="K60" s="637"/>
      <c r="L60" s="637">
        <f t="shared" si="2"/>
        <v>0</v>
      </c>
    </row>
    <row r="61" spans="1:12" ht="15" customHeight="1">
      <c r="A61" s="406" t="s">
        <v>371</v>
      </c>
      <c r="B61" s="637">
        <v>0</v>
      </c>
      <c r="C61" s="636"/>
      <c r="D61" s="637">
        <v>0</v>
      </c>
      <c r="E61" s="636"/>
      <c r="F61" s="637">
        <v>0</v>
      </c>
      <c r="G61" s="637"/>
      <c r="H61" s="637">
        <v>0</v>
      </c>
      <c r="I61" s="636"/>
      <c r="J61" s="637">
        <v>0</v>
      </c>
      <c r="K61" s="637"/>
      <c r="L61" s="637">
        <f t="shared" si="2"/>
        <v>0</v>
      </c>
    </row>
    <row r="62" spans="1:12" ht="15" customHeight="1">
      <c r="A62" s="406" t="s">
        <v>160</v>
      </c>
      <c r="B62" s="637">
        <v>0</v>
      </c>
      <c r="C62" s="636"/>
      <c r="D62" s="637">
        <v>0</v>
      </c>
      <c r="E62" s="636"/>
      <c r="F62" s="637">
        <v>0</v>
      </c>
      <c r="G62" s="637"/>
      <c r="H62" s="637">
        <v>0</v>
      </c>
      <c r="I62" s="636"/>
      <c r="J62" s="637">
        <v>0</v>
      </c>
      <c r="K62" s="637"/>
      <c r="L62" s="637">
        <f t="shared" si="2"/>
        <v>0</v>
      </c>
    </row>
    <row r="63" spans="1:12" ht="15" customHeight="1">
      <c r="A63" s="406" t="s">
        <v>35</v>
      </c>
      <c r="B63" s="637">
        <v>0</v>
      </c>
      <c r="C63" s="636"/>
      <c r="D63" s="637">
        <v>0</v>
      </c>
      <c r="E63" s="636"/>
      <c r="F63" s="637">
        <v>0</v>
      </c>
      <c r="G63" s="637"/>
      <c r="H63" s="637">
        <v>0</v>
      </c>
      <c r="I63" s="636"/>
      <c r="J63" s="637">
        <v>0</v>
      </c>
      <c r="K63" s="637"/>
      <c r="L63" s="637">
        <f t="shared" si="2"/>
        <v>0</v>
      </c>
    </row>
    <row r="64" spans="1:12" ht="15" customHeight="1">
      <c r="A64" s="406" t="s">
        <v>36</v>
      </c>
      <c r="B64" s="637">
        <v>0</v>
      </c>
      <c r="C64" s="636"/>
      <c r="D64" s="637">
        <v>0</v>
      </c>
      <c r="E64" s="636"/>
      <c r="F64" s="637">
        <v>0</v>
      </c>
      <c r="G64" s="637"/>
      <c r="H64" s="637">
        <v>0</v>
      </c>
      <c r="I64" s="636"/>
      <c r="J64" s="637">
        <v>0</v>
      </c>
      <c r="K64" s="637"/>
      <c r="L64" s="637">
        <f t="shared" si="2"/>
        <v>0</v>
      </c>
    </row>
    <row r="65" spans="1:12" ht="15" customHeight="1">
      <c r="A65" s="406" t="s">
        <v>370</v>
      </c>
      <c r="B65" s="637">
        <v>0</v>
      </c>
      <c r="C65" s="636"/>
      <c r="D65" s="637">
        <v>0</v>
      </c>
      <c r="E65" s="636"/>
      <c r="F65" s="637">
        <v>0</v>
      </c>
      <c r="G65" s="637"/>
      <c r="H65" s="637">
        <v>0</v>
      </c>
      <c r="I65" s="636"/>
      <c r="J65" s="637">
        <v>0</v>
      </c>
      <c r="K65" s="637"/>
      <c r="L65" s="637">
        <f t="shared" si="2"/>
        <v>0</v>
      </c>
    </row>
    <row r="66" spans="1:12" ht="15" customHeight="1">
      <c r="A66" s="406" t="s">
        <v>37</v>
      </c>
      <c r="B66" s="637">
        <v>0</v>
      </c>
      <c r="C66" s="636"/>
      <c r="D66" s="637">
        <v>0</v>
      </c>
      <c r="E66" s="636"/>
      <c r="F66" s="637">
        <v>0</v>
      </c>
      <c r="G66" s="637"/>
      <c r="H66" s="637">
        <v>0</v>
      </c>
      <c r="I66" s="636"/>
      <c r="J66" s="637">
        <v>0</v>
      </c>
      <c r="K66" s="637"/>
      <c r="L66" s="637">
        <f t="shared" si="2"/>
        <v>0</v>
      </c>
    </row>
    <row r="67" spans="1:12" ht="15" customHeight="1">
      <c r="A67" s="406" t="s">
        <v>38</v>
      </c>
      <c r="B67" s="637">
        <v>0</v>
      </c>
      <c r="C67" s="636"/>
      <c r="D67" s="637">
        <v>0</v>
      </c>
      <c r="E67" s="636"/>
      <c r="F67" s="637">
        <v>0</v>
      </c>
      <c r="G67" s="637"/>
      <c r="H67" s="637">
        <v>0</v>
      </c>
      <c r="I67" s="636"/>
      <c r="J67" s="637">
        <v>0</v>
      </c>
      <c r="K67" s="637"/>
      <c r="L67" s="637">
        <f t="shared" si="2"/>
        <v>0</v>
      </c>
    </row>
    <row r="68" spans="1:12" ht="15" customHeight="1">
      <c r="A68" s="406" t="s">
        <v>442</v>
      </c>
      <c r="B68" s="637">
        <v>0</v>
      </c>
      <c r="C68" s="636"/>
      <c r="D68" s="637">
        <v>0</v>
      </c>
      <c r="E68" s="636"/>
      <c r="F68" s="637">
        <v>0</v>
      </c>
      <c r="G68" s="637"/>
      <c r="H68" s="637">
        <v>0</v>
      </c>
      <c r="I68" s="636"/>
      <c r="J68" s="637">
        <v>0</v>
      </c>
      <c r="K68" s="637"/>
      <c r="L68" s="637">
        <f t="shared" si="2"/>
        <v>0</v>
      </c>
    </row>
    <row r="69" spans="1:12" ht="15" customHeight="1">
      <c r="A69" s="406" t="s">
        <v>119</v>
      </c>
      <c r="B69" s="637">
        <v>0</v>
      </c>
      <c r="C69" s="636"/>
      <c r="D69" s="637">
        <v>0</v>
      </c>
      <c r="E69" s="636"/>
      <c r="F69" s="637">
        <v>0</v>
      </c>
      <c r="G69" s="637"/>
      <c r="H69" s="637">
        <v>0</v>
      </c>
      <c r="I69" s="636"/>
      <c r="J69" s="637">
        <v>0</v>
      </c>
      <c r="K69" s="637"/>
      <c r="L69" s="637">
        <f t="shared" si="2"/>
        <v>0</v>
      </c>
    </row>
    <row r="70" spans="1:12" ht="15" customHeight="1">
      <c r="A70" s="406" t="s">
        <v>39</v>
      </c>
      <c r="B70" s="637">
        <v>0</v>
      </c>
      <c r="C70" s="636"/>
      <c r="D70" s="637">
        <v>0</v>
      </c>
      <c r="E70" s="636"/>
      <c r="F70" s="637">
        <v>0</v>
      </c>
      <c r="G70" s="637"/>
      <c r="H70" s="637">
        <v>0</v>
      </c>
      <c r="I70" s="636"/>
      <c r="J70" s="637">
        <v>0</v>
      </c>
      <c r="K70" s="637"/>
      <c r="L70" s="637">
        <f t="shared" si="2"/>
        <v>0</v>
      </c>
    </row>
    <row r="71" spans="1:12" ht="15" customHeight="1">
      <c r="A71" s="406" t="s">
        <v>40</v>
      </c>
      <c r="B71" s="637">
        <v>0</v>
      </c>
      <c r="C71" s="636"/>
      <c r="D71" s="637">
        <v>0</v>
      </c>
      <c r="E71" s="636"/>
      <c r="F71" s="637">
        <v>0</v>
      </c>
      <c r="G71" s="637"/>
      <c r="H71" s="637">
        <f>H21*0.015</f>
        <v>0</v>
      </c>
      <c r="I71" s="636"/>
      <c r="J71" s="637">
        <v>0</v>
      </c>
      <c r="K71" s="637"/>
      <c r="L71" s="637">
        <f t="shared" si="2"/>
        <v>0</v>
      </c>
    </row>
    <row r="72" spans="1:12" ht="15" customHeight="1">
      <c r="A72" s="406" t="s">
        <v>41</v>
      </c>
      <c r="B72" s="637">
        <v>0</v>
      </c>
      <c r="C72" s="636"/>
      <c r="D72" s="637">
        <v>0</v>
      </c>
      <c r="E72" s="636"/>
      <c r="F72" s="637">
        <v>0</v>
      </c>
      <c r="G72" s="637"/>
      <c r="H72" s="637">
        <v>0</v>
      </c>
      <c r="I72" s="636"/>
      <c r="J72" s="637">
        <v>0</v>
      </c>
      <c r="K72" s="637"/>
      <c r="L72" s="637">
        <f t="shared" si="2"/>
        <v>0</v>
      </c>
    </row>
    <row r="73" spans="1:12" ht="15" customHeight="1">
      <c r="A73" s="406" t="s">
        <v>42</v>
      </c>
      <c r="B73" s="637">
        <v>0</v>
      </c>
      <c r="C73" s="636"/>
      <c r="D73" s="637">
        <v>0</v>
      </c>
      <c r="E73" s="636"/>
      <c r="F73" s="637">
        <v>0</v>
      </c>
      <c r="G73" s="637"/>
      <c r="H73" s="637">
        <v>0</v>
      </c>
      <c r="I73" s="636"/>
      <c r="J73" s="637">
        <v>0</v>
      </c>
      <c r="K73" s="637"/>
      <c r="L73" s="637">
        <f t="shared" si="2"/>
        <v>0</v>
      </c>
    </row>
    <row r="74" spans="1:12" ht="15" customHeight="1">
      <c r="A74" s="406" t="s">
        <v>369</v>
      </c>
      <c r="B74" s="637">
        <v>0</v>
      </c>
      <c r="C74" s="636"/>
      <c r="D74" s="637">
        <v>0</v>
      </c>
      <c r="E74" s="636"/>
      <c r="F74" s="637">
        <v>0</v>
      </c>
      <c r="G74" s="637"/>
      <c r="H74" s="637">
        <v>0</v>
      </c>
      <c r="I74" s="636"/>
      <c r="J74" s="637">
        <v>0</v>
      </c>
      <c r="K74" s="637"/>
      <c r="L74" s="637">
        <f t="shared" si="2"/>
        <v>0</v>
      </c>
    </row>
    <row r="75" spans="1:12" ht="15" customHeight="1">
      <c r="A75" s="406" t="s">
        <v>79</v>
      </c>
      <c r="B75" s="637">
        <v>0</v>
      </c>
      <c r="C75" s="636"/>
      <c r="D75" s="637">
        <v>0</v>
      </c>
      <c r="E75" s="636"/>
      <c r="F75" s="637">
        <v>0</v>
      </c>
      <c r="G75" s="637"/>
      <c r="H75" s="637">
        <v>0</v>
      </c>
      <c r="I75" s="636"/>
      <c r="J75" s="637">
        <v>0</v>
      </c>
      <c r="K75" s="637"/>
      <c r="L75" s="637">
        <f t="shared" si="2"/>
        <v>0</v>
      </c>
    </row>
    <row r="76" spans="1:12" ht="15" customHeight="1">
      <c r="A76" s="406" t="s">
        <v>308</v>
      </c>
      <c r="B76" s="637">
        <v>0</v>
      </c>
      <c r="C76" s="636"/>
      <c r="D76" s="637">
        <v>0</v>
      </c>
      <c r="E76" s="636"/>
      <c r="F76" s="637">
        <v>0</v>
      </c>
      <c r="G76" s="637"/>
      <c r="H76" s="637">
        <v>0</v>
      </c>
      <c r="I76" s="636"/>
      <c r="J76" s="637">
        <v>0</v>
      </c>
      <c r="K76" s="637"/>
      <c r="L76" s="637">
        <f t="shared" si="2"/>
        <v>0</v>
      </c>
    </row>
    <row r="77" spans="1:12" ht="15" customHeight="1">
      <c r="A77" s="406" t="s">
        <v>368</v>
      </c>
      <c r="B77" s="637">
        <v>0</v>
      </c>
      <c r="C77" s="636"/>
      <c r="D77" s="637">
        <v>0</v>
      </c>
      <c r="E77" s="636"/>
      <c r="F77" s="637">
        <v>0</v>
      </c>
      <c r="G77" s="637"/>
      <c r="H77" s="637">
        <v>0</v>
      </c>
      <c r="I77" s="636"/>
      <c r="J77" s="637">
        <v>0</v>
      </c>
      <c r="K77" s="637"/>
      <c r="L77" s="637">
        <f t="shared" si="2"/>
        <v>0</v>
      </c>
    </row>
    <row r="78" spans="1:12" ht="15" customHeight="1">
      <c r="A78" s="406" t="s">
        <v>125</v>
      </c>
      <c r="B78" s="637">
        <v>0</v>
      </c>
      <c r="C78" s="636"/>
      <c r="D78" s="637">
        <v>0</v>
      </c>
      <c r="E78" s="636"/>
      <c r="F78" s="637">
        <v>0</v>
      </c>
      <c r="G78" s="637"/>
      <c r="H78" s="637">
        <v>0</v>
      </c>
      <c r="I78" s="636"/>
      <c r="J78" s="637">
        <v>0</v>
      </c>
      <c r="K78" s="637"/>
      <c r="L78" s="637">
        <f t="shared" si="2"/>
        <v>0</v>
      </c>
    </row>
    <row r="79" spans="1:12" ht="15" customHeight="1">
      <c r="A79" s="406" t="s">
        <v>80</v>
      </c>
      <c r="B79" s="637">
        <v>0</v>
      </c>
      <c r="C79" s="636"/>
      <c r="D79" s="637">
        <v>0</v>
      </c>
      <c r="E79" s="636"/>
      <c r="F79" s="637">
        <v>0</v>
      </c>
      <c r="G79" s="637"/>
      <c r="H79" s="637">
        <v>0</v>
      </c>
      <c r="I79" s="636"/>
      <c r="J79" s="637">
        <v>0</v>
      </c>
      <c r="K79" s="637"/>
      <c r="L79" s="637">
        <f t="shared" si="2"/>
        <v>0</v>
      </c>
    </row>
    <row r="80" spans="1:12" ht="15" customHeight="1">
      <c r="A80" s="406" t="s">
        <v>43</v>
      </c>
      <c r="B80" s="637">
        <v>0</v>
      </c>
      <c r="C80" s="636"/>
      <c r="D80" s="637">
        <v>0</v>
      </c>
      <c r="E80" s="636"/>
      <c r="F80" s="637">
        <v>0</v>
      </c>
      <c r="G80" s="637"/>
      <c r="H80" s="637">
        <v>0</v>
      </c>
      <c r="I80" s="636"/>
      <c r="J80" s="637">
        <v>0</v>
      </c>
      <c r="K80" s="637"/>
      <c r="L80" s="637">
        <f t="shared" si="2"/>
        <v>0</v>
      </c>
    </row>
    <row r="81" spans="1:12" ht="15" customHeight="1">
      <c r="A81" s="406" t="s">
        <v>44</v>
      </c>
      <c r="B81" s="637">
        <v>0</v>
      </c>
      <c r="C81" s="636"/>
      <c r="D81" s="637">
        <v>0</v>
      </c>
      <c r="E81" s="636"/>
      <c r="F81" s="637">
        <v>0</v>
      </c>
      <c r="G81" s="637"/>
      <c r="H81" s="637">
        <v>0</v>
      </c>
      <c r="I81" s="636"/>
      <c r="J81" s="637">
        <v>0</v>
      </c>
      <c r="K81" s="637"/>
      <c r="L81" s="637">
        <f t="shared" si="2"/>
        <v>0</v>
      </c>
    </row>
    <row r="82" spans="1:12" ht="15" customHeight="1">
      <c r="A82" s="406" t="s">
        <v>81</v>
      </c>
      <c r="B82" s="637">
        <v>0</v>
      </c>
      <c r="C82" s="636"/>
      <c r="D82" s="637">
        <v>0</v>
      </c>
      <c r="E82" s="636"/>
      <c r="F82" s="637">
        <v>0</v>
      </c>
      <c r="G82" s="637"/>
      <c r="H82" s="637">
        <v>0</v>
      </c>
      <c r="I82" s="636"/>
      <c r="J82" s="637">
        <v>0</v>
      </c>
      <c r="K82" s="637"/>
      <c r="L82" s="637">
        <f t="shared" si="2"/>
        <v>0</v>
      </c>
    </row>
    <row r="83" spans="1:12" ht="15" customHeight="1">
      <c r="A83" s="406" t="s">
        <v>66</v>
      </c>
      <c r="B83" s="637">
        <v>0</v>
      </c>
      <c r="C83" s="636"/>
      <c r="D83" s="637">
        <v>0</v>
      </c>
      <c r="E83" s="636"/>
      <c r="F83" s="637">
        <v>0</v>
      </c>
      <c r="G83" s="637"/>
      <c r="H83" s="637">
        <v>0</v>
      </c>
      <c r="I83" s="636"/>
      <c r="J83" s="637">
        <v>0</v>
      </c>
      <c r="K83" s="637"/>
      <c r="L83" s="637">
        <f t="shared" si="2"/>
        <v>0</v>
      </c>
    </row>
    <row r="84" spans="1:12" ht="15" customHeight="1">
      <c r="A84" s="406" t="s">
        <v>45</v>
      </c>
      <c r="B84" s="637">
        <v>0</v>
      </c>
      <c r="C84" s="636"/>
      <c r="D84" s="637">
        <v>0</v>
      </c>
      <c r="E84" s="636"/>
      <c r="F84" s="637">
        <v>0</v>
      </c>
      <c r="G84" s="637"/>
      <c r="H84" s="637">
        <v>0</v>
      </c>
      <c r="I84" s="636"/>
      <c r="J84" s="637">
        <v>0</v>
      </c>
      <c r="K84" s="637"/>
      <c r="L84" s="637">
        <f t="shared" si="2"/>
        <v>0</v>
      </c>
    </row>
    <row r="85" spans="1:12" ht="15" customHeight="1">
      <c r="A85" s="406" t="s">
        <v>46</v>
      </c>
      <c r="B85" s="637">
        <v>0</v>
      </c>
      <c r="C85" s="636"/>
      <c r="D85" s="637">
        <v>0</v>
      </c>
      <c r="E85" s="636"/>
      <c r="F85" s="637">
        <v>0</v>
      </c>
      <c r="G85" s="637"/>
      <c r="H85" s="637">
        <v>0</v>
      </c>
      <c r="I85" s="636"/>
      <c r="J85" s="637">
        <v>0</v>
      </c>
      <c r="K85" s="637"/>
      <c r="L85" s="637">
        <f t="shared" si="2"/>
        <v>0</v>
      </c>
    </row>
    <row r="86" spans="1:12" ht="15" customHeight="1">
      <c r="A86" s="406" t="s">
        <v>120</v>
      </c>
      <c r="B86" s="637">
        <v>0</v>
      </c>
      <c r="C86" s="636"/>
      <c r="D86" s="637">
        <v>0</v>
      </c>
      <c r="E86" s="636"/>
      <c r="F86" s="637">
        <v>0</v>
      </c>
      <c r="G86" s="637"/>
      <c r="H86" s="637">
        <v>0</v>
      </c>
      <c r="I86" s="636"/>
      <c r="J86" s="637">
        <v>0</v>
      </c>
      <c r="K86" s="637"/>
      <c r="L86" s="637">
        <f t="shared" si="2"/>
        <v>0</v>
      </c>
    </row>
    <row r="87" spans="1:12" ht="15" customHeight="1">
      <c r="A87" s="406" t="s">
        <v>47</v>
      </c>
      <c r="B87" s="637">
        <v>0</v>
      </c>
      <c r="C87" s="636"/>
      <c r="D87" s="637">
        <v>0</v>
      </c>
      <c r="E87" s="636"/>
      <c r="F87" s="637">
        <v>0</v>
      </c>
      <c r="G87" s="637"/>
      <c r="H87" s="637">
        <v>0</v>
      </c>
      <c r="I87" s="636"/>
      <c r="J87" s="637">
        <v>0</v>
      </c>
      <c r="K87" s="637"/>
      <c r="L87" s="637">
        <f t="shared" si="2"/>
        <v>0</v>
      </c>
    </row>
    <row r="88" spans="1:12" ht="15" customHeight="1">
      <c r="A88" s="406" t="s">
        <v>49</v>
      </c>
      <c r="B88" s="637">
        <v>0</v>
      </c>
      <c r="C88" s="636"/>
      <c r="D88" s="637">
        <v>0</v>
      </c>
      <c r="E88" s="636"/>
      <c r="F88" s="637">
        <v>0</v>
      </c>
      <c r="G88" s="637"/>
      <c r="H88" s="637">
        <v>0</v>
      </c>
      <c r="I88" s="636"/>
      <c r="J88" s="637">
        <v>0</v>
      </c>
      <c r="K88" s="637"/>
      <c r="L88" s="637">
        <f t="shared" ref="L88:L96" si="3">SUM(B88:K88)</f>
        <v>0</v>
      </c>
    </row>
    <row r="89" spans="1:12" ht="15" customHeight="1">
      <c r="A89" s="406" t="s">
        <v>50</v>
      </c>
      <c r="B89" s="637">
        <v>0</v>
      </c>
      <c r="C89" s="636"/>
      <c r="D89" s="637">
        <v>0</v>
      </c>
      <c r="E89" s="636"/>
      <c r="F89" s="637">
        <v>0</v>
      </c>
      <c r="G89" s="637"/>
      <c r="H89" s="637">
        <v>0</v>
      </c>
      <c r="I89" s="636"/>
      <c r="J89" s="637">
        <v>0</v>
      </c>
      <c r="K89" s="637"/>
      <c r="L89" s="637">
        <f t="shared" si="3"/>
        <v>0</v>
      </c>
    </row>
    <row r="90" spans="1:12" ht="15" customHeight="1">
      <c r="A90" s="406" t="s">
        <v>51</v>
      </c>
      <c r="B90" s="637">
        <v>0</v>
      </c>
      <c r="C90" s="636"/>
      <c r="D90" s="637">
        <v>0</v>
      </c>
      <c r="E90" s="636"/>
      <c r="F90" s="637">
        <v>0</v>
      </c>
      <c r="G90" s="637"/>
      <c r="H90" s="637">
        <v>0</v>
      </c>
      <c r="I90" s="636"/>
      <c r="J90" s="637">
        <v>0</v>
      </c>
      <c r="K90" s="637"/>
      <c r="L90" s="637">
        <f t="shared" si="3"/>
        <v>0</v>
      </c>
    </row>
    <row r="91" spans="1:12" ht="15" customHeight="1">
      <c r="A91" s="406" t="s">
        <v>367</v>
      </c>
      <c r="B91" s="637">
        <v>0</v>
      </c>
      <c r="C91" s="636"/>
      <c r="D91" s="637">
        <v>0</v>
      </c>
      <c r="E91" s="636"/>
      <c r="F91" s="637">
        <v>0</v>
      </c>
      <c r="G91" s="637"/>
      <c r="H91" s="637">
        <v>0</v>
      </c>
      <c r="I91" s="636"/>
      <c r="J91" s="637">
        <v>0</v>
      </c>
      <c r="K91" s="637"/>
      <c r="L91" s="637">
        <f t="shared" si="3"/>
        <v>0</v>
      </c>
    </row>
    <row r="92" spans="1:12" ht="15" customHeight="1">
      <c r="A92" s="406" t="s">
        <v>366</v>
      </c>
      <c r="B92" s="637">
        <v>0</v>
      </c>
      <c r="C92" s="636"/>
      <c r="D92" s="637">
        <v>0</v>
      </c>
      <c r="E92" s="636"/>
      <c r="F92" s="637">
        <v>0</v>
      </c>
      <c r="G92" s="637"/>
      <c r="H92" s="637">
        <v>0</v>
      </c>
      <c r="I92" s="636"/>
      <c r="J92" s="637">
        <v>0</v>
      </c>
      <c r="K92" s="637"/>
      <c r="L92" s="637">
        <f t="shared" si="3"/>
        <v>0</v>
      </c>
    </row>
    <row r="93" spans="1:12" ht="15" customHeight="1">
      <c r="A93" s="406" t="s">
        <v>52</v>
      </c>
      <c r="B93" s="637">
        <v>0</v>
      </c>
      <c r="C93" s="636"/>
      <c r="D93" s="637">
        <v>0</v>
      </c>
      <c r="E93" s="636"/>
      <c r="F93" s="637">
        <v>0</v>
      </c>
      <c r="G93" s="637"/>
      <c r="H93" s="637">
        <v>0</v>
      </c>
      <c r="I93" s="636"/>
      <c r="J93" s="637">
        <v>0</v>
      </c>
      <c r="K93" s="637"/>
      <c r="L93" s="637">
        <f t="shared" si="3"/>
        <v>0</v>
      </c>
    </row>
    <row r="94" spans="1:12" ht="15" customHeight="1">
      <c r="A94" s="406" t="s">
        <v>53</v>
      </c>
      <c r="B94" s="637">
        <v>0</v>
      </c>
      <c r="C94" s="636"/>
      <c r="D94" s="637">
        <v>0</v>
      </c>
      <c r="E94" s="636"/>
      <c r="F94" s="637">
        <v>0</v>
      </c>
      <c r="G94" s="637"/>
      <c r="H94" s="637">
        <v>0</v>
      </c>
      <c r="I94" s="636"/>
      <c r="J94" s="637">
        <v>0</v>
      </c>
      <c r="K94" s="637"/>
      <c r="L94" s="637">
        <f t="shared" si="3"/>
        <v>0</v>
      </c>
    </row>
    <row r="95" spans="1:12" ht="15" customHeight="1">
      <c r="A95" s="406" t="s">
        <v>54</v>
      </c>
      <c r="B95" s="637">
        <v>0</v>
      </c>
      <c r="C95" s="636"/>
      <c r="D95" s="637">
        <v>0</v>
      </c>
      <c r="E95" s="636"/>
      <c r="F95" s="637">
        <v>0</v>
      </c>
      <c r="G95" s="637"/>
      <c r="H95" s="637">
        <v>0</v>
      </c>
      <c r="I95" s="636"/>
      <c r="J95" s="637">
        <v>0</v>
      </c>
      <c r="K95" s="637"/>
      <c r="L95" s="637">
        <f t="shared" si="3"/>
        <v>0</v>
      </c>
    </row>
    <row r="96" spans="1:12" ht="15" customHeight="1">
      <c r="A96" s="406" t="s">
        <v>55</v>
      </c>
      <c r="B96" s="638">
        <v>0</v>
      </c>
      <c r="C96" s="636"/>
      <c r="D96" s="638">
        <v>0</v>
      </c>
      <c r="E96" s="636"/>
      <c r="F96" s="638">
        <v>0</v>
      </c>
      <c r="G96" s="636"/>
      <c r="H96" s="637">
        <v>0</v>
      </c>
      <c r="I96" s="636"/>
      <c r="J96" s="638">
        <v>0</v>
      </c>
      <c r="K96" s="636"/>
      <c r="L96" s="637">
        <f t="shared" si="3"/>
        <v>0</v>
      </c>
    </row>
    <row r="97" spans="1:12" ht="15" customHeight="1">
      <c r="A97" s="404"/>
      <c r="B97" s="640">
        <f>SUM(B24:B96)</f>
        <v>43254.707702579981</v>
      </c>
      <c r="C97" s="653"/>
      <c r="D97" s="640">
        <f>SUM(D24:D96)</f>
        <v>139514.1</v>
      </c>
      <c r="E97" s="653"/>
      <c r="F97" s="640">
        <f>SUM(F24:F96)</f>
        <v>-93009.400000000009</v>
      </c>
      <c r="G97" s="636"/>
      <c r="H97" s="640">
        <f>SUM(H24:H96)</f>
        <v>40139.8383399616</v>
      </c>
      <c r="I97" s="653"/>
      <c r="J97" s="640">
        <f>SUM(J24:J96)</f>
        <v>27320.184668541617</v>
      </c>
      <c r="K97" s="636"/>
      <c r="L97" s="640">
        <f>SUM(L24:L96)</f>
        <v>157219.4307110832</v>
      </c>
    </row>
    <row r="98" spans="1:12" ht="15" customHeight="1">
      <c r="A98" s="392"/>
      <c r="B98" s="407"/>
      <c r="C98" s="409"/>
      <c r="D98" s="407"/>
      <c r="E98" s="409"/>
      <c r="F98" s="407"/>
      <c r="G98" s="407"/>
      <c r="H98" s="407"/>
      <c r="I98" s="409"/>
      <c r="J98" s="407"/>
      <c r="K98" s="407"/>
      <c r="L98" s="407"/>
    </row>
    <row r="99" spans="1:12" ht="15" customHeight="1" thickBot="1">
      <c r="A99" s="392" t="s">
        <v>99</v>
      </c>
      <c r="B99" s="641">
        <f>+B21-B97</f>
        <v>-43254.707702579981</v>
      </c>
      <c r="C99" s="636"/>
      <c r="D99" s="641">
        <f>+D21-D97</f>
        <v>-139514.1</v>
      </c>
      <c r="E99" s="636"/>
      <c r="F99" s="641">
        <f>+F21-F97</f>
        <v>93009.400000000009</v>
      </c>
      <c r="G99" s="653"/>
      <c r="H99" s="641">
        <f>+H21-H97</f>
        <v>-40139.8383399616</v>
      </c>
      <c r="I99" s="636"/>
      <c r="J99" s="641">
        <f>+J21-J97</f>
        <v>-19905.16526315792</v>
      </c>
      <c r="K99" s="653"/>
      <c r="L99" s="641">
        <f>+L21-L97</f>
        <v>-149804.4113056995</v>
      </c>
    </row>
    <row r="100" spans="1:12" ht="15" customHeight="1" thickTop="1">
      <c r="A100" s="392"/>
      <c r="B100" s="392"/>
      <c r="C100" s="403"/>
      <c r="D100" s="392"/>
      <c r="E100" s="403"/>
      <c r="F100" s="392"/>
      <c r="G100" s="392"/>
      <c r="H100" s="392"/>
      <c r="I100" s="403"/>
      <c r="J100" s="392"/>
      <c r="K100" s="392"/>
      <c r="L100" s="392"/>
    </row>
    <row r="101" spans="1:12" ht="15" customHeight="1">
      <c r="A101" s="392"/>
      <c r="B101" s="392"/>
      <c r="C101" s="403"/>
      <c r="D101" s="392"/>
      <c r="E101" s="403"/>
      <c r="F101" s="392"/>
      <c r="G101" s="392"/>
      <c r="H101" s="392"/>
      <c r="I101" s="403"/>
      <c r="J101" s="392"/>
      <c r="K101" s="392"/>
      <c r="L101" s="392"/>
    </row>
    <row r="102" spans="1:12" ht="15" customHeight="1">
      <c r="A102" s="392"/>
      <c r="B102" s="392"/>
      <c r="C102" s="403"/>
      <c r="D102" s="392"/>
      <c r="E102" s="403"/>
      <c r="F102" s="392"/>
      <c r="G102" s="392"/>
      <c r="H102" s="392"/>
      <c r="I102" s="403"/>
      <c r="J102" s="392"/>
      <c r="K102" s="392"/>
      <c r="L102" s="392"/>
    </row>
    <row r="103" spans="1:12" ht="15" customHeight="1">
      <c r="A103" s="392"/>
      <c r="B103" s="392"/>
      <c r="C103" s="403"/>
      <c r="D103" s="392"/>
      <c r="E103" s="403"/>
      <c r="F103" s="392"/>
      <c r="G103" s="392"/>
      <c r="H103" s="392"/>
      <c r="I103" s="403"/>
      <c r="J103" s="392"/>
      <c r="K103" s="392"/>
      <c r="L103" s="392"/>
    </row>
    <row r="104" spans="1:12" ht="15" customHeight="1">
      <c r="A104" s="392"/>
      <c r="B104" s="392"/>
      <c r="C104" s="403"/>
      <c r="D104" s="392"/>
      <c r="E104" s="403"/>
      <c r="F104" s="392"/>
      <c r="G104" s="392"/>
      <c r="H104" s="392"/>
      <c r="I104" s="403"/>
      <c r="J104" s="392"/>
      <c r="K104" s="392"/>
      <c r="L104" s="392"/>
    </row>
    <row r="105" spans="1:12" ht="15" customHeight="1">
      <c r="A105" s="392"/>
      <c r="B105" s="392"/>
      <c r="C105" s="403"/>
      <c r="D105" s="392"/>
      <c r="E105" s="403"/>
      <c r="F105" s="392"/>
      <c r="G105" s="392"/>
      <c r="H105" s="392"/>
      <c r="I105" s="403"/>
      <c r="J105" s="392"/>
      <c r="K105" s="392"/>
      <c r="L105" s="392"/>
    </row>
    <row r="106" spans="1:12" ht="15" customHeight="1">
      <c r="A106" s="392"/>
      <c r="B106" s="392"/>
      <c r="C106" s="403"/>
      <c r="D106" s="392"/>
      <c r="E106" s="403"/>
      <c r="F106" s="392"/>
      <c r="G106" s="392"/>
      <c r="H106" s="392"/>
      <c r="I106" s="403"/>
      <c r="J106" s="392"/>
      <c r="K106" s="392"/>
      <c r="L106" s="392"/>
    </row>
    <row r="107" spans="1:12" ht="15" customHeight="1">
      <c r="A107" s="392"/>
      <c r="B107" s="392"/>
      <c r="C107" s="403"/>
      <c r="D107" s="392"/>
      <c r="E107" s="403"/>
      <c r="F107" s="392"/>
      <c r="G107" s="392"/>
      <c r="H107" s="392"/>
      <c r="I107" s="403"/>
      <c r="J107" s="392"/>
      <c r="K107" s="392"/>
      <c r="L107" s="392"/>
    </row>
    <row r="108" spans="1:12" ht="15" customHeight="1">
      <c r="A108" s="392"/>
      <c r="B108" s="392"/>
      <c r="C108" s="403"/>
      <c r="D108" s="392"/>
      <c r="E108" s="403"/>
      <c r="F108" s="392"/>
      <c r="G108" s="392"/>
      <c r="H108" s="392"/>
      <c r="I108" s="403"/>
      <c r="J108" s="392"/>
      <c r="K108" s="392"/>
      <c r="L108" s="392"/>
    </row>
    <row r="109" spans="1:12" ht="15" customHeight="1">
      <c r="A109" s="392"/>
      <c r="B109" s="392"/>
      <c r="C109" s="403"/>
      <c r="D109" s="392"/>
      <c r="E109" s="403"/>
      <c r="F109" s="392"/>
      <c r="G109" s="392"/>
      <c r="H109" s="392"/>
      <c r="I109" s="403"/>
      <c r="J109" s="392"/>
      <c r="K109" s="392"/>
      <c r="L109" s="392"/>
    </row>
    <row r="110" spans="1:12" ht="15" customHeight="1">
      <c r="A110" s="392"/>
      <c r="B110" s="392"/>
      <c r="C110" s="403"/>
      <c r="D110" s="392"/>
      <c r="E110" s="403"/>
      <c r="F110" s="392"/>
      <c r="G110" s="392"/>
      <c r="H110" s="392"/>
      <c r="I110" s="403"/>
      <c r="J110" s="392"/>
      <c r="K110" s="392"/>
      <c r="L110" s="392"/>
    </row>
    <row r="111" spans="1:12" ht="15" customHeight="1">
      <c r="A111" s="392"/>
      <c r="B111" s="392"/>
      <c r="C111" s="403"/>
      <c r="D111" s="392"/>
      <c r="E111" s="403"/>
      <c r="F111" s="392"/>
      <c r="G111" s="392"/>
      <c r="H111" s="392"/>
      <c r="I111" s="403"/>
      <c r="J111" s="392"/>
      <c r="K111" s="392"/>
      <c r="L111" s="392"/>
    </row>
    <row r="112" spans="1:12" ht="15" customHeight="1">
      <c r="A112" s="392"/>
      <c r="B112" s="392"/>
      <c r="C112" s="403"/>
      <c r="D112" s="392"/>
      <c r="E112" s="403"/>
      <c r="F112" s="392"/>
      <c r="G112" s="392"/>
      <c r="H112" s="392"/>
      <c r="I112" s="403"/>
      <c r="J112" s="392"/>
      <c r="K112" s="392"/>
      <c r="L112" s="392"/>
    </row>
    <row r="113" spans="1:12" ht="15" customHeight="1">
      <c r="A113" s="392"/>
      <c r="B113" s="392"/>
      <c r="C113" s="403"/>
      <c r="D113" s="392"/>
      <c r="E113" s="403"/>
      <c r="F113" s="392"/>
      <c r="G113" s="392"/>
      <c r="H113" s="392"/>
      <c r="I113" s="403"/>
      <c r="J113" s="392"/>
      <c r="K113" s="392"/>
      <c r="L113" s="392"/>
    </row>
    <row r="114" spans="1:12">
      <c r="A114" s="392"/>
      <c r="B114" s="392"/>
      <c r="C114" s="403"/>
      <c r="D114" s="392"/>
      <c r="E114" s="403"/>
      <c r="F114" s="392"/>
      <c r="G114" s="392"/>
      <c r="H114" s="392"/>
      <c r="I114" s="403"/>
      <c r="J114" s="392"/>
      <c r="K114" s="392"/>
      <c r="L114" s="392"/>
    </row>
    <row r="115" spans="1:12">
      <c r="A115" s="392"/>
      <c r="B115" s="392"/>
      <c r="C115" s="403"/>
      <c r="D115" s="392"/>
      <c r="E115" s="403"/>
      <c r="F115" s="392"/>
      <c r="G115" s="392"/>
      <c r="H115" s="392"/>
      <c r="I115" s="403"/>
      <c r="J115" s="392"/>
      <c r="K115" s="392"/>
      <c r="L115" s="392"/>
    </row>
    <row r="116" spans="1:12">
      <c r="A116" s="392"/>
      <c r="B116" s="392"/>
      <c r="C116" s="403"/>
      <c r="D116" s="392"/>
      <c r="E116" s="403"/>
      <c r="F116" s="392"/>
      <c r="G116" s="392"/>
      <c r="H116" s="392"/>
      <c r="I116" s="403"/>
      <c r="J116" s="392"/>
      <c r="K116" s="392"/>
      <c r="L116" s="392"/>
    </row>
    <row r="117" spans="1:12">
      <c r="A117" s="392"/>
      <c r="B117" s="392"/>
      <c r="C117" s="403"/>
      <c r="D117" s="392"/>
      <c r="E117" s="403"/>
      <c r="F117" s="392"/>
      <c r="G117" s="392"/>
      <c r="H117" s="392"/>
      <c r="I117" s="403"/>
      <c r="J117" s="392"/>
      <c r="K117" s="392"/>
      <c r="L117" s="392"/>
    </row>
    <row r="118" spans="1:12">
      <c r="A118" s="392"/>
      <c r="B118" s="392"/>
      <c r="C118" s="403"/>
      <c r="D118" s="392"/>
      <c r="E118" s="403"/>
      <c r="F118" s="392"/>
      <c r="G118" s="392"/>
      <c r="H118" s="392"/>
      <c r="I118" s="403"/>
      <c r="J118" s="392"/>
      <c r="K118" s="392"/>
      <c r="L118" s="392"/>
    </row>
    <row r="119" spans="1:12">
      <c r="A119" s="392"/>
      <c r="B119" s="392"/>
      <c r="C119" s="403"/>
      <c r="D119" s="392"/>
      <c r="E119" s="403"/>
      <c r="F119" s="392"/>
      <c r="G119" s="392"/>
      <c r="H119" s="392"/>
      <c r="I119" s="403"/>
      <c r="J119" s="392"/>
      <c r="K119" s="392"/>
      <c r="L119" s="392"/>
    </row>
    <row r="120" spans="1:12">
      <c r="A120" s="392"/>
      <c r="B120" s="392"/>
      <c r="C120" s="403"/>
      <c r="D120" s="392"/>
      <c r="E120" s="403"/>
      <c r="F120" s="392"/>
      <c r="G120" s="392"/>
      <c r="H120" s="392"/>
      <c r="I120" s="403"/>
      <c r="J120" s="392"/>
      <c r="K120" s="392"/>
      <c r="L120" s="392"/>
    </row>
    <row r="121" spans="1:12">
      <c r="A121" s="392"/>
      <c r="B121" s="392"/>
      <c r="C121" s="403"/>
      <c r="D121" s="392"/>
      <c r="E121" s="403"/>
      <c r="F121" s="392"/>
      <c r="G121" s="392"/>
      <c r="H121" s="392"/>
      <c r="I121" s="403"/>
      <c r="J121" s="392"/>
      <c r="K121" s="392"/>
      <c r="L121" s="392"/>
    </row>
    <row r="122" spans="1:12">
      <c r="A122" s="392"/>
      <c r="B122" s="392"/>
      <c r="C122" s="403"/>
      <c r="D122" s="392"/>
      <c r="E122" s="403"/>
      <c r="F122" s="392"/>
      <c r="G122" s="392"/>
      <c r="H122" s="392"/>
      <c r="I122" s="403"/>
      <c r="J122" s="392"/>
      <c r="K122" s="392"/>
      <c r="L122" s="392"/>
    </row>
    <row r="123" spans="1:12">
      <c r="A123" s="392"/>
      <c r="B123" s="392"/>
      <c r="C123" s="403"/>
      <c r="D123" s="392"/>
      <c r="E123" s="403"/>
      <c r="F123" s="392"/>
      <c r="G123" s="392"/>
      <c r="H123" s="392"/>
      <c r="I123" s="403"/>
      <c r="J123" s="392"/>
      <c r="K123" s="392"/>
      <c r="L123" s="392"/>
    </row>
    <row r="124" spans="1:12">
      <c r="A124" s="392"/>
      <c r="B124" s="392"/>
      <c r="C124" s="403"/>
      <c r="D124" s="392"/>
      <c r="E124" s="403"/>
      <c r="F124" s="392"/>
      <c r="G124" s="392"/>
      <c r="H124" s="392"/>
      <c r="I124" s="403"/>
      <c r="J124" s="392"/>
      <c r="K124" s="392"/>
      <c r="L124" s="392"/>
    </row>
    <row r="125" spans="1:12">
      <c r="A125" s="392"/>
      <c r="B125" s="392"/>
      <c r="C125" s="403"/>
      <c r="D125" s="392"/>
      <c r="E125" s="403"/>
      <c r="F125" s="392"/>
      <c r="G125" s="392"/>
      <c r="H125" s="392"/>
      <c r="I125" s="403"/>
      <c r="J125" s="392"/>
      <c r="K125" s="392"/>
      <c r="L125" s="392"/>
    </row>
    <row r="126" spans="1:12">
      <c r="A126" s="392"/>
      <c r="B126" s="392"/>
      <c r="C126" s="403"/>
      <c r="D126" s="392"/>
      <c r="E126" s="403"/>
      <c r="F126" s="392"/>
      <c r="G126" s="392"/>
      <c r="H126" s="392"/>
      <c r="I126" s="403"/>
      <c r="J126" s="392"/>
      <c r="K126" s="392"/>
      <c r="L126" s="392"/>
    </row>
    <row r="127" spans="1:12">
      <c r="A127" s="392"/>
      <c r="B127" s="392"/>
      <c r="C127" s="403"/>
      <c r="D127" s="392"/>
      <c r="E127" s="403"/>
      <c r="F127" s="392"/>
      <c r="G127" s="392"/>
      <c r="H127" s="392"/>
      <c r="I127" s="403"/>
      <c r="J127" s="392"/>
      <c r="K127" s="392"/>
      <c r="L127" s="392"/>
    </row>
    <row r="128" spans="1:12">
      <c r="A128" s="392"/>
      <c r="B128" s="392"/>
      <c r="C128" s="403"/>
      <c r="D128" s="392"/>
      <c r="E128" s="403"/>
      <c r="F128" s="392"/>
      <c r="G128" s="392"/>
      <c r="H128" s="392"/>
      <c r="I128" s="403"/>
      <c r="J128" s="392"/>
      <c r="K128" s="392"/>
      <c r="L128" s="392"/>
    </row>
    <row r="129" spans="1:12">
      <c r="A129" s="392"/>
      <c r="B129" s="392"/>
      <c r="C129" s="403"/>
      <c r="D129" s="392"/>
      <c r="E129" s="403"/>
      <c r="F129" s="392"/>
      <c r="G129" s="392"/>
      <c r="H129" s="392"/>
      <c r="I129" s="403"/>
      <c r="J129" s="392"/>
      <c r="K129" s="392"/>
      <c r="L129" s="392"/>
    </row>
    <row r="130" spans="1:12">
      <c r="A130" s="392"/>
      <c r="B130" s="392"/>
      <c r="C130" s="403"/>
      <c r="D130" s="392"/>
      <c r="E130" s="403"/>
      <c r="F130" s="392"/>
      <c r="G130" s="392"/>
      <c r="H130" s="392"/>
      <c r="I130" s="403"/>
      <c r="J130" s="392"/>
      <c r="K130" s="392"/>
      <c r="L130" s="392"/>
    </row>
    <row r="131" spans="1:12">
      <c r="A131" s="392"/>
      <c r="B131" s="392"/>
      <c r="C131" s="403"/>
      <c r="D131" s="392"/>
      <c r="E131" s="403"/>
      <c r="F131" s="392"/>
      <c r="G131" s="392"/>
      <c r="H131" s="392"/>
      <c r="I131" s="403"/>
      <c r="J131" s="392"/>
      <c r="K131" s="392"/>
      <c r="L131" s="392"/>
    </row>
    <row r="132" spans="1:12">
      <c r="A132" s="392"/>
      <c r="B132" s="392"/>
      <c r="C132" s="403"/>
      <c r="D132" s="392"/>
      <c r="E132" s="403"/>
      <c r="F132" s="392"/>
      <c r="G132" s="392"/>
      <c r="H132" s="392"/>
      <c r="I132" s="403"/>
      <c r="J132" s="392"/>
      <c r="K132" s="392"/>
      <c r="L132" s="392"/>
    </row>
    <row r="133" spans="1:12">
      <c r="A133" s="392"/>
      <c r="B133" s="392"/>
      <c r="C133" s="403"/>
      <c r="D133" s="392"/>
      <c r="E133" s="403"/>
      <c r="F133" s="392"/>
      <c r="G133" s="392"/>
      <c r="H133" s="392"/>
      <c r="I133" s="403"/>
      <c r="J133" s="392"/>
      <c r="K133" s="392"/>
      <c r="L133" s="392"/>
    </row>
    <row r="134" spans="1:12">
      <c r="A134" s="392"/>
      <c r="B134" s="392"/>
      <c r="C134" s="403"/>
      <c r="D134" s="392"/>
      <c r="E134" s="403"/>
      <c r="F134" s="392"/>
      <c r="G134" s="392"/>
      <c r="H134" s="392"/>
      <c r="I134" s="403"/>
      <c r="J134" s="392"/>
      <c r="K134" s="392"/>
      <c r="L134" s="392"/>
    </row>
    <row r="135" spans="1:12">
      <c r="A135" s="392"/>
      <c r="B135" s="392"/>
      <c r="C135" s="403"/>
      <c r="D135" s="392"/>
      <c r="E135" s="403"/>
      <c r="F135" s="392"/>
      <c r="G135" s="392"/>
      <c r="H135" s="392"/>
      <c r="I135" s="403"/>
      <c r="J135" s="392"/>
      <c r="K135" s="392"/>
      <c r="L135" s="392"/>
    </row>
    <row r="136" spans="1:12">
      <c r="A136" s="392"/>
      <c r="B136" s="392"/>
      <c r="C136" s="403"/>
      <c r="D136" s="392"/>
      <c r="E136" s="403"/>
      <c r="F136" s="392"/>
      <c r="G136" s="392"/>
      <c r="H136" s="392"/>
      <c r="I136" s="403"/>
      <c r="J136" s="392"/>
      <c r="K136" s="392"/>
      <c r="L136" s="392"/>
    </row>
    <row r="137" spans="1:12">
      <c r="A137" s="392"/>
      <c r="B137" s="392"/>
      <c r="C137" s="403"/>
      <c r="D137" s="392"/>
      <c r="E137" s="403"/>
      <c r="F137" s="392"/>
      <c r="G137" s="392"/>
      <c r="H137" s="392"/>
      <c r="I137" s="403"/>
      <c r="J137" s="392"/>
      <c r="K137" s="392"/>
      <c r="L137" s="392"/>
    </row>
    <row r="138" spans="1:12">
      <c r="A138" s="392"/>
      <c r="B138" s="392"/>
      <c r="C138" s="403"/>
      <c r="D138" s="392"/>
      <c r="E138" s="403"/>
      <c r="F138" s="392"/>
      <c r="G138" s="392"/>
      <c r="H138" s="392"/>
      <c r="I138" s="403"/>
      <c r="J138" s="392"/>
      <c r="K138" s="392"/>
      <c r="L138" s="392"/>
    </row>
    <row r="139" spans="1:12">
      <c r="A139" s="392"/>
      <c r="B139" s="392"/>
      <c r="C139" s="403"/>
      <c r="D139" s="392"/>
      <c r="E139" s="403"/>
      <c r="F139" s="392"/>
      <c r="G139" s="392"/>
      <c r="H139" s="392"/>
      <c r="I139" s="403"/>
      <c r="J139" s="392"/>
      <c r="K139" s="392"/>
      <c r="L139" s="392"/>
    </row>
    <row r="140" spans="1:12">
      <c r="A140" s="392"/>
      <c r="B140" s="392"/>
      <c r="C140" s="403"/>
      <c r="D140" s="392"/>
      <c r="E140" s="403"/>
      <c r="F140" s="392"/>
      <c r="G140" s="392"/>
      <c r="H140" s="392"/>
      <c r="I140" s="403"/>
      <c r="J140" s="392"/>
      <c r="K140" s="392"/>
      <c r="L140" s="392"/>
    </row>
    <row r="141" spans="1:12">
      <c r="A141" s="392"/>
      <c r="B141" s="392"/>
      <c r="C141" s="403"/>
      <c r="D141" s="392"/>
      <c r="E141" s="403"/>
      <c r="F141" s="392"/>
      <c r="G141" s="392"/>
      <c r="H141" s="392"/>
      <c r="I141" s="403"/>
      <c r="J141" s="392"/>
      <c r="K141" s="392"/>
      <c r="L141" s="392"/>
    </row>
    <row r="142" spans="1:12">
      <c r="A142" s="392"/>
      <c r="B142" s="392"/>
      <c r="C142" s="403"/>
      <c r="D142" s="392"/>
      <c r="E142" s="403"/>
      <c r="F142" s="392"/>
      <c r="G142" s="392"/>
      <c r="H142" s="392"/>
      <c r="I142" s="403"/>
      <c r="J142" s="392"/>
      <c r="K142" s="392"/>
      <c r="L142" s="392"/>
    </row>
    <row r="143" spans="1:12">
      <c r="A143" s="392"/>
      <c r="B143" s="392"/>
      <c r="C143" s="403"/>
      <c r="D143" s="392"/>
      <c r="E143" s="403"/>
      <c r="F143" s="392"/>
      <c r="G143" s="392"/>
      <c r="H143" s="392"/>
      <c r="I143" s="403"/>
      <c r="J143" s="392"/>
      <c r="K143" s="392"/>
      <c r="L143" s="392"/>
    </row>
    <row r="144" spans="1:12">
      <c r="A144" s="392"/>
      <c r="B144" s="392"/>
      <c r="C144" s="403"/>
      <c r="D144" s="392"/>
      <c r="E144" s="403"/>
      <c r="F144" s="392"/>
      <c r="G144" s="392"/>
      <c r="H144" s="392"/>
      <c r="I144" s="403"/>
      <c r="J144" s="392"/>
      <c r="K144" s="392"/>
      <c r="L144" s="392"/>
    </row>
    <row r="145" spans="1:12">
      <c r="A145" s="392"/>
      <c r="B145" s="392"/>
      <c r="C145" s="403"/>
      <c r="D145" s="392"/>
      <c r="E145" s="403"/>
      <c r="F145" s="392"/>
      <c r="G145" s="392"/>
      <c r="H145" s="392"/>
      <c r="I145" s="403"/>
      <c r="J145" s="392"/>
      <c r="K145" s="392"/>
      <c r="L145" s="392"/>
    </row>
    <row r="146" spans="1:12">
      <c r="A146" s="392"/>
      <c r="B146" s="392"/>
      <c r="C146" s="403"/>
      <c r="D146" s="392"/>
      <c r="E146" s="403"/>
      <c r="F146" s="392"/>
      <c r="G146" s="392"/>
      <c r="H146" s="392"/>
      <c r="I146" s="403"/>
      <c r="J146" s="392"/>
      <c r="K146" s="392"/>
      <c r="L146" s="392"/>
    </row>
    <row r="147" spans="1:12">
      <c r="A147" s="392"/>
      <c r="B147" s="392"/>
      <c r="C147" s="403"/>
      <c r="D147" s="392"/>
      <c r="E147" s="403"/>
      <c r="F147" s="392"/>
      <c r="G147" s="392"/>
      <c r="H147" s="392"/>
      <c r="I147" s="403"/>
      <c r="J147" s="392"/>
      <c r="K147" s="392"/>
      <c r="L147" s="392"/>
    </row>
    <row r="148" spans="1:12">
      <c r="A148" s="392"/>
      <c r="B148" s="392"/>
      <c r="C148" s="403"/>
      <c r="D148" s="392"/>
      <c r="E148" s="403"/>
      <c r="F148" s="392"/>
      <c r="G148" s="392"/>
      <c r="H148" s="392"/>
      <c r="I148" s="403"/>
      <c r="J148" s="392"/>
      <c r="K148" s="392"/>
      <c r="L148" s="392"/>
    </row>
    <row r="149" spans="1:12">
      <c r="A149" s="392"/>
      <c r="B149" s="392"/>
      <c r="C149" s="403"/>
      <c r="D149" s="392"/>
      <c r="E149" s="403"/>
      <c r="F149" s="392"/>
      <c r="G149" s="392"/>
      <c r="H149" s="392"/>
      <c r="I149" s="403"/>
      <c r="J149" s="392"/>
      <c r="K149" s="392"/>
      <c r="L149" s="392"/>
    </row>
    <row r="150" spans="1:12">
      <c r="A150" s="392"/>
      <c r="B150" s="392"/>
      <c r="C150" s="403"/>
      <c r="D150" s="392"/>
      <c r="E150" s="403"/>
      <c r="F150" s="392"/>
      <c r="G150" s="392"/>
      <c r="H150" s="392"/>
      <c r="I150" s="403"/>
      <c r="J150" s="392"/>
      <c r="K150" s="392"/>
      <c r="L150" s="392"/>
    </row>
    <row r="151" spans="1:12">
      <c r="A151" s="392"/>
      <c r="B151" s="392"/>
      <c r="C151" s="403"/>
      <c r="D151" s="392"/>
      <c r="E151" s="403"/>
      <c r="F151" s="392"/>
      <c r="G151" s="392"/>
      <c r="H151" s="392"/>
      <c r="I151" s="403"/>
      <c r="J151" s="392"/>
      <c r="K151" s="392"/>
      <c r="L151" s="392"/>
    </row>
    <row r="152" spans="1:12">
      <c r="A152" s="392"/>
      <c r="B152" s="392"/>
      <c r="C152" s="403"/>
      <c r="D152" s="392"/>
      <c r="E152" s="403"/>
      <c r="F152" s="392"/>
      <c r="G152" s="392"/>
      <c r="H152" s="392"/>
      <c r="I152" s="403"/>
      <c r="J152" s="392"/>
      <c r="K152" s="392"/>
      <c r="L152" s="392"/>
    </row>
    <row r="153" spans="1:12">
      <c r="A153" s="392"/>
      <c r="B153" s="392"/>
      <c r="C153" s="403"/>
      <c r="D153" s="392"/>
      <c r="E153" s="403"/>
      <c r="F153" s="392"/>
      <c r="G153" s="392"/>
      <c r="H153" s="392"/>
      <c r="I153" s="403"/>
      <c r="J153" s="392"/>
      <c r="K153" s="392"/>
      <c r="L153" s="392"/>
    </row>
    <row r="154" spans="1:12">
      <c r="A154" s="392"/>
      <c r="B154" s="392"/>
      <c r="C154" s="403"/>
      <c r="D154" s="392"/>
      <c r="E154" s="403"/>
      <c r="F154" s="392"/>
      <c r="G154" s="392"/>
      <c r="H154" s="392"/>
      <c r="I154" s="403"/>
      <c r="J154" s="392"/>
      <c r="K154" s="392"/>
      <c r="L154" s="392"/>
    </row>
    <row r="155" spans="1:12">
      <c r="A155" s="392"/>
      <c r="B155" s="392"/>
      <c r="C155" s="403"/>
      <c r="D155" s="392"/>
      <c r="E155" s="403"/>
      <c r="F155" s="392"/>
      <c r="G155" s="392"/>
      <c r="H155" s="392"/>
      <c r="I155" s="403"/>
      <c r="J155" s="392"/>
      <c r="K155" s="392"/>
      <c r="L155" s="392"/>
    </row>
    <row r="156" spans="1:12">
      <c r="A156" s="392"/>
      <c r="B156" s="392"/>
      <c r="C156" s="403"/>
      <c r="D156" s="392"/>
      <c r="E156" s="403"/>
      <c r="F156" s="392"/>
      <c r="G156" s="392"/>
      <c r="H156" s="392"/>
      <c r="I156" s="403"/>
      <c r="J156" s="392"/>
      <c r="K156" s="392"/>
      <c r="L156" s="392"/>
    </row>
    <row r="157" spans="1:12">
      <c r="A157" s="392"/>
      <c r="B157" s="392"/>
      <c r="C157" s="403"/>
      <c r="D157" s="392"/>
      <c r="E157" s="403"/>
      <c r="F157" s="392"/>
      <c r="G157" s="392"/>
      <c r="H157" s="392"/>
      <c r="I157" s="403"/>
      <c r="J157" s="392"/>
      <c r="K157" s="392"/>
      <c r="L157" s="392"/>
    </row>
    <row r="158" spans="1:12">
      <c r="A158" s="392"/>
      <c r="B158" s="392"/>
      <c r="C158" s="403"/>
      <c r="D158" s="392"/>
      <c r="E158" s="403"/>
      <c r="F158" s="392"/>
      <c r="G158" s="392"/>
      <c r="H158" s="392"/>
      <c r="I158" s="403"/>
      <c r="J158" s="392"/>
      <c r="K158" s="392"/>
      <c r="L158" s="392"/>
    </row>
    <row r="159" spans="1:12">
      <c r="A159" s="392"/>
      <c r="B159" s="392"/>
      <c r="C159" s="403"/>
      <c r="D159" s="392"/>
      <c r="E159" s="403"/>
      <c r="F159" s="392"/>
      <c r="G159" s="392"/>
      <c r="H159" s="392"/>
      <c r="I159" s="403"/>
      <c r="J159" s="392"/>
      <c r="K159" s="392"/>
      <c r="L159" s="392"/>
    </row>
    <row r="160" spans="1:12">
      <c r="A160" s="392"/>
      <c r="B160" s="392"/>
      <c r="C160" s="403"/>
      <c r="D160" s="392"/>
      <c r="E160" s="403"/>
      <c r="F160" s="392"/>
      <c r="G160" s="392"/>
      <c r="H160" s="392"/>
      <c r="I160" s="403"/>
      <c r="J160" s="392"/>
      <c r="K160" s="392"/>
      <c r="L160" s="392"/>
    </row>
    <row r="161" spans="1:12">
      <c r="A161" s="392"/>
      <c r="B161" s="392"/>
      <c r="C161" s="403"/>
      <c r="D161" s="392"/>
      <c r="E161" s="403"/>
      <c r="F161" s="392"/>
      <c r="G161" s="392"/>
      <c r="H161" s="392"/>
      <c r="I161" s="403"/>
      <c r="J161" s="392"/>
      <c r="K161" s="392"/>
      <c r="L161" s="392"/>
    </row>
    <row r="162" spans="1:12">
      <c r="A162" s="392"/>
      <c r="B162" s="392"/>
      <c r="C162" s="403"/>
      <c r="D162" s="392"/>
      <c r="E162" s="403"/>
      <c r="F162" s="392"/>
      <c r="G162" s="392"/>
      <c r="H162" s="392"/>
      <c r="I162" s="403"/>
      <c r="J162" s="392"/>
      <c r="K162" s="392"/>
      <c r="L162" s="392"/>
    </row>
    <row r="163" spans="1:12">
      <c r="A163" s="392"/>
      <c r="B163" s="392"/>
      <c r="C163" s="403"/>
      <c r="D163" s="392"/>
      <c r="E163" s="403"/>
      <c r="F163" s="392"/>
      <c r="G163" s="392"/>
      <c r="H163" s="392"/>
      <c r="I163" s="403"/>
      <c r="J163" s="392"/>
      <c r="K163" s="392"/>
      <c r="L163" s="392"/>
    </row>
    <row r="164" spans="1:12">
      <c r="A164" s="392"/>
      <c r="B164" s="392"/>
      <c r="C164" s="403"/>
      <c r="D164" s="392"/>
      <c r="E164" s="403"/>
      <c r="F164" s="392"/>
      <c r="G164" s="392"/>
      <c r="H164" s="392"/>
      <c r="I164" s="403"/>
      <c r="J164" s="392"/>
      <c r="K164" s="392"/>
      <c r="L164" s="392"/>
    </row>
    <row r="165" spans="1:12">
      <c r="A165" s="392"/>
      <c r="B165" s="392"/>
      <c r="C165" s="403"/>
      <c r="D165" s="392"/>
      <c r="E165" s="403"/>
      <c r="F165" s="392"/>
      <c r="G165" s="392"/>
      <c r="H165" s="392"/>
      <c r="I165" s="403"/>
      <c r="J165" s="392"/>
      <c r="K165" s="392"/>
      <c r="L165" s="392"/>
    </row>
    <row r="166" spans="1:12">
      <c r="A166" s="392"/>
      <c r="B166" s="392"/>
      <c r="C166" s="403"/>
      <c r="D166" s="392"/>
      <c r="E166" s="403"/>
      <c r="F166" s="392"/>
      <c r="G166" s="392"/>
      <c r="H166" s="392"/>
      <c r="I166" s="403"/>
      <c r="J166" s="392"/>
      <c r="K166" s="392"/>
      <c r="L166" s="392"/>
    </row>
    <row r="167" spans="1:12">
      <c r="A167" s="392"/>
      <c r="B167" s="392"/>
      <c r="C167" s="403"/>
      <c r="D167" s="392"/>
      <c r="E167" s="403"/>
      <c r="F167" s="392"/>
      <c r="G167" s="392"/>
      <c r="H167" s="392"/>
      <c r="I167" s="403"/>
      <c r="J167" s="392"/>
      <c r="K167" s="392"/>
      <c r="L167" s="392"/>
    </row>
    <row r="168" spans="1:12">
      <c r="A168" s="392"/>
      <c r="B168" s="392"/>
      <c r="C168" s="403"/>
      <c r="D168" s="392"/>
      <c r="E168" s="403"/>
      <c r="F168" s="392"/>
      <c r="G168" s="392"/>
      <c r="H168" s="392"/>
      <c r="I168" s="403"/>
      <c r="J168" s="392"/>
      <c r="K168" s="392"/>
      <c r="L168" s="392"/>
    </row>
    <row r="169" spans="1:12">
      <c r="A169" s="392"/>
      <c r="B169" s="392"/>
      <c r="C169" s="403"/>
      <c r="D169" s="392"/>
      <c r="E169" s="403"/>
      <c r="F169" s="392"/>
      <c r="G169" s="392"/>
      <c r="H169" s="392"/>
      <c r="I169" s="403"/>
      <c r="J169" s="392"/>
      <c r="K169" s="392"/>
      <c r="L169" s="392"/>
    </row>
    <row r="170" spans="1:12">
      <c r="A170" s="392"/>
      <c r="B170" s="392"/>
      <c r="C170" s="403"/>
      <c r="D170" s="392"/>
      <c r="E170" s="403"/>
      <c r="F170" s="392"/>
      <c r="G170" s="392"/>
      <c r="H170" s="392"/>
      <c r="I170" s="403"/>
      <c r="J170" s="392"/>
      <c r="K170" s="392"/>
      <c r="L170" s="392"/>
    </row>
    <row r="171" spans="1:12">
      <c r="A171" s="392"/>
      <c r="B171" s="392"/>
      <c r="C171" s="403"/>
      <c r="D171" s="392"/>
      <c r="E171" s="403"/>
      <c r="F171" s="392"/>
      <c r="G171" s="392"/>
      <c r="H171" s="392"/>
      <c r="I171" s="403"/>
      <c r="J171" s="392"/>
      <c r="K171" s="392"/>
      <c r="L171" s="392"/>
    </row>
    <row r="172" spans="1:12">
      <c r="A172" s="392"/>
      <c r="B172" s="392"/>
      <c r="C172" s="403"/>
      <c r="D172" s="392"/>
      <c r="E172" s="403"/>
      <c r="F172" s="392"/>
      <c r="G172" s="392"/>
      <c r="H172" s="392"/>
      <c r="I172" s="403"/>
      <c r="J172" s="392"/>
      <c r="K172" s="392"/>
      <c r="L172" s="392"/>
    </row>
    <row r="173" spans="1:12">
      <c r="A173" s="392"/>
      <c r="B173" s="392"/>
      <c r="C173" s="403"/>
      <c r="D173" s="392"/>
      <c r="E173" s="403"/>
      <c r="F173" s="392"/>
      <c r="G173" s="392"/>
      <c r="H173" s="392"/>
      <c r="I173" s="403"/>
      <c r="J173" s="392"/>
      <c r="K173" s="392"/>
      <c r="L173" s="392"/>
    </row>
    <row r="174" spans="1:12">
      <c r="A174" s="392"/>
      <c r="B174" s="392"/>
      <c r="C174" s="403"/>
      <c r="D174" s="392"/>
      <c r="E174" s="403"/>
      <c r="F174" s="392"/>
      <c r="G174" s="392"/>
      <c r="H174" s="392"/>
      <c r="I174" s="403"/>
      <c r="J174" s="392"/>
      <c r="K174" s="392"/>
      <c r="L174" s="392"/>
    </row>
  </sheetData>
  <mergeCells count="4">
    <mergeCell ref="A1:L1"/>
    <mergeCell ref="A3:L3"/>
    <mergeCell ref="A5:L5"/>
    <mergeCell ref="A6:L6"/>
  </mergeCells>
  <phoneticPr fontId="8" type="noConversion"/>
  <printOptions horizontalCentered="1"/>
  <pageMargins left="0.25" right="0.25" top="0.75" bottom="0.5" header="0" footer="0.25"/>
  <pageSetup scale="78" fitToHeight="2" orientation="landscape" horizontalDpi="300" verticalDpi="300" r:id="rId1"/>
  <headerFooter scaleWithDoc="0" alignWithMargins="0">
    <oddFooter xml:space="preserve">&amp;C&amp;"Times New Roman,Regular"&amp;10See accompanying summary of significant forecast assumptions. </oddFooter>
  </headerFooter>
  <rowBreaks count="2" manualBreakCount="2">
    <brk id="33" max="11" man="1"/>
    <brk id="66" max="11"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16"/>
  <sheetViews>
    <sheetView zoomScaleNormal="100" workbookViewId="0">
      <selection sqref="A1:I1"/>
    </sheetView>
  </sheetViews>
  <sheetFormatPr defaultColWidth="8" defaultRowHeight="15.75"/>
  <cols>
    <col min="1" max="1" width="5.77734375" style="382" customWidth="1"/>
    <col min="2" max="3" width="7.77734375" style="382" customWidth="1"/>
    <col min="4" max="4" width="11.109375" style="382" customWidth="1"/>
    <col min="5" max="5" width="11.5546875" style="382" customWidth="1"/>
    <col min="6" max="6" width="10.33203125" style="382" customWidth="1"/>
    <col min="7" max="7" width="11.109375" style="382" customWidth="1"/>
    <col min="8" max="8" width="9.109375" style="382" customWidth="1"/>
    <col min="9" max="9" width="8.88671875" style="382" customWidth="1"/>
    <col min="10" max="16384" width="8" style="382"/>
  </cols>
  <sheetData>
    <row r="1" spans="1:9" s="418" customFormat="1" ht="16.5" customHeight="1">
      <c r="A1" s="1308" t="s">
        <v>9</v>
      </c>
      <c r="B1" s="1309"/>
      <c r="C1" s="1309"/>
      <c r="D1" s="1309"/>
      <c r="E1" s="1309"/>
      <c r="F1" s="1309"/>
      <c r="G1" s="1309"/>
      <c r="H1" s="1309"/>
      <c r="I1" s="1309"/>
    </row>
    <row r="2" spans="1:9" s="418" customFormat="1" ht="13.5" customHeight="1">
      <c r="A2" s="1309"/>
      <c r="B2" s="1309"/>
      <c r="C2" s="1309"/>
      <c r="D2" s="1309"/>
      <c r="E2" s="1309"/>
      <c r="F2" s="1309"/>
      <c r="G2" s="1309"/>
      <c r="H2" s="1309"/>
      <c r="I2" s="1309"/>
    </row>
    <row r="3" spans="1:9" s="418" customFormat="1" ht="16.5">
      <c r="A3" s="1309" t="s">
        <v>213</v>
      </c>
      <c r="B3" s="1309"/>
      <c r="C3" s="1309"/>
      <c r="D3" s="1309"/>
      <c r="E3" s="1309"/>
      <c r="F3" s="1309"/>
      <c r="G3" s="1309"/>
      <c r="H3" s="1309"/>
      <c r="I3" s="1309"/>
    </row>
    <row r="4" spans="1:9" s="418" customFormat="1" ht="15.75" customHeight="1">
      <c r="A4" s="419"/>
      <c r="B4" s="419"/>
      <c r="C4" s="419"/>
      <c r="D4" s="419"/>
      <c r="E4" s="419"/>
      <c r="F4" s="419"/>
      <c r="G4" s="419"/>
      <c r="H4" s="419"/>
      <c r="I4" s="419"/>
    </row>
    <row r="5" spans="1:9" s="418" customFormat="1" ht="15.75" customHeight="1">
      <c r="A5" s="1310" t="str">
        <f>'Fly Sheet'!$A$20</f>
        <v>For the Twelve Months Ended March 31, 2018 Historical and September 30, 2019 Forecasted</v>
      </c>
      <c r="B5" s="1311"/>
      <c r="C5" s="1311"/>
      <c r="D5" s="1311"/>
      <c r="E5" s="1311"/>
      <c r="F5" s="1311"/>
      <c r="G5" s="1311"/>
      <c r="H5" s="1311"/>
      <c r="I5" s="1311"/>
    </row>
    <row r="6" spans="1:9" s="418" customFormat="1" ht="15.75" customHeight="1">
      <c r="A6" s="1310"/>
      <c r="B6" s="1311"/>
      <c r="C6" s="1311"/>
      <c r="D6" s="1311"/>
      <c r="E6" s="1311"/>
      <c r="F6" s="1311"/>
      <c r="G6" s="1311"/>
      <c r="H6" s="1311"/>
      <c r="I6" s="1311"/>
    </row>
    <row r="7" spans="1:9" s="418" customFormat="1" ht="15.75" customHeight="1">
      <c r="A7" s="382"/>
      <c r="B7" s="411"/>
      <c r="C7" s="411"/>
      <c r="D7" s="411"/>
      <c r="E7" s="411"/>
      <c r="F7" s="411"/>
      <c r="G7" s="411"/>
      <c r="H7" s="411"/>
      <c r="I7" s="411"/>
    </row>
    <row r="8" spans="1:9">
      <c r="A8" s="382" t="s">
        <v>129</v>
      </c>
      <c r="B8" s="382" t="s">
        <v>1183</v>
      </c>
    </row>
    <row r="9" spans="1:9">
      <c r="E9" s="732" t="s">
        <v>94</v>
      </c>
      <c r="G9" s="732" t="s">
        <v>1259</v>
      </c>
    </row>
    <row r="10" spans="1:9">
      <c r="B10" s="382" t="s">
        <v>74</v>
      </c>
      <c r="D10" s="1038">
        <f>+'WP-7 - Cust Counts (x per wk)'!I21*0.85</f>
        <v>192281.016</v>
      </c>
      <c r="E10" s="1038"/>
      <c r="F10" s="1038"/>
      <c r="G10" s="1038">
        <f>+D10*(1-F13)</f>
        <v>186771.85596549403</v>
      </c>
      <c r="H10" s="412"/>
    </row>
    <row r="11" spans="1:9">
      <c r="B11" s="382" t="s">
        <v>75</v>
      </c>
      <c r="D11" s="1064">
        <f>(+'[15]WP-7 - Cust Counts (x per wk)'!I63+'[15]WP-7 - Cust Counts (x per wk)'!I93+'[15]WP-7 - Cust Counts (x per wk)'!I100)*0.85</f>
        <v>114359.0238</v>
      </c>
      <c r="E11" s="1038"/>
      <c r="F11" s="1038"/>
      <c r="G11" s="1038">
        <f>+D11*(1-F13)</f>
        <v>111082.45403450594</v>
      </c>
      <c r="H11" s="412"/>
    </row>
    <row r="12" spans="1:9">
      <c r="B12" s="382" t="s">
        <v>96</v>
      </c>
      <c r="D12" s="1038">
        <f>-D10-D11</f>
        <v>-306640.03980000003</v>
      </c>
      <c r="E12" s="1038">
        <f>+Operations!C18</f>
        <v>297854.31</v>
      </c>
      <c r="F12" s="1038">
        <f>+E12+D12</f>
        <v>-8785.7298000000301</v>
      </c>
      <c r="G12" s="1038">
        <f>-E12</f>
        <v>-297854.31</v>
      </c>
    </row>
    <row r="13" spans="1:9">
      <c r="D13" s="1038"/>
      <c r="E13" s="1038"/>
      <c r="F13" s="1038">
        <f>+F12/D12</f>
        <v>2.8651606638618852E-2</v>
      </c>
      <c r="G13" s="1038">
        <f>SUM(G10:G12)</f>
        <v>0</v>
      </c>
    </row>
    <row r="14" spans="1:9" s="418" customFormat="1" ht="15.75" customHeight="1">
      <c r="A14" s="382"/>
      <c r="B14" s="411"/>
      <c r="C14" s="411"/>
      <c r="D14" s="411"/>
      <c r="E14" s="411"/>
      <c r="F14" s="411"/>
      <c r="G14" s="411"/>
      <c r="H14" s="411"/>
      <c r="I14" s="411"/>
    </row>
    <row r="15" spans="1:9" ht="40.5" customHeight="1">
      <c r="A15" s="644" t="s">
        <v>130</v>
      </c>
      <c r="B15" s="1307" t="s">
        <v>1058</v>
      </c>
      <c r="C15" s="1307"/>
      <c r="D15" s="1307"/>
      <c r="E15" s="1307"/>
      <c r="F15" s="1307"/>
      <c r="G15" s="1307"/>
      <c r="H15" s="731"/>
      <c r="I15" s="731"/>
    </row>
    <row r="16" spans="1:9" ht="30" customHeight="1">
      <c r="A16" s="644" t="s">
        <v>131</v>
      </c>
      <c r="B16" s="1307" t="s">
        <v>1049</v>
      </c>
      <c r="C16" s="1307"/>
      <c r="D16" s="1307"/>
      <c r="E16" s="1307"/>
      <c r="F16" s="1307"/>
      <c r="G16" s="1307"/>
      <c r="H16" s="731"/>
      <c r="I16" s="731"/>
    </row>
  </sheetData>
  <mergeCells count="7">
    <mergeCell ref="B15:G15"/>
    <mergeCell ref="B16:G16"/>
    <mergeCell ref="A1:I1"/>
    <mergeCell ref="A3:I3"/>
    <mergeCell ref="A5:I5"/>
    <mergeCell ref="A6:I6"/>
    <mergeCell ref="A2:I2"/>
  </mergeCells>
  <phoneticPr fontId="8" type="noConversion"/>
  <printOptions horizontalCentered="1"/>
  <pageMargins left="0.9" right="0.7" top="0.75" bottom="0.5" header="0" footer="0.25"/>
  <pageSetup scale="88" fitToHeight="3" orientation="portrait" horizontalDpi="300" verticalDpi="300" r:id="rId1"/>
  <headerFooter alignWithMargins="0">
    <oddFooter xml:space="preserve">&amp;C&amp;"Times New Roman,Regular"&amp;10See accompanying summary of significant forecast assumptions.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A6AB86C50EE204ABE4D7BA7CDB60923" ma:contentTypeVersion="68" ma:contentTypeDescription="" ma:contentTypeScope="" ma:versionID="731082d181a24acc1a0b104546f1243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2018-07-24T07:00:00+00:00</OpenedDate>
    <SignificantOrder xmlns="dc463f71-b30c-4ab2-9473-d307f9d35888">false</SignificantOrder>
    <Date1 xmlns="dc463f71-b30c-4ab2-9473-d307f9d35888">2018-07-24T07:00:00+00:00</Date1>
    <IsDocumentOrder xmlns="dc463f71-b30c-4ab2-9473-d307f9d35888">false</IsDocumentOrder>
    <IsHighlyConfidential xmlns="dc463f71-b30c-4ab2-9473-d307f9d35888">false</IsHighlyConfidential>
    <CaseCompanyNames xmlns="dc463f71-b30c-4ab2-9473-d307f9d35888">WASTE CONTROL, INC.</CaseCompanyNames>
    <Nickname xmlns="http://schemas.microsoft.com/sharepoint/v3" xsi:nil="true"/>
    <DocketNumber xmlns="dc463f71-b30c-4ab2-9473-d307f9d35888">180636</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B8E72BE7-E578-49CB-B431-4A1385198299}"/>
</file>

<file path=customXml/itemProps2.xml><?xml version="1.0" encoding="utf-8"?>
<ds:datastoreItem xmlns:ds="http://schemas.openxmlformats.org/officeDocument/2006/customXml" ds:itemID="{ABE47061-178E-40DA-ACE4-4624A8AAA179}"/>
</file>

<file path=customXml/itemProps3.xml><?xml version="1.0" encoding="utf-8"?>
<ds:datastoreItem xmlns:ds="http://schemas.openxmlformats.org/officeDocument/2006/customXml" ds:itemID="{7CC929F7-7625-4FC5-88B7-341586E46FE6}"/>
</file>

<file path=customXml/itemProps4.xml><?xml version="1.0" encoding="utf-8"?>
<ds:datastoreItem xmlns:ds="http://schemas.openxmlformats.org/officeDocument/2006/customXml" ds:itemID="{5D5C5201-0FD5-44C0-9EC7-8AAF139860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50</vt:i4>
      </vt:variant>
    </vt:vector>
  </HeadingPairs>
  <TitlesOfParts>
    <vt:vector size="82" baseType="lpstr">
      <vt:lpstr>Fly Sheet</vt:lpstr>
      <vt:lpstr>LG Nonpublic 2018 V5.0c</vt:lpstr>
      <vt:lpstr>Operations</vt:lpstr>
      <vt:lpstr>Assumptions</vt:lpstr>
      <vt:lpstr>Sch 1 - Restated Exp</vt:lpstr>
      <vt:lpstr>Sch 1, pg 2 - Restated</vt:lpstr>
      <vt:lpstr>Sch 2 - Forecast Exp</vt:lpstr>
      <vt:lpstr>Sch 2, pg 2 - Forecast</vt:lpstr>
      <vt:lpstr>Sch 3 - Reclass Exp</vt:lpstr>
      <vt:lpstr>Sch 3, pg 2 - Reclass</vt:lpstr>
      <vt:lpstr>Sch 4 - 12 Months</vt:lpstr>
      <vt:lpstr>Work Papers</vt:lpstr>
      <vt:lpstr>WP-1 - Summary Depr</vt:lpstr>
      <vt:lpstr>WP-1, pg 2 - Depr</vt:lpstr>
      <vt:lpstr>WP-2 - Labor Analysis</vt:lpstr>
      <vt:lpstr>WP-2, pg 2 - Labor Increase</vt:lpstr>
      <vt:lpstr>WP-2, pg 3 - Benefits Analysis</vt:lpstr>
      <vt:lpstr>WP-3 - Vehicle License</vt:lpstr>
      <vt:lpstr>WP-4 - Dues &amp; Sub</vt:lpstr>
      <vt:lpstr>WP-5 - Capital Structure</vt:lpstr>
      <vt:lpstr>WP-5, pg 2 - Capital</vt:lpstr>
      <vt:lpstr>WP-6 - Affiliated </vt:lpstr>
      <vt:lpstr>WP-7 - Cust Counts (x per wk)</vt:lpstr>
      <vt:lpstr>WP-7a - Drop Box Totals</vt:lpstr>
      <vt:lpstr>WP-8 - Fuel</vt:lpstr>
      <vt:lpstr>WP-9 Bad Debts</vt:lpstr>
      <vt:lpstr>WP-10 Utilities</vt:lpstr>
      <vt:lpstr>WP-11 Rent</vt:lpstr>
      <vt:lpstr>WP-12 Property Taxes</vt:lpstr>
      <vt:lpstr>WP-13 Disposal</vt:lpstr>
      <vt:lpstr>WP-14 Rate Case Cost</vt:lpstr>
      <vt:lpstr>IS-PBC</vt:lpstr>
      <vt:lpstr>'LG Nonpublic 2018 V5.0c'!Debt_Rate</vt:lpstr>
      <vt:lpstr>'LG Nonpublic 2018 V5.0c'!debtP</vt:lpstr>
      <vt:lpstr>'LG Nonpublic 2018 V5.0c'!Equity_percent</vt:lpstr>
      <vt:lpstr>'LG Nonpublic 2018 V5.0c'!equityP</vt:lpstr>
      <vt:lpstr>'LG Nonpublic 2018 V5.0c'!expenses</vt:lpstr>
      <vt:lpstr>income_statement</vt:lpstr>
      <vt:lpstr>'LG Nonpublic 2018 V5.0c'!Investment</vt:lpstr>
      <vt:lpstr>PAGE_1</vt:lpstr>
      <vt:lpstr>'LG Nonpublic 2018 V5.0c'!Pfd_weighted</vt:lpstr>
      <vt:lpstr>Assumptions!Print_Area</vt:lpstr>
      <vt:lpstr>'IS-PBC'!Print_Area</vt:lpstr>
      <vt:lpstr>'LG Nonpublic 2018 V5.0c'!Print_Area</vt:lpstr>
      <vt:lpstr>Operations!Print_Area</vt:lpstr>
      <vt:lpstr>'Sch 1 - Restated Exp'!Print_Area</vt:lpstr>
      <vt:lpstr>'Sch 1, pg 2 - Restated'!Print_Area</vt:lpstr>
      <vt:lpstr>'Sch 2 - Forecast Exp'!Print_Area</vt:lpstr>
      <vt:lpstr>'Sch 2, pg 2 - Forecast'!Print_Area</vt:lpstr>
      <vt:lpstr>'Sch 3 - Reclass Exp'!Print_Area</vt:lpstr>
      <vt:lpstr>'Sch 3, pg 2 - Reclass'!Print_Area</vt:lpstr>
      <vt:lpstr>'Sch 4 - 12 Months'!Print_Area</vt:lpstr>
      <vt:lpstr>'WP-1, pg 2 - Depr'!Print_Area</vt:lpstr>
      <vt:lpstr>'WP-10 Utilities'!Print_Area</vt:lpstr>
      <vt:lpstr>'WP-11 Rent'!Print_Area</vt:lpstr>
      <vt:lpstr>'WP-12 Property Taxes'!Print_Area</vt:lpstr>
      <vt:lpstr>'WP-13 Disposal'!Print_Area</vt:lpstr>
      <vt:lpstr>'WP-14 Rate Case Cost'!Print_Area</vt:lpstr>
      <vt:lpstr>'WP-2 - Labor Analysis'!Print_Area</vt:lpstr>
      <vt:lpstr>'WP-2, pg 2 - Labor Increase'!Print_Area</vt:lpstr>
      <vt:lpstr>'WP-2, pg 3 - Benefits Analysis'!Print_Area</vt:lpstr>
      <vt:lpstr>'WP-3 - Vehicle License'!Print_Area</vt:lpstr>
      <vt:lpstr>'WP-5 - Capital Structure'!Print_Area</vt:lpstr>
      <vt:lpstr>'WP-6 - Affiliated '!Print_Area</vt:lpstr>
      <vt:lpstr>'WP-7 - Cust Counts (x per wk)'!Print_Area</vt:lpstr>
      <vt:lpstr>'WP-7a - Drop Box Totals'!Print_Area</vt:lpstr>
      <vt:lpstr>'WP-8 - Fuel'!Print_Area</vt:lpstr>
      <vt:lpstr>'WP-9 Bad Debts'!Print_Area</vt:lpstr>
      <vt:lpstr>'Sch 1, pg 2 - Restated'!Print_Titles</vt:lpstr>
      <vt:lpstr>'Sch 2, pg 2 - Forecast'!Print_Titles</vt:lpstr>
      <vt:lpstr>'Sch 3, pg 2 - Reclass'!Print_Titles</vt:lpstr>
      <vt:lpstr>'Sch 4 - 12 Months'!Print_Titles</vt:lpstr>
      <vt:lpstr>'WP-1, pg 2 - Depr'!Print_Titles</vt:lpstr>
      <vt:lpstr>'WP-2, pg 2 - Labor Increase'!Print_Titles</vt:lpstr>
      <vt:lpstr>'LG Nonpublic 2018 V5.0c'!regDebt_weighted</vt:lpstr>
      <vt:lpstr>'LG Nonpublic 2018 V5.0c'!Revenue</vt:lpstr>
      <vt:lpstr>'LG Nonpublic 2018 V5.0c'!slope</vt:lpstr>
      <vt:lpstr>'LG Nonpublic 2018 V5.0c'!taxrate</vt:lpstr>
      <vt:lpstr>'LG Nonpublic 2018 V5.0c'!y_inter1</vt:lpstr>
      <vt:lpstr>'LG Nonpublic 2018 V5.0c'!y_inter2</vt:lpstr>
      <vt:lpstr>'LG Nonpublic 2018 V5.0c'!y_inter3</vt:lpstr>
      <vt:lpstr>'LG Nonpublic 2018 V5.0c'!y_inter4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gbooth</dc:creator>
  <cp:lastModifiedBy>Randy Poole</cp:lastModifiedBy>
  <cp:lastPrinted>2018-07-24T19:19:06Z</cp:lastPrinted>
  <dcterms:created xsi:type="dcterms:W3CDTF">2002-10-01T21:01:48Z</dcterms:created>
  <dcterms:modified xsi:type="dcterms:W3CDTF">2018-07-24T20:10:52Z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PPC_Template_Client_Name">
    <vt:lpwstr>Waste Control Equipment, Inc.</vt:lpwstr>
  </property>
  <property fmtid="{D5CDD505-2E9C-101B-9397-08002B2CF9AE}" pid="4" name="PPC_Template_Engagement_Date">
    <vt:lpwstr>12/31/2017</vt:lpwstr>
  </property>
  <property fmtid="{D5CDD505-2E9C-101B-9397-08002B2CF9AE}" pid="5" name="ContentTypeId">
    <vt:lpwstr>0x0101006E56B4D1795A2E4DB2F0B01679ED314A00DA6AB86C50EE204ABE4D7BA7CDB60923</vt:lpwstr>
  </property>
  <property fmtid="{D5CDD505-2E9C-101B-9397-08002B2CF9AE}" pid="6" name="_docset_NoMedatataSyncRequired">
    <vt:lpwstr>False</vt:lpwstr>
  </property>
  <property fmtid="{D5CDD505-2E9C-101B-9397-08002B2CF9AE}" pid="7" name="IsEFSEC">
    <vt:bool>false</vt:bool>
  </property>
</Properties>
</file>