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 - Copy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5" i="3"/>
  <c r="D19" i="1" l="1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E61" i="3"/>
  <c r="B61" i="3"/>
  <c r="F5" i="3"/>
  <c r="F61" i="3" s="1"/>
  <c r="C9" i="4" l="1"/>
  <c r="C8" i="4"/>
  <c r="D8" i="4"/>
  <c r="C7" i="4"/>
  <c r="C19" i="4"/>
  <c r="D19" i="4"/>
  <c r="B19" i="4"/>
  <c r="B18" i="4"/>
  <c r="B17" i="4"/>
  <c r="B16" i="4"/>
  <c r="B15" i="4"/>
  <c r="B14" i="4"/>
  <c r="B13" i="4"/>
  <c r="B12" i="4"/>
  <c r="B11" i="4"/>
  <c r="B10" i="4"/>
  <c r="B9" i="4"/>
  <c r="B8" i="4"/>
  <c r="C6" i="4" l="1"/>
  <c r="B5" i="4"/>
  <c r="D5" i="4"/>
  <c r="B4" i="4"/>
  <c r="D4" i="4"/>
  <c r="C5" i="4" l="1"/>
  <c r="C4" i="4"/>
  <c r="B7" i="4"/>
  <c r="B6" i="4"/>
  <c r="N33" i="4"/>
  <c r="T33" i="4" s="1"/>
  <c r="U33" i="4" s="1"/>
  <c r="N32" i="4"/>
  <c r="T32" i="4" s="1"/>
  <c r="U32" i="4" s="1"/>
  <c r="T31" i="4"/>
  <c r="U31" i="4" s="1"/>
  <c r="N31" i="4"/>
  <c r="N30" i="4"/>
  <c r="T30" i="4" s="1"/>
  <c r="U30" i="4" s="1"/>
  <c r="N29" i="4"/>
  <c r="T29" i="4" s="1"/>
  <c r="U29" i="4" s="1"/>
  <c r="N28" i="4"/>
  <c r="T28" i="4" s="1"/>
  <c r="U28" i="4" s="1"/>
  <c r="N27" i="4"/>
  <c r="T27" i="4" s="1"/>
  <c r="U27" i="4" s="1"/>
  <c r="K26" i="4"/>
  <c r="N26" i="4" s="1"/>
  <c r="T26" i="4" s="1"/>
  <c r="U26" i="4" s="1"/>
  <c r="N25" i="4"/>
  <c r="T25" i="4" s="1"/>
  <c r="U25" i="4" s="1"/>
  <c r="N23" i="4"/>
  <c r="T23" i="4" s="1"/>
  <c r="U23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C41" i="4" s="1"/>
  <c r="F3" i="3" s="1"/>
  <c r="F18" i="1" l="1"/>
  <c r="G61" i="3" l="1"/>
  <c r="F19" i="1" l="1"/>
  <c r="F20" i="1" s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<sst xmlns="http://schemas.openxmlformats.org/spreadsheetml/2006/main" count="375" uniqueCount="226">
  <si>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</si>
  <si>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</si>
  <si>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</si>
  <si>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</si>
  <si>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</si>
  <si>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</si>
  <si>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</si>
  <si>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</si>
  <si>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</si>
  <si>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</si>
  <si>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</si>
  <si>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</si>
  <si>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</si>
  <si>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</si>
  <si>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</si>
  <si>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</si>
  <si>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</si>
  <si>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</si>
  <si>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</si>
  <si>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</si>
  <si>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</si>
  <si>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</si>
  <si>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</si>
  <si>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</si>
  <si>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</si>
  <si>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</si>
  <si>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</si>
  <si>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</si>
  <si>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</si>
  <si>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</si>
  <si>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</si>
  <si>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</si>
  <si>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</si>
  <si>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</si>
  <si>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</si>
  <si>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</si>
  <si>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</si>
  <si>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</si>
  <si>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</si>
  <si>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</si>
  <si>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</si>
  <si>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</si>
  <si>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</si>
  <si>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</si>
  <si>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</si>
  <si>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</si>
  <si>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</si>
  <si>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</si>
  <si>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</si>
  <si>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</si>
  <si>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</si>
  <si>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</si>
  <si>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</si>
  <si>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</si>
  <si>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</si>
  <si>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</si>
  <si>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</si>
  <si>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</si>
  <si>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</si>
  <si>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</si>
  <si>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</si>
  <si>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</si>
  <si>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</si>
  <si>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</si>
  <si>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</si>
  <si>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</si>
  <si>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</si>
  <si>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</si>
  <si>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</si>
  <si>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</si>
  <si>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</si>
  <si>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</si>
  <si>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</si>
  <si>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</si>
  <si>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</si>
  <si>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</si>
  <si>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</si>
  <si>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</si>
  <si>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</si>
  <si>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</si>
  <si>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</si>
  <si>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</si>
  <si>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</si>
  <si>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</si>
  <si>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</si>
  <si>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</si>
  <si>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</si>
  <si>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</si>
  <si>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</si>
  <si>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</si>
  <si>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</si>
  <si>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</si>
  <si>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</si>
  <si>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</si>
  <si>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</si>
  <si>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</si>
  <si>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</si>
  <si>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</si>
  <si>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</si>
  <si>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</si>
  <si>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</si>
  <si>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</si>
  <si>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</si>
  <si>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</si>
  <si>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</si>
  <si>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</si>
  <si>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</si>
  <si>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</si>
  <si>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</si>
  <si>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</si>
  <si>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</si>
  <si>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</si>
  <si>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</si>
  <si>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</si>
  <si>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</si>
  <si>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</si>
  <si>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</si>
  <si>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</si>
  <si>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</si>
  <si>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</si>
  <si>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</si>
  <si>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</si>
  <si>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</si>
  <si>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</si>
  <si>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</si>
  <si>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</si>
  <si>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</si>
  <si>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</si>
  <si>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</si>
  <si>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</si>
  <si>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</si>
  <si>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</si>
  <si>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</si>
  <si>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</si>
  <si>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</si>
  <si>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</si>
  <si>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</si>
  <si>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</si>
  <si>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</si>
  <si>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</si>
  <si>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</si>
  <si>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</si>
  <si>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</si>
  <si>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</si>
  <si>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</si>
  <si>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</si>
  <si>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</si>
  <si>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</si>
  <si>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</si>
  <si>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</si>
  <si>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</si>
  <si>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</si>
  <si>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</si>
  <si>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</si>
  <si>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</si>
  <si>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</si>
  <si>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</si>
  <si>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</si>
  <si>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</si>
  <si>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</si>
  <si>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</si>
  <si>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</si>
  <si>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</si>
  <si>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</si>
  <si>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</si>
  <si>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</si>
  <si>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</si>
  <si>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</si>
  <si>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</si>
  <si>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</si>
  <si>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</si>
  <si>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</si>
  <si>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</si>
  <si>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</si>
  <si>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</si>
  <si>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</si>
  <si>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</si>
  <si>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</si>
  <si>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</si>
  <si>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</si>
  <si>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</si>
  <si>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</si>
  <si>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</si>
  <si>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</si>
  <si>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</si>
  <si>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</si>
  <si>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</si>
  <si>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</si>
  <si>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</si>
  <si>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</si>
  <si>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</si>
  <si>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</si>
  <si>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</si>
  <si>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ConocoPhillips Alaska Inc.</t>
  </si>
  <si>
    <t>EDF Trading North America LLC</t>
  </si>
  <si>
    <t>Energy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</si>
  <si>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</si>
  <si>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</si>
  <si>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</si>
  <si>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</si>
  <si>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</si>
  <si>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Nevada Power Co.</t>
  </si>
  <si>
    <t>NorthWestern Corp.</t>
  </si>
  <si>
    <t>Noble America's Gas and Power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</si>
  <si>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</si>
  <si>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</si>
  <si>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</si>
  <si>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</si>
  <si>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</si>
  <si>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</si>
  <si>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</si>
  <si>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</si>
  <si>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</si>
  <si>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</si>
  <si>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</si>
  <si>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</si>
  <si>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</si>
  <si>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</si>
  <si>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</si>
  <si>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</si>
  <si>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</si>
  <si>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</si>
  <si>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Spokane City of (Waste to Energy)</t>
  </si>
  <si>
    <t>Net Unknown Purchases</t>
  </si>
  <si>
    <t>Tons CO2 from Purchases</t>
  </si>
  <si>
    <t>CTG1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</si>
</sst>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0_);\(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Protection="0">
      <alignment horizontal="center"/>
    </xf>
    <xf numFmtId="0" fontId="25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2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2" fontId="21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30" fillId="5" borderId="2" xfId="2" applyFont="1" applyFill="1" applyBorder="1" applyAlignment="1" applyProtection="1">
      <alignment horizontal="center" vertical="center" wrapText="1"/>
      <protection locked="0"/>
    </xf>
    <xf numFmtId="2" fontId="30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30" fillId="8" borderId="2" xfId="2" applyFont="1" applyFill="1" applyBorder="1" applyAlignment="1" applyProtection="1">
      <alignment horizontal="center" vertical="center"/>
      <protection locked="0"/>
    </xf>
    <xf numFmtId="11" fontId="0" fillId="0" borderId="0" xfId="0" applyNumberFormat="1"/>
    <xf numFmtId="0" fontId="11" fillId="0" borderId="0" xfId="4"/>
    <xf numFmtId="0" fontId="31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175" fontId="11" fillId="0" borderId="0" xfId="1" applyNumberFormat="1" applyFon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2" fillId="0" borderId="0" xfId="0" applyFont="1"/>
    <xf numFmtId="0" fontId="2" fillId="0" borderId="0" xfId="0" applyFont="1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G2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53" t="s">
        <v>12</v>
      </c>
      <c r="B4" s="155"/>
      <c r="C4" s="32">
        <v>2016</v>
      </c>
      <c r="D4" s="65" t="s">
        <v>34</v>
      </c>
      <c r="E4" s="61"/>
    </row>
    <row r="5" spans="1:7" ht="15.75" thickBot="1" x14ac:dyDescent="0.3">
      <c r="A5" s="156" t="s">
        <v>17</v>
      </c>
      <c r="B5" s="157"/>
      <c r="C5" s="58">
        <v>536835</v>
      </c>
      <c r="D5" s="59">
        <f>+D13/C5</f>
        <v>10.257727122858977</v>
      </c>
      <c r="F5" s="152"/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53" t="s">
        <v>8</v>
      </c>
      <c r="B10" s="154"/>
      <c r="C10" s="155"/>
      <c r="D10" s="63">
        <v>2359387.54</v>
      </c>
      <c r="E10" s="12">
        <f>+D10/D13</f>
        <v>0.428457073475568</v>
      </c>
      <c r="F10" s="34">
        <v>220031</v>
      </c>
      <c r="G10" s="50">
        <f>+D10/F10</f>
        <v>10.722977853120696</v>
      </c>
    </row>
    <row r="11" spans="1:7" x14ac:dyDescent="0.25">
      <c r="A11" s="153" t="s">
        <v>13</v>
      </c>
      <c r="B11" s="154"/>
      <c r="C11" s="155"/>
      <c r="D11" s="63">
        <v>2160404.5099999998</v>
      </c>
      <c r="E11" s="12">
        <f>+D11/D13</f>
        <v>0.39232240493989318</v>
      </c>
      <c r="F11" s="27">
        <v>24507</v>
      </c>
      <c r="G11" s="50">
        <f>+D11/F11</f>
        <v>88.154588892969343</v>
      </c>
    </row>
    <row r="12" spans="1:7" x14ac:dyDescent="0.25">
      <c r="A12" s="153" t="s">
        <v>14</v>
      </c>
      <c r="B12" s="154"/>
      <c r="C12" s="155"/>
      <c r="D12" s="63">
        <v>986914.89</v>
      </c>
      <c r="E12" s="12">
        <f>+D12/D13</f>
        <v>0.17922052158453888</v>
      </c>
      <c r="F12" s="5"/>
      <c r="G12" s="39"/>
    </row>
    <row r="13" spans="1:7" ht="15.75" thickBot="1" x14ac:dyDescent="0.3">
      <c r="A13" s="40"/>
      <c r="B13" s="158" t="s">
        <v>9</v>
      </c>
      <c r="C13" s="157"/>
      <c r="D13" s="64">
        <f>SUM(D10:D12)</f>
        <v>5506706.9399999995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53" t="s">
        <v>28</v>
      </c>
      <c r="B18" s="154"/>
      <c r="C18" s="155"/>
      <c r="D18" s="6">
        <f>+'Known Resources'!B41*0.65</f>
        <v>6835283.0406250004</v>
      </c>
      <c r="E18" s="12">
        <f>+D18/(D18+D19)</f>
        <v>1.128710149866381</v>
      </c>
      <c r="F18" s="6">
        <f>+'Known Resources'!D41*0.65</f>
        <v>1942965.5222893429</v>
      </c>
      <c r="G18" s="39"/>
    </row>
    <row r="19" spans="1:8" ht="18" x14ac:dyDescent="0.35">
      <c r="A19" s="153" t="s">
        <v>29</v>
      </c>
      <c r="B19" s="154"/>
      <c r="C19" s="155"/>
      <c r="D19" s="51">
        <f>'Unknown Resources'!F61*0.65</f>
        <v>-779447.5</v>
      </c>
      <c r="E19" s="52">
        <f>+D19/(D18+D19)</f>
        <v>-0.12871014986638096</v>
      </c>
      <c r="F19" s="67">
        <f>+'Unknown Resources'!G61*0.65</f>
        <v>-136659.78876046775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2016</v>
      </c>
      <c r="E20" s="47" t="s">
        <v>2</v>
      </c>
      <c r="F20" s="68">
        <f>SUM(F18:F19)</f>
        <v>1806305.7335288753</v>
      </c>
      <c r="G20" s="70">
        <f>+F20/G22</f>
        <v>1.5957370585003452</v>
      </c>
    </row>
    <row r="21" spans="1:8" ht="18" x14ac:dyDescent="0.35">
      <c r="A21" t="s">
        <v>163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workbookViewId="0">
      <selection activeCell="C25" sqref="C25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2" max="12" width="35.7109375" bestFit="1" customWidth="1"/>
    <col min="14" max="14" width="12.7109375" bestFit="1" customWidth="1"/>
    <col min="18" max="18" width="15.85546875" bestFit="1" customWidth="1"/>
    <col min="20" max="20" width="12.7109375" bestFit="1" customWidth="1"/>
  </cols>
  <sheetData>
    <row r="1" spans="1:34" ht="18.75" x14ac:dyDescent="0.3">
      <c r="A1" s="3" t="s">
        <v>6</v>
      </c>
      <c r="B1" s="31">
        <f>+Summary!C4</f>
        <v>2016</v>
      </c>
    </row>
    <row r="2" spans="1:34" ht="18.75" x14ac:dyDescent="0.3">
      <c r="A2" s="3"/>
      <c r="B2" s="7" t="s">
        <v>27</v>
      </c>
      <c r="C2" s="7">
        <f>+Summary!C4</f>
        <v>2016</v>
      </c>
      <c r="D2" s="7" t="s">
        <v>3</v>
      </c>
    </row>
    <row r="3" spans="1:34" ht="19.5" x14ac:dyDescent="0.35">
      <c r="A3" s="4" t="s">
        <v>0</v>
      </c>
      <c r="B3" s="8">
        <f>+Summary!C4</f>
        <v>2016</v>
      </c>
      <c r="C3" s="8" t="s">
        <v>4</v>
      </c>
      <c r="D3" s="8" t="s">
        <v>5</v>
      </c>
      <c r="E3" s="2"/>
      <c r="F3" s="74" t="s">
        <v>81</v>
      </c>
      <c r="G3" s="75">
        <v>222</v>
      </c>
      <c r="H3" s="74" t="s">
        <v>82</v>
      </c>
      <c r="I3" s="76">
        <v>1455836</v>
      </c>
      <c r="K3" t="s">
        <v>164</v>
      </c>
      <c r="L3" t="s">
        <v>165</v>
      </c>
      <c r="M3" t="s">
        <v>166</v>
      </c>
      <c r="N3" t="s">
        <v>167</v>
      </c>
      <c r="O3" t="s">
        <v>168</v>
      </c>
      <c r="P3" t="s">
        <v>169</v>
      </c>
      <c r="Q3" t="s">
        <v>170</v>
      </c>
      <c r="R3" t="s">
        <v>213</v>
      </c>
      <c r="S3" t="s">
        <v>171</v>
      </c>
      <c r="T3" t="s">
        <v>172</v>
      </c>
    </row>
    <row r="4" spans="1:34" x14ac:dyDescent="0.25">
      <c r="A4" s="26" t="s">
        <v>36</v>
      </c>
      <c r="B4" s="27">
        <f>0.15*(R7+R8)</f>
        <v>1612749.9224999996</v>
      </c>
      <c r="C4" s="135">
        <f>D4*2000/B4</f>
        <v>2077.199516839537</v>
      </c>
      <c r="D4" s="6">
        <f>0.15*(S7+S8)</f>
        <v>1675001.6799000001</v>
      </c>
      <c r="F4" s="74" t="s">
        <v>83</v>
      </c>
      <c r="G4" s="75">
        <v>149</v>
      </c>
      <c r="H4" s="74" t="s">
        <v>84</v>
      </c>
      <c r="I4" s="76">
        <v>40615</v>
      </c>
      <c r="K4" t="s">
        <v>173</v>
      </c>
      <c r="L4" t="s">
        <v>174</v>
      </c>
      <c r="M4">
        <v>7456</v>
      </c>
      <c r="N4">
        <v>1</v>
      </c>
      <c r="P4">
        <v>2016</v>
      </c>
      <c r="Q4" t="s">
        <v>175</v>
      </c>
      <c r="R4">
        <v>18484.55</v>
      </c>
      <c r="S4">
        <v>11173.98</v>
      </c>
      <c r="T4">
        <v>188024.21100000001</v>
      </c>
    </row>
    <row r="5" spans="1:34" x14ac:dyDescent="0.25">
      <c r="A5" s="28" t="s">
        <v>37</v>
      </c>
      <c r="B5" s="27">
        <f>R4+R5</f>
        <v>41465.47</v>
      </c>
      <c r="C5" s="135">
        <f>D5*2000/B5</f>
        <v>1219.5527989915465</v>
      </c>
      <c r="D5" s="6">
        <f>S4+S5</f>
        <v>25284.665000000001</v>
      </c>
      <c r="F5" s="74" t="s">
        <v>85</v>
      </c>
      <c r="G5" s="75">
        <v>61.2</v>
      </c>
      <c r="H5" s="74" t="s">
        <v>84</v>
      </c>
      <c r="I5" s="76">
        <v>1087</v>
      </c>
      <c r="K5" t="s">
        <v>173</v>
      </c>
      <c r="L5" t="s">
        <v>174</v>
      </c>
      <c r="M5">
        <v>7456</v>
      </c>
      <c r="N5">
        <v>2</v>
      </c>
      <c r="P5">
        <v>2016</v>
      </c>
      <c r="Q5" t="s">
        <v>175</v>
      </c>
      <c r="R5">
        <v>22980.92</v>
      </c>
      <c r="S5">
        <v>14110.684999999999</v>
      </c>
      <c r="T5">
        <v>237434.02499999999</v>
      </c>
    </row>
    <row r="6" spans="1:34" x14ac:dyDescent="0.25">
      <c r="A6" s="28" t="s">
        <v>38</v>
      </c>
      <c r="B6" s="27">
        <f t="shared" ref="B6:B7" si="0">I5</f>
        <v>1087</v>
      </c>
      <c r="C6" s="135">
        <f>(U28*2204.62262)/B6</f>
        <v>1540.2471568034762</v>
      </c>
      <c r="D6" s="6">
        <f t="shared" ref="D6:D10" si="1">(+B6*C6)/2000</f>
        <v>837.12432972268937</v>
      </c>
      <c r="F6" s="74" t="s">
        <v>86</v>
      </c>
      <c r="G6" s="75">
        <v>24</v>
      </c>
      <c r="H6" s="74" t="s">
        <v>84</v>
      </c>
      <c r="I6" s="76">
        <v>18358</v>
      </c>
      <c r="K6" t="s">
        <v>173</v>
      </c>
      <c r="L6" t="s">
        <v>176</v>
      </c>
      <c r="M6">
        <v>55179</v>
      </c>
      <c r="N6" t="s">
        <v>177</v>
      </c>
      <c r="P6">
        <v>2016</v>
      </c>
      <c r="Q6" t="s">
        <v>175</v>
      </c>
      <c r="R6">
        <v>1331972.6599999999</v>
      </c>
      <c r="S6">
        <v>552764.82299999997</v>
      </c>
      <c r="T6">
        <v>9301340.8870000001</v>
      </c>
    </row>
    <row r="7" spans="1:34" x14ac:dyDescent="0.25">
      <c r="A7" s="28" t="s">
        <v>39</v>
      </c>
      <c r="B7" s="27">
        <f t="shared" si="0"/>
        <v>18358</v>
      </c>
      <c r="C7" s="135">
        <f>(U29*2204.62262)/B7</f>
        <v>1075.3072418513536</v>
      </c>
      <c r="D7" s="6">
        <f t="shared" si="1"/>
        <v>9870.2451729535751</v>
      </c>
      <c r="F7" s="74" t="s">
        <v>87</v>
      </c>
      <c r="G7" s="75">
        <v>278.3</v>
      </c>
      <c r="H7" s="74" t="s">
        <v>84</v>
      </c>
      <c r="I7" s="76">
        <v>1765406</v>
      </c>
      <c r="K7" t="s">
        <v>178</v>
      </c>
      <c r="L7" t="s">
        <v>179</v>
      </c>
      <c r="M7">
        <v>6076</v>
      </c>
      <c r="N7">
        <v>3</v>
      </c>
      <c r="P7">
        <v>2016</v>
      </c>
      <c r="Q7" t="s">
        <v>175</v>
      </c>
      <c r="R7">
        <v>5633089.0099999998</v>
      </c>
      <c r="S7">
        <v>5894410.409</v>
      </c>
      <c r="T7" s="140">
        <v>56201471.214000002</v>
      </c>
    </row>
    <row r="8" spans="1:34" x14ac:dyDescent="0.25">
      <c r="A8" s="28" t="s">
        <v>40</v>
      </c>
      <c r="B8" s="27">
        <f>R9</f>
        <v>1790560.01</v>
      </c>
      <c r="C8" s="135">
        <f>(D8*2000)/B8</f>
        <v>810.01176609545746</v>
      </c>
      <c r="D8" s="6">
        <f>S9</f>
        <v>725187.33799999999</v>
      </c>
      <c r="F8" s="74" t="s">
        <v>88</v>
      </c>
      <c r="G8" s="75">
        <v>6.9</v>
      </c>
      <c r="H8" s="74" t="s">
        <v>84</v>
      </c>
      <c r="I8" s="77">
        <v>2730</v>
      </c>
      <c r="K8" t="s">
        <v>178</v>
      </c>
      <c r="L8" t="s">
        <v>179</v>
      </c>
      <c r="M8">
        <v>6076</v>
      </c>
      <c r="N8">
        <v>4</v>
      </c>
      <c r="P8">
        <v>2016</v>
      </c>
      <c r="Q8" t="s">
        <v>175</v>
      </c>
      <c r="R8">
        <v>5118577.1399999997</v>
      </c>
      <c r="S8">
        <v>5272267.4570000004</v>
      </c>
      <c r="T8" s="140">
        <v>50269533.001000002</v>
      </c>
    </row>
    <row r="9" spans="1:34" x14ac:dyDescent="0.25">
      <c r="A9" s="28" t="s">
        <v>41</v>
      </c>
      <c r="B9" s="27">
        <f t="shared" ref="B9:B18" si="2">I8</f>
        <v>2730</v>
      </c>
      <c r="C9" s="135">
        <f>(U31*2204.62262)/B9</f>
        <v>169.85435627351836</v>
      </c>
      <c r="D9" s="6">
        <f t="shared" si="1"/>
        <v>231.85119631335255</v>
      </c>
      <c r="F9" s="74" t="s">
        <v>89</v>
      </c>
      <c r="G9" s="78">
        <v>50</v>
      </c>
      <c r="H9" s="74" t="s">
        <v>90</v>
      </c>
      <c r="I9" s="76">
        <v>338406</v>
      </c>
      <c r="K9" t="s">
        <v>180</v>
      </c>
      <c r="L9" t="s">
        <v>181</v>
      </c>
      <c r="M9">
        <v>7350</v>
      </c>
      <c r="N9" t="s">
        <v>182</v>
      </c>
      <c r="P9">
        <v>2016</v>
      </c>
      <c r="Q9" t="s">
        <v>175</v>
      </c>
      <c r="R9">
        <v>1790560.01</v>
      </c>
      <c r="S9">
        <v>725187.33799999999</v>
      </c>
      <c r="T9" s="140">
        <v>12202643.199999999</v>
      </c>
      <c r="Y9" t="s">
        <v>164</v>
      </c>
      <c r="Z9" t="s">
        <v>165</v>
      </c>
      <c r="AA9" t="s">
        <v>166</v>
      </c>
      <c r="AB9" t="s">
        <v>167</v>
      </c>
      <c r="AC9" t="s">
        <v>168</v>
      </c>
      <c r="AD9" t="s">
        <v>169</v>
      </c>
      <c r="AE9" t="s">
        <v>170</v>
      </c>
      <c r="AF9" t="s">
        <v>213</v>
      </c>
      <c r="AG9" t="s">
        <v>171</v>
      </c>
      <c r="AH9" t="s">
        <v>172</v>
      </c>
    </row>
    <row r="10" spans="1:34" x14ac:dyDescent="0.25">
      <c r="A10" s="28" t="s">
        <v>100</v>
      </c>
      <c r="B10" s="27">
        <f t="shared" si="2"/>
        <v>338406</v>
      </c>
      <c r="C10" s="135">
        <v>0</v>
      </c>
      <c r="D10" s="6">
        <f t="shared" si="1"/>
        <v>0</v>
      </c>
      <c r="F10" s="74" t="s">
        <v>91</v>
      </c>
      <c r="G10" s="75">
        <v>15</v>
      </c>
      <c r="H10" s="74" t="s">
        <v>92</v>
      </c>
      <c r="I10" s="76">
        <v>96851</v>
      </c>
      <c r="Y10" t="s">
        <v>173</v>
      </c>
      <c r="Z10" t="s">
        <v>174</v>
      </c>
      <c r="AA10">
        <v>7456</v>
      </c>
      <c r="AB10">
        <v>1</v>
      </c>
      <c r="AD10">
        <v>2017</v>
      </c>
      <c r="AE10" t="s">
        <v>175</v>
      </c>
      <c r="AF10">
        <v>28817.27</v>
      </c>
      <c r="AG10">
        <v>17487.900000000001</v>
      </c>
      <c r="AH10">
        <v>294282.85800000001</v>
      </c>
    </row>
    <row r="11" spans="1:34" x14ac:dyDescent="0.25">
      <c r="A11" s="28" t="s">
        <v>42</v>
      </c>
      <c r="B11" s="27">
        <f t="shared" si="2"/>
        <v>96851</v>
      </c>
      <c r="C11" s="135">
        <v>0</v>
      </c>
      <c r="D11" s="6">
        <f t="shared" ref="D11:D40" si="3">(+B11*C11)/2000</f>
        <v>0</v>
      </c>
      <c r="F11" s="74" t="s">
        <v>93</v>
      </c>
      <c r="G11" s="75">
        <v>15</v>
      </c>
      <c r="H11" s="74" t="s">
        <v>92</v>
      </c>
      <c r="I11" s="76">
        <v>88444</v>
      </c>
      <c r="Y11" t="s">
        <v>173</v>
      </c>
      <c r="Z11" t="s">
        <v>174</v>
      </c>
      <c r="AA11">
        <v>7456</v>
      </c>
      <c r="AB11">
        <v>2</v>
      </c>
      <c r="AD11">
        <v>2017</v>
      </c>
      <c r="AE11" t="s">
        <v>175</v>
      </c>
      <c r="AF11">
        <v>43234.9</v>
      </c>
      <c r="AG11">
        <v>26097.793000000001</v>
      </c>
      <c r="AH11">
        <v>439137.54399999999</v>
      </c>
    </row>
    <row r="12" spans="1:34" x14ac:dyDescent="0.25">
      <c r="A12" s="28" t="s">
        <v>43</v>
      </c>
      <c r="B12" s="27">
        <f t="shared" si="2"/>
        <v>88444</v>
      </c>
      <c r="C12" s="135">
        <v>0</v>
      </c>
      <c r="D12" s="6">
        <f t="shared" si="3"/>
        <v>0</v>
      </c>
      <c r="F12" s="74" t="s">
        <v>94</v>
      </c>
      <c r="G12" s="75">
        <v>20</v>
      </c>
      <c r="H12" s="74" t="s">
        <v>92</v>
      </c>
      <c r="I12" s="76">
        <v>108780</v>
      </c>
      <c r="Y12" t="s">
        <v>173</v>
      </c>
      <c r="Z12" t="s">
        <v>176</v>
      </c>
      <c r="AA12">
        <v>55179</v>
      </c>
      <c r="AB12" t="s">
        <v>177</v>
      </c>
      <c r="AD12">
        <v>2017</v>
      </c>
      <c r="AE12" t="s">
        <v>175</v>
      </c>
      <c r="AF12">
        <v>1353341.87</v>
      </c>
      <c r="AG12">
        <v>562896.57499999995</v>
      </c>
      <c r="AH12">
        <v>9471860.0189999994</v>
      </c>
    </row>
    <row r="13" spans="1:34" x14ac:dyDescent="0.25">
      <c r="A13" s="28" t="s">
        <v>44</v>
      </c>
      <c r="B13" s="27">
        <f t="shared" si="2"/>
        <v>108780</v>
      </c>
      <c r="C13" s="135">
        <f t="shared" ref="C13:C18" si="4">(V20*2204.62262)/B13</f>
        <v>0</v>
      </c>
      <c r="D13" s="6">
        <f t="shared" si="3"/>
        <v>0</v>
      </c>
      <c r="F13" s="74" t="s">
        <v>95</v>
      </c>
      <c r="G13" s="75">
        <v>36</v>
      </c>
      <c r="H13" s="74" t="s">
        <v>92</v>
      </c>
      <c r="I13" s="76">
        <v>182385</v>
      </c>
      <c r="Y13" t="s">
        <v>178</v>
      </c>
      <c r="Z13" t="s">
        <v>179</v>
      </c>
      <c r="AA13">
        <v>6076</v>
      </c>
      <c r="AB13">
        <v>1</v>
      </c>
      <c r="AD13">
        <v>2017</v>
      </c>
      <c r="AE13" t="s">
        <v>175</v>
      </c>
      <c r="AF13">
        <v>1792272.15</v>
      </c>
      <c r="AG13">
        <v>1945021.754</v>
      </c>
      <c r="AH13" s="140">
        <v>18556303.588</v>
      </c>
    </row>
    <row r="14" spans="1:34" x14ac:dyDescent="0.25">
      <c r="A14" s="28" t="s">
        <v>45</v>
      </c>
      <c r="B14" s="27">
        <f t="shared" si="2"/>
        <v>182385</v>
      </c>
      <c r="C14" s="135">
        <f t="shared" si="4"/>
        <v>0</v>
      </c>
      <c r="D14" s="6">
        <f t="shared" si="3"/>
        <v>0</v>
      </c>
      <c r="F14" s="74" t="s">
        <v>96</v>
      </c>
      <c r="G14" s="75">
        <v>88</v>
      </c>
      <c r="H14" s="74" t="s">
        <v>92</v>
      </c>
      <c r="I14" s="76">
        <v>525331</v>
      </c>
      <c r="Y14" t="s">
        <v>178</v>
      </c>
      <c r="Z14" t="s">
        <v>179</v>
      </c>
      <c r="AA14">
        <v>6076</v>
      </c>
      <c r="AB14">
        <v>2</v>
      </c>
      <c r="AD14">
        <v>2017</v>
      </c>
      <c r="AE14" t="s">
        <v>175</v>
      </c>
      <c r="AF14">
        <v>2180091.2000000002</v>
      </c>
      <c r="AG14">
        <v>2445266.577</v>
      </c>
      <c r="AH14" s="140">
        <v>23321104.259</v>
      </c>
    </row>
    <row r="15" spans="1:34" x14ac:dyDescent="0.25">
      <c r="A15" s="28" t="s">
        <v>46</v>
      </c>
      <c r="B15" s="27">
        <f t="shared" si="2"/>
        <v>525331</v>
      </c>
      <c r="C15" s="135">
        <f t="shared" si="4"/>
        <v>0</v>
      </c>
      <c r="D15" s="6">
        <f t="shared" si="3"/>
        <v>0</v>
      </c>
      <c r="F15" s="74" t="s">
        <v>97</v>
      </c>
      <c r="G15" s="75">
        <v>10.199999999999999</v>
      </c>
      <c r="H15" s="74" t="s">
        <v>92</v>
      </c>
      <c r="I15" s="76">
        <v>62708</v>
      </c>
      <c r="Y15" t="s">
        <v>178</v>
      </c>
      <c r="Z15" t="s">
        <v>179</v>
      </c>
      <c r="AA15">
        <v>6076</v>
      </c>
      <c r="AB15">
        <v>3</v>
      </c>
      <c r="AD15">
        <v>2017</v>
      </c>
      <c r="AE15" t="s">
        <v>175</v>
      </c>
      <c r="AF15">
        <v>5029732.62</v>
      </c>
      <c r="AG15">
        <v>5178017.9709999999</v>
      </c>
      <c r="AH15" s="140">
        <v>49370890.696000002</v>
      </c>
    </row>
    <row r="16" spans="1:34" x14ac:dyDescent="0.25">
      <c r="A16" s="28" t="s">
        <v>47</v>
      </c>
      <c r="B16" s="27">
        <f t="shared" si="2"/>
        <v>62708</v>
      </c>
      <c r="C16" s="135">
        <f t="shared" si="4"/>
        <v>0</v>
      </c>
      <c r="D16" s="6">
        <f t="shared" si="3"/>
        <v>0</v>
      </c>
      <c r="F16" s="74" t="s">
        <v>98</v>
      </c>
      <c r="G16" s="75">
        <v>273</v>
      </c>
      <c r="H16" s="74" t="s">
        <v>92</v>
      </c>
      <c r="I16" s="76">
        <v>1075975</v>
      </c>
      <c r="Y16" t="s">
        <v>178</v>
      </c>
      <c r="Z16" t="s">
        <v>179</v>
      </c>
      <c r="AA16">
        <v>6076</v>
      </c>
      <c r="AB16">
        <v>4</v>
      </c>
      <c r="AD16">
        <v>2017</v>
      </c>
      <c r="AE16" t="s">
        <v>175</v>
      </c>
      <c r="AF16">
        <v>5705121.25</v>
      </c>
      <c r="AG16">
        <v>5672252.4819999998</v>
      </c>
      <c r="AH16" s="140">
        <v>54083267.141999997</v>
      </c>
    </row>
    <row r="17" spans="1:34" x14ac:dyDescent="0.25">
      <c r="A17" s="28" t="s">
        <v>48</v>
      </c>
      <c r="B17" s="27">
        <f t="shared" si="2"/>
        <v>1075975</v>
      </c>
      <c r="C17" s="135">
        <f t="shared" si="4"/>
        <v>0</v>
      </c>
      <c r="D17" s="6">
        <f t="shared" si="3"/>
        <v>0</v>
      </c>
      <c r="F17" s="74" t="s">
        <v>99</v>
      </c>
      <c r="G17" s="75">
        <v>562.4</v>
      </c>
      <c r="H17" s="74" t="s">
        <v>92</v>
      </c>
      <c r="I17" s="76">
        <v>1695642</v>
      </c>
      <c r="Y17" t="s">
        <v>180</v>
      </c>
      <c r="Z17" t="s">
        <v>181</v>
      </c>
      <c r="AA17">
        <v>7350</v>
      </c>
      <c r="AB17" t="s">
        <v>225</v>
      </c>
      <c r="AD17">
        <v>2017</v>
      </c>
      <c r="AE17" t="s">
        <v>175</v>
      </c>
      <c r="AF17">
        <v>1241610.1299999999</v>
      </c>
      <c r="AG17">
        <v>503653.24800000002</v>
      </c>
      <c r="AH17">
        <v>8474929.6300000008</v>
      </c>
    </row>
    <row r="18" spans="1:34" x14ac:dyDescent="0.25">
      <c r="A18" s="28" t="s">
        <v>49</v>
      </c>
      <c r="B18" s="27">
        <f t="shared" si="2"/>
        <v>1695642</v>
      </c>
      <c r="C18" s="135">
        <f t="shared" si="4"/>
        <v>0</v>
      </c>
      <c r="D18" s="6">
        <f t="shared" si="3"/>
        <v>0</v>
      </c>
      <c r="Y18" t="s">
        <v>180</v>
      </c>
      <c r="Z18" t="s">
        <v>181</v>
      </c>
      <c r="AA18">
        <v>7350</v>
      </c>
      <c r="AB18" t="s">
        <v>182</v>
      </c>
      <c r="AD18">
        <v>2017</v>
      </c>
      <c r="AE18" t="s">
        <v>175</v>
      </c>
      <c r="AF18">
        <v>1677644.67</v>
      </c>
      <c r="AG18">
        <v>685416.21900000004</v>
      </c>
      <c r="AH18" s="140">
        <v>11533460.34</v>
      </c>
    </row>
    <row r="19" spans="1:34" x14ac:dyDescent="0.25">
      <c r="A19" s="28" t="s">
        <v>74</v>
      </c>
      <c r="B19" s="27">
        <f>R6</f>
        <v>1331972.6599999999</v>
      </c>
      <c r="C19" s="135">
        <f>(D19*2000)/B19</f>
        <v>829.99424777983063</v>
      </c>
      <c r="D19" s="6">
        <f>S6</f>
        <v>552764.82299999997</v>
      </c>
    </row>
    <row r="20" spans="1:34" ht="15.75" x14ac:dyDescent="0.25">
      <c r="A20" s="28" t="s">
        <v>152</v>
      </c>
      <c r="B20" s="27">
        <v>0</v>
      </c>
      <c r="C20" s="27">
        <v>0</v>
      </c>
      <c r="D20" s="6">
        <f t="shared" si="3"/>
        <v>0</v>
      </c>
      <c r="E20" s="146"/>
      <c r="F20" s="81">
        <v>2016</v>
      </c>
      <c r="G20" s="80"/>
      <c r="H20" s="82"/>
      <c r="I20" s="83" t="s">
        <v>101</v>
      </c>
      <c r="J20" s="83" t="s">
        <v>102</v>
      </c>
      <c r="K20" s="84" t="s">
        <v>103</v>
      </c>
      <c r="L20" s="85" t="s">
        <v>104</v>
      </c>
      <c r="M20" s="84" t="s">
        <v>105</v>
      </c>
      <c r="N20" s="84" t="s">
        <v>106</v>
      </c>
      <c r="O20" s="84" t="s">
        <v>107</v>
      </c>
      <c r="P20" s="85" t="s">
        <v>108</v>
      </c>
      <c r="Q20" s="85" t="s">
        <v>109</v>
      </c>
      <c r="R20" s="86" t="s">
        <v>110</v>
      </c>
      <c r="S20" s="86" t="s">
        <v>111</v>
      </c>
      <c r="T20" s="86" t="s">
        <v>112</v>
      </c>
      <c r="U20" s="87" t="s">
        <v>113</v>
      </c>
    </row>
    <row r="21" spans="1:34" ht="75.75" x14ac:dyDescent="0.25">
      <c r="A21" s="28" t="s">
        <v>162</v>
      </c>
      <c r="B21" s="27">
        <v>485844</v>
      </c>
      <c r="C21" s="27">
        <v>0</v>
      </c>
      <c r="D21" s="6">
        <f t="shared" si="3"/>
        <v>0</v>
      </c>
      <c r="F21" s="88"/>
      <c r="G21" s="89"/>
      <c r="H21" s="90"/>
      <c r="I21" s="91" t="s">
        <v>114</v>
      </c>
      <c r="J21" s="91" t="s">
        <v>115</v>
      </c>
      <c r="K21" s="91" t="s">
        <v>116</v>
      </c>
      <c r="L21" s="91" t="s">
        <v>117</v>
      </c>
      <c r="M21" s="91" t="s">
        <v>118</v>
      </c>
      <c r="N21" s="91" t="s">
        <v>119</v>
      </c>
      <c r="O21" s="91" t="s">
        <v>120</v>
      </c>
      <c r="P21" s="92" t="s">
        <v>121</v>
      </c>
      <c r="Q21" s="92" t="s">
        <v>122</v>
      </c>
      <c r="R21" s="92" t="s">
        <v>123</v>
      </c>
      <c r="S21" s="92" t="s">
        <v>124</v>
      </c>
      <c r="T21" s="92" t="s">
        <v>125</v>
      </c>
      <c r="U21" s="93" t="s">
        <v>126</v>
      </c>
    </row>
    <row r="22" spans="1:34" ht="30" x14ac:dyDescent="0.25">
      <c r="A22" s="28" t="s">
        <v>215</v>
      </c>
      <c r="B22" s="27">
        <v>3624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127</v>
      </c>
      <c r="N22" s="96" t="s">
        <v>128</v>
      </c>
      <c r="O22" s="96"/>
      <c r="P22" s="97"/>
      <c r="Q22" s="97"/>
      <c r="R22" s="98"/>
      <c r="S22" s="98"/>
      <c r="T22" s="93" t="s">
        <v>129</v>
      </c>
      <c r="U22" s="99" t="s">
        <v>130</v>
      </c>
    </row>
    <row r="23" spans="1:34" x14ac:dyDescent="0.25">
      <c r="A23" s="28" t="s">
        <v>153</v>
      </c>
      <c r="B23" s="27">
        <v>343757</v>
      </c>
      <c r="C23" s="27">
        <v>0</v>
      </c>
      <c r="D23" s="6">
        <f t="shared" si="3"/>
        <v>0</v>
      </c>
      <c r="F23" s="100" t="s">
        <v>131</v>
      </c>
      <c r="G23" s="101" t="s">
        <v>84</v>
      </c>
      <c r="H23" s="102">
        <v>0.5</v>
      </c>
      <c r="I23" s="103">
        <v>1000</v>
      </c>
      <c r="J23" s="104" t="s">
        <v>132</v>
      </c>
      <c r="K23" s="105">
        <v>5.0999999999999997E-2</v>
      </c>
      <c r="L23" s="106" t="s">
        <v>133</v>
      </c>
      <c r="M23" s="104" t="s">
        <v>134</v>
      </c>
      <c r="N23" s="103">
        <f>I23*K23</f>
        <v>51</v>
      </c>
      <c r="O23" s="107" t="s">
        <v>135</v>
      </c>
      <c r="P23" s="108">
        <v>14</v>
      </c>
      <c r="Q23" s="104" t="s">
        <v>136</v>
      </c>
      <c r="R23" s="137">
        <v>1</v>
      </c>
      <c r="S23" s="138">
        <v>1</v>
      </c>
      <c r="T23" s="109">
        <f>+N23*P23*R23*S23*3.66666666666667</f>
        <v>2618.0000000000023</v>
      </c>
      <c r="U23" s="110">
        <f>T23/1000</f>
        <v>2.6180000000000021</v>
      </c>
    </row>
    <row r="24" spans="1:34" x14ac:dyDescent="0.25">
      <c r="A24" s="28" t="s">
        <v>154</v>
      </c>
      <c r="B24" s="27">
        <v>9873</v>
      </c>
      <c r="C24" s="27">
        <v>0</v>
      </c>
      <c r="D24" s="6">
        <f t="shared" si="3"/>
        <v>0</v>
      </c>
      <c r="F24" s="111" t="s">
        <v>137</v>
      </c>
      <c r="G24" s="112" t="s">
        <v>138</v>
      </c>
      <c r="H24" s="112" t="s">
        <v>139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34" ht="30" x14ac:dyDescent="0.25">
      <c r="A25" s="28" t="s">
        <v>155</v>
      </c>
      <c r="B25" s="27">
        <v>1237</v>
      </c>
      <c r="C25" s="27">
        <v>0</v>
      </c>
      <c r="D25" s="6">
        <f t="shared" si="3"/>
        <v>0</v>
      </c>
      <c r="F25" s="118" t="s">
        <v>36</v>
      </c>
      <c r="G25" s="118" t="s">
        <v>82</v>
      </c>
      <c r="H25" s="139">
        <v>0.15</v>
      </c>
      <c r="I25" s="119">
        <v>929720</v>
      </c>
      <c r="J25" s="120" t="s">
        <v>140</v>
      </c>
      <c r="K25" s="121">
        <v>17.024999999999999</v>
      </c>
      <c r="L25" s="120" t="s">
        <v>141</v>
      </c>
      <c r="M25" s="120" t="s">
        <v>134</v>
      </c>
      <c r="N25" s="122">
        <f>I25*K25</f>
        <v>15828482.999999998</v>
      </c>
      <c r="O25" s="123" t="s">
        <v>142</v>
      </c>
      <c r="P25" s="124">
        <v>93.4</v>
      </c>
      <c r="Q25" s="123" t="s">
        <v>143</v>
      </c>
      <c r="R25" s="125">
        <v>0.98</v>
      </c>
      <c r="S25" s="126">
        <v>1</v>
      </c>
      <c r="T25" s="127">
        <f t="shared" ref="T25:T32" si="5">+N25*P25*R25*S25</f>
        <v>1448812705.9559999</v>
      </c>
      <c r="U25" s="127">
        <f t="shared" ref="U25:U32" si="6">T25/1000</f>
        <v>1448812.7059559999</v>
      </c>
    </row>
    <row r="26" spans="1:34" ht="25.5" x14ac:dyDescent="0.25">
      <c r="A26" s="28" t="s">
        <v>158</v>
      </c>
      <c r="B26" s="27">
        <v>349771</v>
      </c>
      <c r="C26" s="27">
        <v>0</v>
      </c>
      <c r="D26" s="6">
        <f t="shared" si="3"/>
        <v>0</v>
      </c>
      <c r="F26" s="118" t="s">
        <v>36</v>
      </c>
      <c r="G26" s="118" t="s">
        <v>144</v>
      </c>
      <c r="H26" s="128">
        <v>0.15</v>
      </c>
      <c r="I26" s="119">
        <v>2504</v>
      </c>
      <c r="J26" s="120" t="s">
        <v>145</v>
      </c>
      <c r="K26" s="124">
        <f>140000*42/1000000</f>
        <v>5.88</v>
      </c>
      <c r="L26" s="129" t="s">
        <v>146</v>
      </c>
      <c r="M26" s="120" t="s">
        <v>134</v>
      </c>
      <c r="N26" s="122">
        <f>(I26*K26)</f>
        <v>14723.52</v>
      </c>
      <c r="O26" s="123" t="s">
        <v>142</v>
      </c>
      <c r="P26" s="124">
        <v>73.959999999999994</v>
      </c>
      <c r="Q26" s="123" t="s">
        <v>143</v>
      </c>
      <c r="R26" s="125">
        <v>0.99</v>
      </c>
      <c r="S26" s="126">
        <v>1</v>
      </c>
      <c r="T26" s="127">
        <f t="shared" si="5"/>
        <v>1078062.0238079999</v>
      </c>
      <c r="U26" s="127">
        <f t="shared" si="6"/>
        <v>1078.0620238079998</v>
      </c>
    </row>
    <row r="27" spans="1:34" x14ac:dyDescent="0.25">
      <c r="A27" s="28" t="s">
        <v>156</v>
      </c>
      <c r="B27" s="27">
        <v>42</v>
      </c>
      <c r="C27" s="27">
        <v>0</v>
      </c>
      <c r="D27" s="6">
        <f t="shared" si="3"/>
        <v>0</v>
      </c>
      <c r="F27" s="118" t="s">
        <v>147</v>
      </c>
      <c r="G27" s="118" t="s">
        <v>84</v>
      </c>
      <c r="H27" s="128">
        <v>1</v>
      </c>
      <c r="I27" s="124">
        <v>497.33</v>
      </c>
      <c r="J27" s="120" t="s">
        <v>148</v>
      </c>
      <c r="K27" s="130">
        <v>1026</v>
      </c>
      <c r="L27" s="120" t="s">
        <v>149</v>
      </c>
      <c r="M27" s="120" t="s">
        <v>134</v>
      </c>
      <c r="N27" s="122">
        <f t="shared" ref="N27:N31" si="7">I27*K27</f>
        <v>510260.57999999996</v>
      </c>
      <c r="O27" s="123" t="s">
        <v>142</v>
      </c>
      <c r="P27" s="124">
        <v>53.06</v>
      </c>
      <c r="Q27" s="123" t="s">
        <v>143</v>
      </c>
      <c r="R27" s="125">
        <v>0.995</v>
      </c>
      <c r="S27" s="126">
        <v>1</v>
      </c>
      <c r="T27" s="127">
        <f t="shared" si="5"/>
        <v>26939054.242926002</v>
      </c>
      <c r="U27" s="127">
        <f t="shared" si="6"/>
        <v>26939.054242926002</v>
      </c>
    </row>
    <row r="28" spans="1:34" x14ac:dyDescent="0.25">
      <c r="A28" s="28" t="s">
        <v>157</v>
      </c>
      <c r="B28" s="27">
        <v>160591</v>
      </c>
      <c r="C28" s="27">
        <v>0</v>
      </c>
      <c r="D28" s="6">
        <f t="shared" si="3"/>
        <v>0</v>
      </c>
      <c r="F28" s="118" t="s">
        <v>150</v>
      </c>
      <c r="G28" s="118" t="s">
        <v>84</v>
      </c>
      <c r="H28" s="128">
        <v>1</v>
      </c>
      <c r="I28" s="124">
        <v>14.02</v>
      </c>
      <c r="J28" s="120" t="s">
        <v>148</v>
      </c>
      <c r="K28" s="130">
        <v>1026</v>
      </c>
      <c r="L28" s="120" t="s">
        <v>149</v>
      </c>
      <c r="M28" s="120" t="s">
        <v>134</v>
      </c>
      <c r="N28" s="122">
        <f t="shared" si="7"/>
        <v>14384.52</v>
      </c>
      <c r="O28" s="123" t="s">
        <v>142</v>
      </c>
      <c r="P28" s="124">
        <v>53.06</v>
      </c>
      <c r="Q28" s="123" t="s">
        <v>143</v>
      </c>
      <c r="R28" s="125">
        <v>0.995</v>
      </c>
      <c r="S28" s="126">
        <v>1</v>
      </c>
      <c r="T28" s="127">
        <f t="shared" si="5"/>
        <v>759426.41804400005</v>
      </c>
      <c r="U28" s="127">
        <f t="shared" si="6"/>
        <v>759.426418044</v>
      </c>
    </row>
    <row r="29" spans="1:34" x14ac:dyDescent="0.25">
      <c r="A29" s="28" t="s">
        <v>71</v>
      </c>
      <c r="B29" s="27">
        <v>14316</v>
      </c>
      <c r="C29" s="27">
        <v>0</v>
      </c>
      <c r="D29" s="6">
        <f t="shared" si="3"/>
        <v>0</v>
      </c>
      <c r="F29" s="118" t="s">
        <v>39</v>
      </c>
      <c r="G29" s="118" t="s">
        <v>84</v>
      </c>
      <c r="H29" s="128">
        <v>1</v>
      </c>
      <c r="I29" s="124">
        <v>165.30500000000001</v>
      </c>
      <c r="J29" s="120" t="s">
        <v>148</v>
      </c>
      <c r="K29" s="130">
        <v>1026</v>
      </c>
      <c r="L29" s="120" t="s">
        <v>149</v>
      </c>
      <c r="M29" s="120" t="s">
        <v>134</v>
      </c>
      <c r="N29" s="122">
        <f t="shared" si="7"/>
        <v>169602.93</v>
      </c>
      <c r="O29" s="123" t="s">
        <v>142</v>
      </c>
      <c r="P29" s="124">
        <v>53.06</v>
      </c>
      <c r="Q29" s="123" t="s">
        <v>143</v>
      </c>
      <c r="R29" s="125">
        <v>0.995</v>
      </c>
      <c r="S29" s="126">
        <v>1</v>
      </c>
      <c r="T29" s="127">
        <f t="shared" si="5"/>
        <v>8954135.8084709998</v>
      </c>
      <c r="U29" s="127">
        <f t="shared" si="6"/>
        <v>8954.1358084709991</v>
      </c>
    </row>
    <row r="30" spans="1:34" x14ac:dyDescent="0.25">
      <c r="A30" s="28" t="s">
        <v>71</v>
      </c>
      <c r="B30" s="27">
        <v>71024</v>
      </c>
      <c r="C30" s="27">
        <v>0</v>
      </c>
      <c r="D30" s="6">
        <f t="shared" si="3"/>
        <v>0</v>
      </c>
      <c r="F30" s="118" t="s">
        <v>40</v>
      </c>
      <c r="G30" s="118" t="s">
        <v>84</v>
      </c>
      <c r="H30" s="128">
        <v>1</v>
      </c>
      <c r="I30" s="124">
        <v>11870.089</v>
      </c>
      <c r="J30" s="120" t="s">
        <v>148</v>
      </c>
      <c r="K30" s="130">
        <v>1026</v>
      </c>
      <c r="L30" s="120" t="s">
        <v>149</v>
      </c>
      <c r="M30" s="120" t="s">
        <v>134</v>
      </c>
      <c r="N30" s="122">
        <f t="shared" si="7"/>
        <v>12178711.313999999</v>
      </c>
      <c r="O30" s="123" t="s">
        <v>142</v>
      </c>
      <c r="P30" s="124">
        <v>53.06</v>
      </c>
      <c r="Q30" s="123" t="s">
        <v>143</v>
      </c>
      <c r="R30" s="125">
        <v>0.995</v>
      </c>
      <c r="S30" s="126">
        <v>1</v>
      </c>
      <c r="T30" s="127">
        <f t="shared" si="5"/>
        <v>642971410.20923579</v>
      </c>
      <c r="U30" s="127">
        <f t="shared" si="6"/>
        <v>642971.41020923574</v>
      </c>
    </row>
    <row r="31" spans="1:34" x14ac:dyDescent="0.25">
      <c r="A31" s="28" t="s">
        <v>159</v>
      </c>
      <c r="B31" s="27">
        <v>10503</v>
      </c>
      <c r="C31" s="27">
        <v>0</v>
      </c>
      <c r="D31" s="6">
        <f t="shared" si="3"/>
        <v>0</v>
      </c>
      <c r="F31" s="118" t="s">
        <v>41</v>
      </c>
      <c r="G31" s="118" t="s">
        <v>84</v>
      </c>
      <c r="H31" s="128">
        <v>1</v>
      </c>
      <c r="I31" s="124">
        <v>3.883</v>
      </c>
      <c r="J31" s="120" t="s">
        <v>148</v>
      </c>
      <c r="K31" s="130">
        <v>1026</v>
      </c>
      <c r="L31" s="120" t="s">
        <v>149</v>
      </c>
      <c r="M31" s="120" t="s">
        <v>134</v>
      </c>
      <c r="N31" s="122">
        <f t="shared" si="7"/>
        <v>3983.9580000000001</v>
      </c>
      <c r="O31" s="123" t="s">
        <v>142</v>
      </c>
      <c r="P31" s="124">
        <v>53.06</v>
      </c>
      <c r="Q31" s="123" t="s">
        <v>143</v>
      </c>
      <c r="R31" s="125">
        <v>0.995</v>
      </c>
      <c r="S31" s="126">
        <v>1</v>
      </c>
      <c r="T31" s="127">
        <f t="shared" si="5"/>
        <v>210331.86742260001</v>
      </c>
      <c r="U31" s="127">
        <f t="shared" si="6"/>
        <v>210.33186742260003</v>
      </c>
    </row>
    <row r="32" spans="1:34" x14ac:dyDescent="0.25">
      <c r="A32" s="28" t="s">
        <v>160</v>
      </c>
      <c r="B32" s="27">
        <v>57674</v>
      </c>
      <c r="C32" s="27">
        <v>0</v>
      </c>
      <c r="D32" s="6">
        <f t="shared" si="3"/>
        <v>0</v>
      </c>
      <c r="F32" s="118"/>
      <c r="G32" s="131"/>
      <c r="H32" s="128">
        <v>1</v>
      </c>
      <c r="I32" s="124"/>
      <c r="J32" s="120"/>
      <c r="K32" s="119"/>
      <c r="L32" s="120"/>
      <c r="M32" s="120"/>
      <c r="N32" s="122">
        <f>I50*K32</f>
        <v>0</v>
      </c>
      <c r="O32" s="123"/>
      <c r="P32" s="119"/>
      <c r="Q32" s="123"/>
      <c r="R32" s="132"/>
      <c r="S32" s="126"/>
      <c r="T32" s="127">
        <f t="shared" si="5"/>
        <v>0</v>
      </c>
      <c r="U32" s="127">
        <f t="shared" si="6"/>
        <v>0</v>
      </c>
    </row>
    <row r="33" spans="1:21" x14ac:dyDescent="0.25">
      <c r="A33" s="28" t="s">
        <v>161</v>
      </c>
      <c r="B33" s="27">
        <v>920</v>
      </c>
      <c r="C33" s="27"/>
      <c r="D33" s="6">
        <f t="shared" si="3"/>
        <v>0</v>
      </c>
      <c r="F33" s="133" t="s">
        <v>151</v>
      </c>
      <c r="G33" s="134" t="s">
        <v>84</v>
      </c>
      <c r="H33" s="128">
        <v>1</v>
      </c>
      <c r="I33" s="124"/>
      <c r="J33" s="120" t="s">
        <v>148</v>
      </c>
      <c r="K33" s="130">
        <v>1026</v>
      </c>
      <c r="L33" s="120" t="s">
        <v>149</v>
      </c>
      <c r="M33" s="120" t="s">
        <v>134</v>
      </c>
      <c r="N33" s="122">
        <f>I33*K33</f>
        <v>0</v>
      </c>
      <c r="O33" s="123" t="s">
        <v>142</v>
      </c>
      <c r="P33" s="124">
        <v>53.06</v>
      </c>
      <c r="Q33" s="123" t="s">
        <v>143</v>
      </c>
      <c r="R33" s="125">
        <v>0.995</v>
      </c>
      <c r="S33" s="126">
        <v>1</v>
      </c>
      <c r="T33" s="127">
        <f>+N33*P33*R33*S33</f>
        <v>0</v>
      </c>
      <c r="U33" s="127">
        <f>T33/1000</f>
        <v>0</v>
      </c>
    </row>
    <row r="34" spans="1:21" x14ac:dyDescent="0.25">
      <c r="A34" s="28" t="s">
        <v>214</v>
      </c>
      <c r="B34" s="27">
        <v>33199</v>
      </c>
      <c r="C34" s="27"/>
      <c r="D34" s="6">
        <f t="shared" si="3"/>
        <v>0</v>
      </c>
    </row>
    <row r="35" spans="1:21" x14ac:dyDescent="0.25">
      <c r="A35" s="28"/>
      <c r="B35" s="27"/>
      <c r="C35" s="27"/>
      <c r="D35" s="6">
        <f t="shared" si="3"/>
        <v>0</v>
      </c>
    </row>
    <row r="36" spans="1:21" x14ac:dyDescent="0.25">
      <c r="A36" s="28"/>
      <c r="B36" s="27"/>
      <c r="C36" s="27"/>
      <c r="D36" s="6">
        <f t="shared" si="3"/>
        <v>0</v>
      </c>
    </row>
    <row r="37" spans="1:21" x14ac:dyDescent="0.25">
      <c r="A37" s="28"/>
      <c r="B37" s="27"/>
      <c r="C37" s="27"/>
      <c r="D37" s="6">
        <f t="shared" si="3"/>
        <v>0</v>
      </c>
      <c r="F37" s="71"/>
      <c r="G37" s="71"/>
      <c r="H37" s="72"/>
      <c r="I37" s="144"/>
      <c r="J37" s="144"/>
      <c r="K37" s="73"/>
      <c r="L37" s="143"/>
    </row>
    <row r="38" spans="1:21" x14ac:dyDescent="0.25">
      <c r="A38" s="28"/>
      <c r="B38" s="27"/>
      <c r="C38" s="27"/>
      <c r="D38" s="6">
        <f t="shared" si="3"/>
        <v>0</v>
      </c>
      <c r="F38" s="71"/>
      <c r="G38" s="71"/>
      <c r="H38" s="72"/>
      <c r="I38" s="144"/>
      <c r="J38" s="144"/>
      <c r="K38" s="73"/>
    </row>
    <row r="39" spans="1:21" x14ac:dyDescent="0.25">
      <c r="A39" s="28"/>
      <c r="B39" s="27"/>
      <c r="C39" s="27"/>
      <c r="D39" s="6">
        <f t="shared" si="3"/>
        <v>0</v>
      </c>
      <c r="F39" s="71"/>
      <c r="G39" s="71"/>
      <c r="H39" s="72"/>
      <c r="I39" s="144"/>
      <c r="J39" s="144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4"/>
      <c r="J40" s="144"/>
      <c r="K40" s="73"/>
    </row>
    <row r="41" spans="1:21" ht="16.5" thickTop="1" thickBot="1" x14ac:dyDescent="0.3">
      <c r="A41" s="1"/>
      <c r="B41" s="10">
        <f>SUM(B4:B40)</f>
        <v>10515820.0625</v>
      </c>
      <c r="C41" s="136">
        <f>(D41*2000)/B41</f>
        <v>568.51062662408299</v>
      </c>
      <c r="D41" s="10">
        <f>SUM(D4:D40)</f>
        <v>2989177.7265989892</v>
      </c>
    </row>
    <row r="45" spans="1:21" x14ac:dyDescent="0.25">
      <c r="A45" s="71"/>
      <c r="B45" s="71"/>
      <c r="C45" s="72"/>
      <c r="D45" s="73"/>
    </row>
    <row r="46" spans="1:21" x14ac:dyDescent="0.25">
      <c r="A46" s="71"/>
      <c r="B46" s="71"/>
      <c r="C46" s="72"/>
      <c r="D46" s="7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A43" workbookViewId="0">
      <selection activeCell="G5" sqref="G5:G59"/>
    </sheetView>
  </sheetViews>
  <sheetFormatPr defaultRowHeight="15" x14ac:dyDescent="0.25"/>
  <cols>
    <col min="1" max="1" width="50" bestFit="1" customWidth="1"/>
    <col min="2" max="2" width="10.85546875" customWidth="1"/>
    <col min="4" max="4" width="30.28515625" customWidth="1"/>
    <col min="6" max="6" width="10.5703125" bestFit="1" customWidth="1"/>
    <col min="7" max="7" width="16" bestFit="1" customWidth="1"/>
    <col min="8" max="8" width="11.140625" bestFit="1" customWidth="1"/>
  </cols>
  <sheetData>
    <row r="1" spans="1:17" ht="16.5" thickBot="1" x14ac:dyDescent="0.3">
      <c r="A1" s="149" t="s">
        <v>216</v>
      </c>
      <c r="B1" s="150">
        <v>2016</v>
      </c>
      <c r="G1" s="159"/>
      <c r="H1" s="159"/>
      <c r="I1" s="159"/>
      <c r="J1" s="159"/>
      <c r="K1" s="145"/>
      <c r="Q1" s="143"/>
    </row>
    <row r="2" spans="1:17" ht="18" x14ac:dyDescent="0.35">
      <c r="A2" s="142"/>
      <c r="B2" s="160" t="s">
        <v>217</v>
      </c>
      <c r="C2" s="160"/>
      <c r="D2" s="160"/>
      <c r="E2" s="161"/>
      <c r="F2" s="33">
        <v>895</v>
      </c>
      <c r="G2" t="s">
        <v>218</v>
      </c>
      <c r="H2" s="141"/>
      <c r="I2" s="141"/>
      <c r="J2" s="141"/>
    </row>
    <row r="3" spans="1:17" ht="18" x14ac:dyDescent="0.35">
      <c r="E3" t="s">
        <v>219</v>
      </c>
      <c r="F3" s="146">
        <f>'Known Resources'!C41</f>
        <v>568.51062662408299</v>
      </c>
      <c r="G3" t="s">
        <v>218</v>
      </c>
    </row>
    <row r="4" spans="1:17" ht="45" x14ac:dyDescent="0.25">
      <c r="A4" s="147" t="s">
        <v>183</v>
      </c>
      <c r="B4" s="147" t="s">
        <v>184</v>
      </c>
      <c r="C4" s="147"/>
      <c r="D4" s="147" t="s">
        <v>183</v>
      </c>
      <c r="E4" s="147" t="s">
        <v>185</v>
      </c>
      <c r="F4" s="147" t="s">
        <v>220</v>
      </c>
      <c r="G4" s="148" t="s">
        <v>221</v>
      </c>
      <c r="H4" s="148"/>
    </row>
    <row r="5" spans="1:17" x14ac:dyDescent="0.25">
      <c r="A5" s="71" t="s">
        <v>50</v>
      </c>
      <c r="B5" s="73">
        <v>100</v>
      </c>
      <c r="D5" s="71"/>
      <c r="E5" s="71"/>
      <c r="F5" s="143">
        <f>B5-E5</f>
        <v>100</v>
      </c>
      <c r="G5" s="143">
        <f>IF(F5&gt;0,F5*$F$2,F5*$F$3)</f>
        <v>89500</v>
      </c>
      <c r="H5" s="143"/>
    </row>
    <row r="6" spans="1:17" x14ac:dyDescent="0.25">
      <c r="A6" s="71" t="s">
        <v>186</v>
      </c>
      <c r="B6" s="73">
        <v>144787</v>
      </c>
      <c r="D6" s="71" t="s">
        <v>186</v>
      </c>
      <c r="E6" s="73">
        <v>323403</v>
      </c>
      <c r="F6" s="143">
        <f t="shared" ref="F6:F59" si="0">B6-E6</f>
        <v>-178616</v>
      </c>
      <c r="G6" s="143">
        <f t="shared" ref="G6:G59" si="1">IF(F6&gt;0,F6*$F$2,F6*$F$3)</f>
        <v>-101545094.08508721</v>
      </c>
      <c r="H6" s="143"/>
    </row>
    <row r="7" spans="1:17" x14ac:dyDescent="0.25">
      <c r="A7" s="71" t="s">
        <v>51</v>
      </c>
      <c r="B7" s="73">
        <v>1400</v>
      </c>
      <c r="D7" s="71" t="s">
        <v>51</v>
      </c>
      <c r="E7" s="73">
        <v>40</v>
      </c>
      <c r="F7" s="143">
        <f t="shared" si="0"/>
        <v>1360</v>
      </c>
      <c r="G7" s="143">
        <f t="shared" si="1"/>
        <v>1217200</v>
      </c>
      <c r="H7" s="143"/>
    </row>
    <row r="8" spans="1:17" x14ac:dyDescent="0.25">
      <c r="A8" s="71" t="s">
        <v>187</v>
      </c>
      <c r="B8" s="73">
        <v>579356</v>
      </c>
      <c r="D8" s="71" t="s">
        <v>187</v>
      </c>
      <c r="E8" s="73">
        <v>125799</v>
      </c>
      <c r="F8" s="143">
        <f t="shared" si="0"/>
        <v>453557</v>
      </c>
      <c r="G8" s="143">
        <f t="shared" si="1"/>
        <v>405933515</v>
      </c>
      <c r="H8" s="143"/>
    </row>
    <row r="9" spans="1:17" x14ac:dyDescent="0.25">
      <c r="A9" s="71" t="s">
        <v>52</v>
      </c>
      <c r="B9" s="73">
        <v>4600</v>
      </c>
      <c r="D9" s="71" t="s">
        <v>52</v>
      </c>
      <c r="E9" s="73">
        <v>27990</v>
      </c>
      <c r="F9" s="143">
        <f t="shared" si="0"/>
        <v>-23390</v>
      </c>
      <c r="G9" s="143">
        <f t="shared" si="1"/>
        <v>-13297463.556737302</v>
      </c>
      <c r="H9" s="143"/>
    </row>
    <row r="10" spans="1:17" x14ac:dyDescent="0.25">
      <c r="A10" s="71" t="s">
        <v>190</v>
      </c>
      <c r="B10" s="73">
        <v>46</v>
      </c>
      <c r="D10" s="71" t="s">
        <v>188</v>
      </c>
      <c r="E10" s="73">
        <v>56</v>
      </c>
      <c r="F10" s="143">
        <f t="shared" si="0"/>
        <v>-10</v>
      </c>
      <c r="G10" s="143">
        <f t="shared" si="1"/>
        <v>-5685.1062662408294</v>
      </c>
      <c r="H10" s="143"/>
    </row>
    <row r="11" spans="1:17" x14ac:dyDescent="0.25">
      <c r="A11" s="71" t="s">
        <v>189</v>
      </c>
      <c r="B11" s="73">
        <v>505</v>
      </c>
      <c r="D11" s="71" t="s">
        <v>189</v>
      </c>
      <c r="E11" s="73">
        <v>262</v>
      </c>
      <c r="F11" s="143">
        <f t="shared" si="0"/>
        <v>243</v>
      </c>
      <c r="G11" s="143">
        <f t="shared" si="1"/>
        <v>217485</v>
      </c>
      <c r="H11" s="143"/>
    </row>
    <row r="12" spans="1:17" x14ac:dyDescent="0.25">
      <c r="A12" s="71" t="s">
        <v>53</v>
      </c>
      <c r="B12" s="73">
        <v>21065</v>
      </c>
      <c r="D12" s="71" t="s">
        <v>53</v>
      </c>
      <c r="E12" s="73">
        <v>26288</v>
      </c>
      <c r="F12" s="143">
        <f t="shared" si="0"/>
        <v>-5223</v>
      </c>
      <c r="G12" s="143">
        <f t="shared" si="1"/>
        <v>-2969331.0028575854</v>
      </c>
      <c r="H12" s="143"/>
    </row>
    <row r="13" spans="1:17" x14ac:dyDescent="0.25">
      <c r="A13" s="71" t="s">
        <v>191</v>
      </c>
      <c r="B13" s="73">
        <v>14184</v>
      </c>
      <c r="D13" s="71" t="s">
        <v>191</v>
      </c>
      <c r="E13" s="73">
        <v>11816</v>
      </c>
      <c r="F13" s="143">
        <f t="shared" si="0"/>
        <v>2368</v>
      </c>
      <c r="G13" s="143">
        <f t="shared" si="1"/>
        <v>2119360</v>
      </c>
      <c r="H13" s="143"/>
    </row>
    <row r="14" spans="1:17" x14ac:dyDescent="0.25">
      <c r="A14" s="71" t="s">
        <v>192</v>
      </c>
      <c r="B14" s="73">
        <v>38002</v>
      </c>
      <c r="D14" s="71" t="s">
        <v>192</v>
      </c>
      <c r="E14" s="73">
        <v>10406</v>
      </c>
      <c r="F14" s="143">
        <f t="shared" si="0"/>
        <v>27596</v>
      </c>
      <c r="G14" s="143">
        <f t="shared" si="1"/>
        <v>24698420</v>
      </c>
      <c r="H14" s="143"/>
    </row>
    <row r="15" spans="1:17" x14ac:dyDescent="0.25">
      <c r="A15" s="71" t="s">
        <v>54</v>
      </c>
      <c r="B15" s="73">
        <v>9000</v>
      </c>
      <c r="D15" s="71" t="s">
        <v>54</v>
      </c>
      <c r="E15" s="73">
        <v>25570</v>
      </c>
      <c r="F15" s="143">
        <f t="shared" si="0"/>
        <v>-16570</v>
      </c>
      <c r="G15" s="143">
        <f t="shared" si="1"/>
        <v>-9420221.083161056</v>
      </c>
      <c r="H15" s="143"/>
    </row>
    <row r="16" spans="1:17" x14ac:dyDescent="0.25">
      <c r="A16" s="71" t="s">
        <v>55</v>
      </c>
      <c r="B16" s="73">
        <v>5063</v>
      </c>
      <c r="D16" s="71" t="s">
        <v>55</v>
      </c>
      <c r="E16" s="73">
        <v>7888</v>
      </c>
      <c r="F16" s="143">
        <f t="shared" si="0"/>
        <v>-2825</v>
      </c>
      <c r="G16" s="143">
        <f t="shared" si="1"/>
        <v>-1606042.5202130345</v>
      </c>
      <c r="H16" s="143"/>
    </row>
    <row r="17" spans="1:8" x14ac:dyDescent="0.25">
      <c r="A17" s="71" t="s">
        <v>56</v>
      </c>
      <c r="B17" s="73">
        <v>2308</v>
      </c>
      <c r="D17" s="71" t="s">
        <v>56</v>
      </c>
      <c r="E17" s="73">
        <v>4653</v>
      </c>
      <c r="F17" s="143">
        <f t="shared" si="0"/>
        <v>-2345</v>
      </c>
      <c r="G17" s="143">
        <f t="shared" si="1"/>
        <v>-1333157.4194334745</v>
      </c>
      <c r="H17" s="143"/>
    </row>
    <row r="18" spans="1:8" x14ac:dyDescent="0.25">
      <c r="A18" s="71"/>
      <c r="B18" s="73"/>
      <c r="D18" s="71" t="s">
        <v>193</v>
      </c>
      <c r="E18" s="73">
        <v>7800</v>
      </c>
      <c r="F18" s="143">
        <f t="shared" si="0"/>
        <v>-7800</v>
      </c>
      <c r="G18" s="143">
        <f t="shared" si="1"/>
        <v>-4434382.8876678469</v>
      </c>
      <c r="H18" s="143"/>
    </row>
    <row r="19" spans="1:8" x14ac:dyDescent="0.25">
      <c r="A19" s="71" t="s">
        <v>57</v>
      </c>
      <c r="B19" s="73">
        <v>67500</v>
      </c>
      <c r="C19" s="143"/>
      <c r="D19" s="71" t="s">
        <v>194</v>
      </c>
      <c r="E19" s="73">
        <v>105912</v>
      </c>
      <c r="F19" s="143">
        <f t="shared" si="0"/>
        <v>-38412</v>
      </c>
      <c r="G19" s="143">
        <f t="shared" si="1"/>
        <v>-21837630.189884275</v>
      </c>
      <c r="H19" s="143"/>
    </row>
    <row r="20" spans="1:8" x14ac:dyDescent="0.25">
      <c r="A20" s="71"/>
      <c r="B20" s="73"/>
      <c r="C20" s="143"/>
      <c r="D20" s="71" t="s">
        <v>195</v>
      </c>
      <c r="E20" s="73">
        <v>585570</v>
      </c>
      <c r="F20" s="143">
        <f t="shared" si="0"/>
        <v>-585570</v>
      </c>
      <c r="G20" s="143">
        <f t="shared" si="1"/>
        <v>-332902767.63226426</v>
      </c>
      <c r="H20" s="143"/>
    </row>
    <row r="21" spans="1:8" x14ac:dyDescent="0.25">
      <c r="A21" s="71" t="s">
        <v>196</v>
      </c>
      <c r="B21" s="73">
        <v>8107</v>
      </c>
      <c r="D21" s="71" t="s">
        <v>196</v>
      </c>
      <c r="E21" s="73">
        <v>2702</v>
      </c>
      <c r="F21" s="143">
        <f t="shared" si="0"/>
        <v>5405</v>
      </c>
      <c r="G21" s="143">
        <f t="shared" si="1"/>
        <v>4837475</v>
      </c>
      <c r="H21" s="143"/>
    </row>
    <row r="22" spans="1:8" x14ac:dyDescent="0.25">
      <c r="A22" s="71" t="s">
        <v>58</v>
      </c>
      <c r="B22" s="73">
        <v>22883</v>
      </c>
      <c r="D22" s="71" t="s">
        <v>58</v>
      </c>
      <c r="E22" s="73">
        <v>22050</v>
      </c>
      <c r="F22" s="143">
        <f t="shared" si="0"/>
        <v>833</v>
      </c>
      <c r="G22" s="143">
        <f t="shared" si="1"/>
        <v>745535</v>
      </c>
      <c r="H22" s="143"/>
    </row>
    <row r="23" spans="1:8" x14ac:dyDescent="0.25">
      <c r="A23" s="71" t="s">
        <v>197</v>
      </c>
      <c r="B23" s="73">
        <v>7432</v>
      </c>
      <c r="D23" s="71" t="s">
        <v>197</v>
      </c>
      <c r="E23" s="73">
        <v>23218</v>
      </c>
      <c r="F23" s="143">
        <f t="shared" si="0"/>
        <v>-15786</v>
      </c>
      <c r="G23" s="143">
        <f t="shared" si="1"/>
        <v>-8974508.7518877741</v>
      </c>
      <c r="H23" s="143"/>
    </row>
    <row r="24" spans="1:8" x14ac:dyDescent="0.25">
      <c r="A24" s="71" t="s">
        <v>59</v>
      </c>
      <c r="B24" s="73">
        <v>21849</v>
      </c>
      <c r="D24" s="71" t="s">
        <v>59</v>
      </c>
      <c r="E24" s="73">
        <v>36831</v>
      </c>
      <c r="F24" s="143">
        <f t="shared" si="0"/>
        <v>-14982</v>
      </c>
      <c r="G24" s="143">
        <f t="shared" si="1"/>
        <v>-8517426.208082011</v>
      </c>
      <c r="H24" s="143"/>
    </row>
    <row r="25" spans="1:8" x14ac:dyDescent="0.25">
      <c r="A25" s="71" t="s">
        <v>60</v>
      </c>
      <c r="B25" s="73">
        <v>6</v>
      </c>
      <c r="D25" s="71"/>
      <c r="E25" s="73"/>
      <c r="F25" s="143">
        <f t="shared" si="0"/>
        <v>6</v>
      </c>
      <c r="G25" s="143">
        <f t="shared" si="1"/>
        <v>5370</v>
      </c>
      <c r="H25" s="143"/>
    </row>
    <row r="26" spans="1:8" x14ac:dyDescent="0.25">
      <c r="A26" s="71" t="s">
        <v>198</v>
      </c>
      <c r="B26" s="73">
        <v>1</v>
      </c>
      <c r="D26" s="71" t="s">
        <v>198</v>
      </c>
      <c r="E26" s="73">
        <v>52</v>
      </c>
      <c r="F26" s="143">
        <f t="shared" si="0"/>
        <v>-51</v>
      </c>
      <c r="G26" s="143">
        <f t="shared" si="1"/>
        <v>-28994.041957828231</v>
      </c>
      <c r="H26" s="143"/>
    </row>
    <row r="27" spans="1:8" x14ac:dyDescent="0.25">
      <c r="A27" s="71" t="s">
        <v>61</v>
      </c>
      <c r="B27" s="73">
        <v>3265</v>
      </c>
      <c r="D27" s="71"/>
      <c r="E27" s="73"/>
      <c r="F27" s="143">
        <f t="shared" si="0"/>
        <v>3265</v>
      </c>
      <c r="G27" s="143">
        <f t="shared" si="1"/>
        <v>2922175</v>
      </c>
      <c r="H27" s="143"/>
    </row>
    <row r="28" spans="1:8" x14ac:dyDescent="0.25">
      <c r="A28" s="71" t="s">
        <v>62</v>
      </c>
      <c r="B28" s="73">
        <v>96756</v>
      </c>
      <c r="D28" s="71" t="s">
        <v>62</v>
      </c>
      <c r="E28" s="73">
        <v>32248</v>
      </c>
      <c r="F28" s="143">
        <f t="shared" si="0"/>
        <v>64508</v>
      </c>
      <c r="G28" s="143">
        <f t="shared" si="1"/>
        <v>57734660</v>
      </c>
      <c r="H28" s="143"/>
    </row>
    <row r="29" spans="1:8" x14ac:dyDescent="0.25">
      <c r="A29" s="71" t="s">
        <v>199</v>
      </c>
      <c r="B29" s="73">
        <v>103</v>
      </c>
      <c r="D29" s="71"/>
      <c r="E29" s="73"/>
      <c r="F29" s="143">
        <f t="shared" si="0"/>
        <v>103</v>
      </c>
      <c r="G29" s="143">
        <f t="shared" si="1"/>
        <v>92185</v>
      </c>
      <c r="H29" s="143"/>
    </row>
    <row r="30" spans="1:8" x14ac:dyDescent="0.25">
      <c r="A30" s="71" t="s">
        <v>63</v>
      </c>
      <c r="B30" s="73">
        <v>2054</v>
      </c>
      <c r="D30" s="71" t="s">
        <v>63</v>
      </c>
      <c r="E30" s="73">
        <v>2032</v>
      </c>
      <c r="F30" s="143">
        <f t="shared" si="0"/>
        <v>22</v>
      </c>
      <c r="G30" s="143">
        <f t="shared" si="1"/>
        <v>19690</v>
      </c>
      <c r="H30" s="143"/>
    </row>
    <row r="31" spans="1:8" x14ac:dyDescent="0.25">
      <c r="A31" s="71" t="s">
        <v>64</v>
      </c>
      <c r="B31" s="73">
        <v>56953</v>
      </c>
      <c r="D31" s="71" t="s">
        <v>64</v>
      </c>
      <c r="E31" s="73">
        <v>96529</v>
      </c>
      <c r="F31" s="143">
        <f t="shared" si="0"/>
        <v>-39576</v>
      </c>
      <c r="G31" s="143">
        <f t="shared" si="1"/>
        <v>-22499376.559274707</v>
      </c>
      <c r="H31" s="143"/>
    </row>
    <row r="32" spans="1:8" x14ac:dyDescent="0.25">
      <c r="A32" s="71" t="s">
        <v>65</v>
      </c>
      <c r="B32" s="73">
        <v>53607</v>
      </c>
      <c r="D32" s="71" t="s">
        <v>65</v>
      </c>
      <c r="E32" s="73">
        <v>183514</v>
      </c>
      <c r="F32" s="143">
        <f t="shared" si="0"/>
        <v>-129907</v>
      </c>
      <c r="G32" s="143">
        <f t="shared" si="1"/>
        <v>-73853509.972854748</v>
      </c>
      <c r="H32" s="143"/>
    </row>
    <row r="33" spans="1:8" x14ac:dyDescent="0.25">
      <c r="A33" s="71"/>
      <c r="B33" s="73"/>
      <c r="D33" s="71" t="s">
        <v>200</v>
      </c>
      <c r="E33" s="73">
        <v>7497</v>
      </c>
      <c r="F33" s="143">
        <f t="shared" si="0"/>
        <v>-7497</v>
      </c>
      <c r="G33" s="143">
        <f t="shared" si="1"/>
        <v>-4262124.1678007506</v>
      </c>
      <c r="H33" s="143"/>
    </row>
    <row r="34" spans="1:8" x14ac:dyDescent="0.25">
      <c r="A34" s="71"/>
      <c r="B34" s="73"/>
      <c r="D34" s="71" t="s">
        <v>201</v>
      </c>
      <c r="E34" s="73">
        <v>22909</v>
      </c>
      <c r="F34" s="143">
        <f t="shared" si="0"/>
        <v>-22909</v>
      </c>
      <c r="G34" s="143">
        <f t="shared" si="1"/>
        <v>-13024009.945331117</v>
      </c>
      <c r="H34" s="143"/>
    </row>
    <row r="35" spans="1:8" x14ac:dyDescent="0.25">
      <c r="A35" s="71" t="s">
        <v>66</v>
      </c>
      <c r="B35" s="73">
        <v>14050</v>
      </c>
      <c r="D35" s="71"/>
      <c r="E35" s="73"/>
      <c r="F35" s="143">
        <f t="shared" si="0"/>
        <v>14050</v>
      </c>
      <c r="G35" s="143">
        <f t="shared" si="1"/>
        <v>12574750</v>
      </c>
      <c r="H35" s="143"/>
    </row>
    <row r="36" spans="1:8" x14ac:dyDescent="0.25">
      <c r="A36" s="71"/>
      <c r="B36" s="73"/>
      <c r="D36" s="71" t="s">
        <v>203</v>
      </c>
      <c r="E36" s="73">
        <v>400</v>
      </c>
      <c r="F36" s="143">
        <f t="shared" si="0"/>
        <v>-400</v>
      </c>
      <c r="G36" s="143">
        <f t="shared" si="1"/>
        <v>-227404.25064963321</v>
      </c>
      <c r="H36" s="143"/>
    </row>
    <row r="37" spans="1:8" x14ac:dyDescent="0.25">
      <c r="A37" s="71" t="s">
        <v>202</v>
      </c>
      <c r="B37" s="73">
        <v>10942</v>
      </c>
      <c r="D37" s="71" t="s">
        <v>202</v>
      </c>
      <c r="E37" s="73">
        <v>162849</v>
      </c>
      <c r="F37" s="143">
        <f t="shared" si="0"/>
        <v>-151907</v>
      </c>
      <c r="G37" s="143">
        <f t="shared" si="1"/>
        <v>-86360743.758584574</v>
      </c>
      <c r="H37" s="143"/>
    </row>
    <row r="38" spans="1:8" x14ac:dyDescent="0.25">
      <c r="A38" s="71" t="s">
        <v>67</v>
      </c>
      <c r="B38" s="73">
        <v>67267</v>
      </c>
      <c r="D38" s="71" t="s">
        <v>67</v>
      </c>
      <c r="E38" s="73">
        <v>150110</v>
      </c>
      <c r="F38" s="143">
        <f t="shared" si="0"/>
        <v>-82843</v>
      </c>
      <c r="G38" s="143">
        <f t="shared" si="1"/>
        <v>-47097125.841418907</v>
      </c>
      <c r="H38" s="143"/>
    </row>
    <row r="39" spans="1:8" x14ac:dyDescent="0.25">
      <c r="A39" s="71" t="s">
        <v>204</v>
      </c>
      <c r="B39" s="73">
        <v>18027</v>
      </c>
      <c r="D39" s="71" t="s">
        <v>204</v>
      </c>
      <c r="E39" s="73">
        <v>101242</v>
      </c>
      <c r="F39" s="143">
        <f t="shared" si="0"/>
        <v>-83215</v>
      </c>
      <c r="G39" s="143">
        <f t="shared" si="1"/>
        <v>-47308611.794523068</v>
      </c>
      <c r="H39" s="143"/>
    </row>
    <row r="40" spans="1:8" x14ac:dyDescent="0.25">
      <c r="A40" s="71" t="s">
        <v>68</v>
      </c>
      <c r="B40" s="73">
        <v>138808</v>
      </c>
      <c r="D40" s="71" t="s">
        <v>68</v>
      </c>
      <c r="E40" s="73">
        <v>124848</v>
      </c>
      <c r="F40" s="143">
        <f t="shared" si="0"/>
        <v>13960</v>
      </c>
      <c r="G40" s="143">
        <f t="shared" si="1"/>
        <v>12494200</v>
      </c>
      <c r="H40" s="143"/>
    </row>
    <row r="41" spans="1:8" x14ac:dyDescent="0.25">
      <c r="A41" s="71" t="s">
        <v>205</v>
      </c>
      <c r="B41" s="73">
        <v>2000</v>
      </c>
      <c r="D41" s="71" t="s">
        <v>205</v>
      </c>
      <c r="E41" s="73">
        <v>17000</v>
      </c>
      <c r="F41" s="143">
        <f t="shared" si="0"/>
        <v>-15000</v>
      </c>
      <c r="G41" s="143">
        <f t="shared" si="1"/>
        <v>-8527659.3993612453</v>
      </c>
      <c r="H41" s="143"/>
    </row>
    <row r="42" spans="1:8" x14ac:dyDescent="0.25">
      <c r="A42" s="71" t="s">
        <v>69</v>
      </c>
      <c r="B42" s="73">
        <v>31291</v>
      </c>
      <c r="D42" s="71" t="s">
        <v>69</v>
      </c>
      <c r="E42" s="73">
        <v>3099</v>
      </c>
      <c r="F42" s="143">
        <f t="shared" si="0"/>
        <v>28192</v>
      </c>
      <c r="G42" s="143">
        <f t="shared" si="1"/>
        <v>25231840</v>
      </c>
      <c r="H42" s="143"/>
    </row>
    <row r="43" spans="1:8" x14ac:dyDescent="0.25">
      <c r="A43" s="71" t="s">
        <v>70</v>
      </c>
      <c r="B43" s="73">
        <v>11648</v>
      </c>
      <c r="D43" s="71" t="s">
        <v>70</v>
      </c>
      <c r="E43" s="73">
        <v>3614</v>
      </c>
      <c r="F43" s="143">
        <f t="shared" si="0"/>
        <v>8034</v>
      </c>
      <c r="G43" s="143">
        <f t="shared" si="1"/>
        <v>7190430</v>
      </c>
      <c r="H43" s="143"/>
    </row>
    <row r="44" spans="1:8" x14ac:dyDescent="0.25">
      <c r="A44" s="71"/>
      <c r="B44" s="73"/>
      <c r="D44" s="71" t="s">
        <v>71</v>
      </c>
      <c r="E44" s="73">
        <v>157752</v>
      </c>
      <c r="F44" s="143">
        <f t="shared" si="0"/>
        <v>-157752</v>
      </c>
      <c r="G44" s="143">
        <f t="shared" si="1"/>
        <v>-89683688.371202335</v>
      </c>
      <c r="H44" s="143"/>
    </row>
    <row r="45" spans="1:8" x14ac:dyDescent="0.25">
      <c r="A45" s="71" t="s">
        <v>72</v>
      </c>
      <c r="B45" s="73">
        <v>38600</v>
      </c>
      <c r="D45" s="71" t="s">
        <v>72</v>
      </c>
      <c r="E45" s="73">
        <v>12440</v>
      </c>
      <c r="F45" s="143">
        <f t="shared" si="0"/>
        <v>26160</v>
      </c>
      <c r="G45" s="143">
        <f t="shared" si="1"/>
        <v>23413200</v>
      </c>
      <c r="H45" s="143"/>
    </row>
    <row r="46" spans="1:8" x14ac:dyDescent="0.25">
      <c r="A46" s="71" t="s">
        <v>206</v>
      </c>
      <c r="B46" s="73">
        <v>84678</v>
      </c>
      <c r="D46" s="71" t="s">
        <v>206</v>
      </c>
      <c r="E46" s="73">
        <v>94017</v>
      </c>
      <c r="F46" s="143">
        <f t="shared" si="0"/>
        <v>-9339</v>
      </c>
      <c r="G46" s="143">
        <f t="shared" si="1"/>
        <v>-5309320.7420423115</v>
      </c>
      <c r="H46" s="143"/>
    </row>
    <row r="47" spans="1:8" x14ac:dyDescent="0.25">
      <c r="A47" s="71"/>
      <c r="B47" s="73"/>
      <c r="D47" s="71" t="s">
        <v>73</v>
      </c>
      <c r="E47" s="73">
        <v>6389</v>
      </c>
      <c r="F47" s="143">
        <f t="shared" si="0"/>
        <v>-6389</v>
      </c>
      <c r="G47" s="143">
        <f t="shared" si="1"/>
        <v>-3632214.3935012664</v>
      </c>
      <c r="H47" s="143"/>
    </row>
    <row r="48" spans="1:8" x14ac:dyDescent="0.25">
      <c r="A48" s="71"/>
      <c r="B48" s="73"/>
      <c r="D48" s="71" t="s">
        <v>207</v>
      </c>
      <c r="E48" s="73">
        <v>640</v>
      </c>
      <c r="F48" s="143">
        <f t="shared" si="0"/>
        <v>-640</v>
      </c>
      <c r="G48" s="143">
        <f t="shared" si="1"/>
        <v>-363846.80103941308</v>
      </c>
      <c r="H48" s="143"/>
    </row>
    <row r="49" spans="1:8" x14ac:dyDescent="0.25">
      <c r="A49" s="71" t="s">
        <v>75</v>
      </c>
      <c r="B49" s="73">
        <v>32780</v>
      </c>
      <c r="D49" s="71" t="s">
        <v>75</v>
      </c>
      <c r="E49" s="73">
        <v>19746</v>
      </c>
      <c r="F49" s="143">
        <f t="shared" si="0"/>
        <v>13034</v>
      </c>
      <c r="G49" s="143">
        <f t="shared" si="1"/>
        <v>11665430</v>
      </c>
      <c r="H49" s="143"/>
    </row>
    <row r="50" spans="1:8" x14ac:dyDescent="0.25">
      <c r="A50" s="71" t="s">
        <v>76</v>
      </c>
      <c r="B50" s="73">
        <v>161172</v>
      </c>
      <c r="D50" s="71" t="s">
        <v>76</v>
      </c>
      <c r="E50" s="73">
        <v>343023</v>
      </c>
      <c r="F50" s="143">
        <f t="shared" si="0"/>
        <v>-181851</v>
      </c>
      <c r="G50" s="143">
        <f t="shared" si="1"/>
        <v>-103384225.96221611</v>
      </c>
      <c r="H50" s="143"/>
    </row>
    <row r="51" spans="1:8" x14ac:dyDescent="0.25">
      <c r="A51" s="71"/>
      <c r="B51" s="73"/>
      <c r="D51" s="71" t="s">
        <v>208</v>
      </c>
      <c r="E51" s="73">
        <v>68</v>
      </c>
      <c r="F51" s="143">
        <f t="shared" si="0"/>
        <v>-68</v>
      </c>
      <c r="G51" s="143">
        <f t="shared" si="1"/>
        <v>-38658.722610437646</v>
      </c>
      <c r="H51" s="143"/>
    </row>
    <row r="52" spans="1:8" x14ac:dyDescent="0.25">
      <c r="A52" s="71" t="s">
        <v>77</v>
      </c>
      <c r="B52" s="73">
        <v>725</v>
      </c>
      <c r="D52" s="71" t="s">
        <v>77</v>
      </c>
      <c r="E52" s="73">
        <v>672</v>
      </c>
      <c r="F52" s="143">
        <f t="shared" si="0"/>
        <v>53</v>
      </c>
      <c r="G52" s="143">
        <f t="shared" si="1"/>
        <v>47435</v>
      </c>
      <c r="H52" s="143"/>
    </row>
    <row r="53" spans="1:8" x14ac:dyDescent="0.25">
      <c r="A53" s="71" t="s">
        <v>78</v>
      </c>
      <c r="B53" s="73">
        <v>5539</v>
      </c>
      <c r="D53" s="71" t="s">
        <v>78</v>
      </c>
      <c r="E53" s="73">
        <v>14070</v>
      </c>
      <c r="F53" s="143">
        <f t="shared" si="0"/>
        <v>-8531</v>
      </c>
      <c r="G53" s="143">
        <f t="shared" si="1"/>
        <v>-4849964.1557300519</v>
      </c>
      <c r="H53" s="143"/>
    </row>
    <row r="54" spans="1:8" x14ac:dyDescent="0.25">
      <c r="A54" s="71" t="s">
        <v>222</v>
      </c>
      <c r="B54" s="73">
        <v>122485</v>
      </c>
      <c r="D54" s="71"/>
      <c r="E54" s="73"/>
      <c r="F54" s="143">
        <f t="shared" si="0"/>
        <v>122485</v>
      </c>
      <c r="G54" s="143">
        <f t="shared" si="1"/>
        <v>109624075</v>
      </c>
      <c r="H54" s="143"/>
    </row>
    <row r="55" spans="1:8" x14ac:dyDescent="0.25">
      <c r="A55" s="71" t="s">
        <v>79</v>
      </c>
      <c r="B55" s="73">
        <v>26746</v>
      </c>
      <c r="D55" s="71" t="s">
        <v>79</v>
      </c>
      <c r="E55" s="73">
        <v>13538</v>
      </c>
      <c r="F55" s="143">
        <f t="shared" si="0"/>
        <v>13208</v>
      </c>
      <c r="G55" s="143">
        <f t="shared" si="1"/>
        <v>11821160</v>
      </c>
      <c r="H55" s="143"/>
    </row>
    <row r="56" spans="1:8" x14ac:dyDescent="0.25">
      <c r="A56" s="71" t="s">
        <v>80</v>
      </c>
      <c r="B56" s="73">
        <v>18473</v>
      </c>
      <c r="D56" s="71" t="s">
        <v>209</v>
      </c>
      <c r="E56" s="73">
        <v>56521</v>
      </c>
      <c r="F56" s="143">
        <f t="shared" si="0"/>
        <v>-38048</v>
      </c>
      <c r="G56" s="143">
        <f t="shared" si="1"/>
        <v>-21630692.321793109</v>
      </c>
      <c r="H56" s="143"/>
    </row>
    <row r="57" spans="1:8" x14ac:dyDescent="0.25">
      <c r="A57" s="71" t="s">
        <v>210</v>
      </c>
      <c r="B57" s="73">
        <v>76983</v>
      </c>
      <c r="D57" s="71" t="s">
        <v>210</v>
      </c>
      <c r="E57" s="73">
        <v>248423</v>
      </c>
      <c r="F57" s="143">
        <f t="shared" si="0"/>
        <v>-171440</v>
      </c>
      <c r="G57" s="143">
        <f t="shared" si="1"/>
        <v>-97465461.828432783</v>
      </c>
      <c r="H57" s="143"/>
    </row>
    <row r="58" spans="1:8" x14ac:dyDescent="0.25">
      <c r="A58" s="71" t="s">
        <v>211</v>
      </c>
      <c r="B58" s="73">
        <v>400</v>
      </c>
      <c r="D58" s="71" t="s">
        <v>211</v>
      </c>
      <c r="E58" s="73">
        <v>800</v>
      </c>
      <c r="F58" s="143">
        <f t="shared" si="0"/>
        <v>-400</v>
      </c>
      <c r="G58" s="143">
        <f t="shared" si="1"/>
        <v>-227404.25064963321</v>
      </c>
      <c r="H58" s="143"/>
    </row>
    <row r="59" spans="1:8" x14ac:dyDescent="0.25">
      <c r="A59" s="71" t="s">
        <v>212</v>
      </c>
      <c r="B59" s="73">
        <v>1600</v>
      </c>
      <c r="D59" s="71"/>
      <c r="E59" s="73"/>
      <c r="F59" s="143">
        <f t="shared" si="0"/>
        <v>1600</v>
      </c>
      <c r="G59" s="143">
        <f t="shared" si="1"/>
        <v>1432000</v>
      </c>
      <c r="H59" s="143"/>
    </row>
    <row r="60" spans="1:8" x14ac:dyDescent="0.25">
      <c r="A60" s="71"/>
      <c r="B60" s="73"/>
    </row>
    <row r="61" spans="1:8" x14ac:dyDescent="0.25">
      <c r="B61" s="143">
        <f>SUM(B5:B59)</f>
        <v>2025146</v>
      </c>
      <c r="C61" s="143"/>
      <c r="D61" s="143"/>
      <c r="E61" s="143">
        <f t="shared" ref="E61:F61" si="2">SUM(E5:E59)</f>
        <v>3224296</v>
      </c>
      <c r="F61" s="143">
        <f t="shared" si="2"/>
        <v>-1199150</v>
      </c>
      <c r="G61" s="143">
        <f>SUM(G5:G59)/2000</f>
        <v>-210245.82886225806</v>
      </c>
      <c r="H61" s="143"/>
    </row>
    <row r="62" spans="1:8" ht="44.25" customHeight="1" x14ac:dyDescent="0.25">
      <c r="F62" s="151" t="s">
        <v>223</v>
      </c>
      <c r="G62" s="151" t="s">
        <v>224</v>
      </c>
      <c r="H62" s="151"/>
    </row>
    <row r="87" spans="6:6" x14ac:dyDescent="0.25">
      <c r="F87" s="143"/>
    </row>
  </sheetData>
  <mergeCells count="2">
    <mergeCell ref="G1:J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5ACBED0A5954D99537522F0B04AD6" ma:contentTypeVersion="7" ma:contentTypeDescription="" ma:contentTypeScope="" ma:versionID="a1b8b3cb5c3431fe1ff44b5d45c15557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Compliance</DocumentSetType>
    <IsConfidential xmlns="dc463f71-b30c-4ab2-9473-d307f9d35888">false</IsConfidential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2018-09-18T16:03:24+00:00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180480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64072-B188-40C4-A3DD-127F596B5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purl.org/dc/terms/"/>
    <ds:schemaRef ds:uri="dc463f71-b30c-4ab2-9473-d307f9d3588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38CCC51-C878-4340-9BC6-9A099140BBE4}"/>
</file>

<file path=customXml/itemProps5.xml><?xml version="1.0" encoding="utf-8"?>
<ds:datastoreItem xmlns:ds="http://schemas.openxmlformats.org/officeDocument/2006/customXml" ds:itemID="{534312E3-7046-47D1-B252-A2E9E1129F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2018-09-04T16:26:56Z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5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2" name="IsEFSEC">
    <vt:bool>false</vt:bool>
  </property>
</Properties>
</file>