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12" windowWidth="17496" windowHeight="8208" activeTab="1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CAMP RD)" sheetId="16" r:id="rId11"/>
    <sheet name="Exhibit No.__(JAP-HV RD)" sheetId="15" r:id="rId12"/>
    <sheet name="Exhibit No.__(JAP-TRANSP RD)" sheetId="18" r:id="rId13"/>
    <sheet name="Exhibit No.__(JAP-LIGHT RD) " sheetId="3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0">'Exhibit No.__(JAP-CAMP RD)'!$A$1:$N$82</definedName>
    <definedName name="_xlnm.Print_Area" localSheetId="11">'Exhibit No.__(JAP-HV RD)'!$A$1:$M$38</definedName>
    <definedName name="_xlnm.Print_Area" localSheetId="13">'Exhibit No.__(JAP-LIGHT RD) '!$A$1:$T$26,'Exhibit No.__(JAP-LIGHT RD) '!$A$27:$L$532</definedName>
    <definedName name="_xlnm.Print_Area" localSheetId="6">'Exhibit No.__(JAP-Prof-Prop)'!$B$1:$R$49</definedName>
    <definedName name="_xlnm.Print_Area" localSheetId="9">'Exhibit No.__(JAP-PV RD)'!$A$1:$M$78</definedName>
    <definedName name="_xlnm.Print_Area" localSheetId="4">'Exhibit No.__(JAP-Rate Spread)'!$A$1:$K$40</definedName>
    <definedName name="_xlnm.Print_Area" localSheetId="7">'Exhibit No.__(JAP-Res RD)'!$A$1:$M$24</definedName>
    <definedName name="_xlnm.Print_Area" localSheetId="8">'Exhibit No.__(JAP-SV RD)'!$A$1:$M$136</definedName>
    <definedName name="_xlnm.Print_Area" localSheetId="1">'Exhibit No.__(JAP-Tariff)'!$A$1:$M$180</definedName>
    <definedName name="_xlnm.Print_Area" localSheetId="12">'Exhibit No.__(JAP-TRANSP RD)'!$A$1:$M$48</definedName>
    <definedName name="_xlnm.Print_Area" localSheetId="2">'Tariff Summary Lights'!$A$1:$J$424</definedName>
    <definedName name="_xlnm.Print_Titles" localSheetId="10">'Exhibit No.__(JAP-CAMP RD)'!$1:$10</definedName>
    <definedName name="_xlnm.Print_Titles" localSheetId="11">'Exhibit No.__(JAP-HV RD)'!$1:$10</definedName>
    <definedName name="_xlnm.Print_Titles" localSheetId="13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2">'Exhibit No.__(JAP-TRANSP RD)'!$1:$10</definedName>
    <definedName name="_xlnm.Print_Titles" localSheetId="2">'Tariff Summary Lights'!$1:$5</definedName>
    <definedName name="TABLEA" localSheetId="6">'Exhibit No.__(JAP-Prof-Prop)'!$B$3:$T$49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49" i="30" l="1"/>
  <c r="G77" i="16" l="1"/>
  <c r="G76" i="16"/>
  <c r="G75" i="16"/>
  <c r="G74" i="16"/>
  <c r="G73" i="16"/>
  <c r="G72" i="16"/>
  <c r="G71" i="16"/>
  <c r="G70" i="16"/>
  <c r="G69" i="16"/>
  <c r="G68" i="16"/>
  <c r="G67" i="16"/>
  <c r="G66" i="16"/>
  <c r="E149" i="30"/>
  <c r="E148" i="30"/>
  <c r="E147" i="30"/>
  <c r="E146" i="30"/>
  <c r="E145" i="30"/>
  <c r="E144" i="30"/>
  <c r="E143" i="30"/>
  <c r="E142" i="30"/>
  <c r="E141" i="30"/>
  <c r="E140" i="30"/>
  <c r="E139" i="30"/>
  <c r="E138" i="30"/>
  <c r="C52" i="16"/>
  <c r="C51" i="16"/>
  <c r="C50" i="16"/>
  <c r="C48" i="16"/>
  <c r="I424" i="39"/>
  <c r="I422" i="39"/>
  <c r="I421" i="39"/>
  <c r="I420" i="39"/>
  <c r="I419" i="39"/>
  <c r="I418" i="39"/>
  <c r="I417" i="39"/>
  <c r="I416" i="39"/>
  <c r="I415" i="39"/>
  <c r="I414" i="39"/>
  <c r="I413" i="39"/>
  <c r="I412" i="39"/>
  <c r="I411" i="39"/>
  <c r="I410" i="39"/>
  <c r="I409" i="39"/>
  <c r="I408" i="39"/>
  <c r="I407" i="39"/>
  <c r="I406" i="39"/>
  <c r="I405" i="39"/>
  <c r="I404" i="39"/>
  <c r="I403" i="39"/>
  <c r="I402" i="39"/>
  <c r="I401" i="39"/>
  <c r="I400" i="39"/>
  <c r="I399" i="39"/>
  <c r="I398" i="39"/>
  <c r="I397" i="39"/>
  <c r="I396" i="39"/>
  <c r="I395" i="39"/>
  <c r="I394" i="39"/>
  <c r="I393" i="39"/>
  <c r="I392" i="39"/>
  <c r="I391" i="39"/>
  <c r="I390" i="39"/>
  <c r="I389" i="39"/>
  <c r="I388" i="39"/>
  <c r="I387" i="39"/>
  <c r="I386" i="39"/>
  <c r="I385" i="39"/>
  <c r="I384" i="39"/>
  <c r="I383" i="39"/>
  <c r="I382" i="39"/>
  <c r="I381" i="39"/>
  <c r="I380" i="39"/>
  <c r="I379" i="39"/>
  <c r="I378" i="39"/>
  <c r="I377" i="39"/>
  <c r="I376" i="39"/>
  <c r="I375" i="39"/>
  <c r="I374" i="39"/>
  <c r="I373" i="39"/>
  <c r="I372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8" i="39"/>
  <c r="I357" i="39"/>
  <c r="I355" i="39"/>
  <c r="I354" i="39"/>
  <c r="I353" i="39"/>
  <c r="I352" i="39"/>
  <c r="I351" i="39"/>
  <c r="I349" i="39"/>
  <c r="I348" i="39"/>
  <c r="I347" i="39"/>
  <c r="I346" i="39"/>
  <c r="I344" i="39"/>
  <c r="I343" i="39"/>
  <c r="I342" i="39"/>
  <c r="I341" i="39"/>
  <c r="I340" i="39"/>
  <c r="I339" i="39"/>
  <c r="I337" i="39"/>
  <c r="I336" i="39"/>
  <c r="I334" i="39"/>
  <c r="I333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319" i="39"/>
  <c r="I318" i="39"/>
  <c r="I317" i="39"/>
  <c r="I316" i="39"/>
  <c r="I315" i="39"/>
  <c r="I314" i="39"/>
  <c r="I313" i="39"/>
  <c r="I312" i="39"/>
  <c r="I311" i="39"/>
  <c r="I309" i="39"/>
  <c r="I307" i="39"/>
  <c r="I306" i="39"/>
  <c r="I305" i="39"/>
  <c r="I304" i="39"/>
  <c r="I303" i="39"/>
  <c r="I302" i="39"/>
  <c r="I300" i="39"/>
  <c r="I299" i="39"/>
  <c r="I298" i="39"/>
  <c r="I297" i="39"/>
  <c r="I296" i="39"/>
  <c r="I295" i="39"/>
  <c r="I294" i="39"/>
  <c r="I293" i="39"/>
  <c r="I292" i="39"/>
  <c r="I291" i="39"/>
  <c r="I290" i="39"/>
  <c r="I289" i="39"/>
  <c r="I288" i="39"/>
  <c r="I287" i="39"/>
  <c r="I286" i="39"/>
  <c r="I285" i="39"/>
  <c r="I284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8" i="39"/>
  <c r="I267" i="39"/>
  <c r="I266" i="39"/>
  <c r="I265" i="39"/>
  <c r="I264" i="39"/>
  <c r="I263" i="39"/>
  <c r="I262" i="39"/>
  <c r="I261" i="39"/>
  <c r="I260" i="39"/>
  <c r="I259" i="39"/>
  <c r="I258" i="39"/>
  <c r="I257" i="39"/>
  <c r="I256" i="39"/>
  <c r="I255" i="39"/>
  <c r="I254" i="39"/>
  <c r="I253" i="39"/>
  <c r="I252" i="39"/>
  <c r="I251" i="39"/>
  <c r="I250" i="39"/>
  <c r="I249" i="39"/>
  <c r="I248" i="39"/>
  <c r="I247" i="39"/>
  <c r="I245" i="39"/>
  <c r="I244" i="39"/>
  <c r="I243" i="39"/>
  <c r="I242" i="39"/>
  <c r="I241" i="39"/>
  <c r="I240" i="39"/>
  <c r="I239" i="39"/>
  <c r="I238" i="39"/>
  <c r="I237" i="39"/>
  <c r="I235" i="39"/>
  <c r="I234" i="39"/>
  <c r="I233" i="39"/>
  <c r="I232" i="39"/>
  <c r="I231" i="39"/>
  <c r="I230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13" i="39"/>
  <c r="I212" i="39"/>
  <c r="I211" i="39"/>
  <c r="I210" i="39"/>
  <c r="I209" i="39"/>
  <c r="I208" i="39"/>
  <c r="I207" i="39"/>
  <c r="I206" i="39"/>
  <c r="I205" i="39"/>
  <c r="I204" i="39"/>
  <c r="I203" i="39"/>
  <c r="I202" i="39"/>
  <c r="I201" i="39"/>
  <c r="I200" i="39"/>
  <c r="I199" i="39"/>
  <c r="I198" i="39"/>
  <c r="I197" i="39"/>
  <c r="I196" i="39"/>
  <c r="I195" i="39"/>
  <c r="I194" i="39"/>
  <c r="I193" i="39"/>
  <c r="I192" i="39"/>
  <c r="I191" i="39"/>
  <c r="I190" i="39"/>
  <c r="I189" i="39"/>
  <c r="I188" i="39"/>
  <c r="I187" i="39"/>
  <c r="I186" i="39"/>
  <c r="I185" i="39"/>
  <c r="I184" i="39"/>
  <c r="I183" i="39"/>
  <c r="I182" i="39"/>
  <c r="I180" i="39"/>
  <c r="I179" i="39"/>
  <c r="I178" i="39"/>
  <c r="I177" i="39"/>
  <c r="I176" i="39"/>
  <c r="I175" i="39"/>
  <c r="I173" i="39"/>
  <c r="I172" i="39"/>
  <c r="I171" i="39"/>
  <c r="I170" i="39"/>
  <c r="I169" i="39"/>
  <c r="I168" i="39"/>
  <c r="I167" i="39"/>
  <c r="I166" i="39"/>
  <c r="I165" i="39"/>
  <c r="I163" i="39"/>
  <c r="I162" i="39"/>
  <c r="I161" i="39"/>
  <c r="I160" i="39"/>
  <c r="I159" i="39"/>
  <c r="I158" i="39"/>
  <c r="I157" i="39"/>
  <c r="I156" i="39"/>
  <c r="I155" i="39"/>
  <c r="I154" i="39"/>
  <c r="I153" i="39"/>
  <c r="I152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8" i="39"/>
  <c r="I107" i="39"/>
  <c r="I106" i="39"/>
  <c r="I105" i="39"/>
  <c r="I104" i="39"/>
  <c r="I102" i="39"/>
  <c r="I101" i="39"/>
  <c r="I100" i="39"/>
  <c r="I99" i="39"/>
  <c r="I98" i="39"/>
  <c r="I97" i="39"/>
  <c r="I96" i="39"/>
  <c r="I95" i="39"/>
  <c r="I94" i="39"/>
  <c r="I92" i="39"/>
  <c r="I91" i="39"/>
  <c r="I90" i="39"/>
  <c r="I89" i="39"/>
  <c r="I88" i="39"/>
  <c r="I87" i="39"/>
  <c r="I86" i="39"/>
  <c r="I84" i="39"/>
  <c r="I83" i="39"/>
  <c r="I82" i="39"/>
  <c r="I81" i="39"/>
  <c r="I80" i="39"/>
  <c r="I79" i="39"/>
  <c r="I78" i="39"/>
  <c r="I77" i="39"/>
  <c r="I75" i="39"/>
  <c r="I74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7" i="39"/>
  <c r="I16" i="39"/>
  <c r="I14" i="39"/>
  <c r="I13" i="39"/>
  <c r="I12" i="39"/>
  <c r="I11" i="39"/>
  <c r="I9" i="39"/>
  <c r="I8" i="39"/>
  <c r="I7" i="39"/>
  <c r="I6" i="39"/>
  <c r="I180" i="30"/>
  <c r="I179" i="30"/>
  <c r="I177" i="30"/>
  <c r="I176" i="30"/>
  <c r="I172" i="30"/>
  <c r="I171" i="30"/>
  <c r="I169" i="30"/>
  <c r="I168" i="30"/>
  <c r="I164" i="30"/>
  <c r="I162" i="30"/>
  <c r="I159" i="30"/>
  <c r="I158" i="30"/>
  <c r="I156" i="30"/>
  <c r="I154" i="30"/>
  <c r="I133" i="30"/>
  <c r="I132" i="30"/>
  <c r="I131" i="30"/>
  <c r="I128" i="30"/>
  <c r="I126" i="30"/>
  <c r="I125" i="30"/>
  <c r="I124" i="30"/>
  <c r="I123" i="30"/>
  <c r="I122" i="30"/>
  <c r="I120" i="30"/>
  <c r="I119" i="30"/>
  <c r="I116" i="30"/>
  <c r="I115" i="30"/>
  <c r="I114" i="30"/>
  <c r="I111" i="30"/>
  <c r="I110" i="30"/>
  <c r="I109" i="30"/>
  <c r="I108" i="30"/>
  <c r="I105" i="30"/>
  <c r="I104" i="30"/>
  <c r="I103" i="30"/>
  <c r="I98" i="30"/>
  <c r="I96" i="30"/>
  <c r="I94" i="30"/>
  <c r="I92" i="30"/>
  <c r="I90" i="30"/>
  <c r="I87" i="30"/>
  <c r="I85" i="30"/>
  <c r="I84" i="30"/>
  <c r="I82" i="30"/>
  <c r="I80" i="30"/>
  <c r="I77" i="30"/>
  <c r="I75" i="30"/>
  <c r="I74" i="30"/>
  <c r="I72" i="30"/>
  <c r="I70" i="30"/>
  <c r="I67" i="30"/>
  <c r="I65" i="30"/>
  <c r="I64" i="30"/>
  <c r="I63" i="30"/>
  <c r="I61" i="30"/>
  <c r="I60" i="30"/>
  <c r="I59" i="30"/>
  <c r="I58" i="30"/>
  <c r="I56" i="30"/>
  <c r="I55" i="30"/>
  <c r="I52" i="30"/>
  <c r="I51" i="30"/>
  <c r="I50" i="30"/>
  <c r="I48" i="30"/>
  <c r="I47" i="30"/>
  <c r="I46" i="30"/>
  <c r="I45" i="30"/>
  <c r="I42" i="30"/>
  <c r="I40" i="30"/>
  <c r="I39" i="30"/>
  <c r="I37" i="30"/>
  <c r="I35" i="30"/>
  <c r="I32" i="30"/>
  <c r="I30" i="30"/>
  <c r="I29" i="30"/>
  <c r="I28" i="30"/>
  <c r="I26" i="30"/>
  <c r="I25" i="30"/>
  <c r="I24" i="30"/>
  <c r="I22" i="30"/>
  <c r="I19" i="30"/>
  <c r="I18" i="30"/>
  <c r="I16" i="30"/>
  <c r="I15" i="30"/>
  <c r="I12" i="30"/>
  <c r="I11" i="30"/>
  <c r="I9" i="30"/>
  <c r="I8" i="30"/>
  <c r="D43" i="18"/>
  <c r="C43" i="18"/>
  <c r="D41" i="18"/>
  <c r="C41" i="18"/>
  <c r="C38" i="18"/>
  <c r="C37" i="18"/>
  <c r="D36" i="18"/>
  <c r="C36" i="18"/>
  <c r="L50" i="1"/>
  <c r="J50" i="1"/>
  <c r="F25" i="18"/>
  <c r="C22" i="18"/>
  <c r="C21" i="18"/>
  <c r="C18" i="18"/>
  <c r="C17" i="18"/>
  <c r="C16" i="18"/>
  <c r="C14" i="18"/>
  <c r="E172" i="30"/>
  <c r="E169" i="30"/>
  <c r="E168" i="30"/>
  <c r="C35" i="15"/>
  <c r="C32" i="15"/>
  <c r="C31" i="15"/>
  <c r="E164" i="30"/>
  <c r="E162" i="30"/>
  <c r="C20" i="15"/>
  <c r="C17" i="15"/>
  <c r="C16" i="15"/>
  <c r="E159" i="30"/>
  <c r="E158" i="30"/>
  <c r="E156" i="30"/>
  <c r="E154" i="30"/>
  <c r="A77" i="16"/>
  <c r="A76" i="16"/>
  <c r="A75" i="16"/>
  <c r="A74" i="16"/>
  <c r="A73" i="16"/>
  <c r="A72" i="16"/>
  <c r="A71" i="16"/>
  <c r="A70" i="16"/>
  <c r="A69" i="16"/>
  <c r="A68" i="16"/>
  <c r="A67" i="16"/>
  <c r="A66" i="16"/>
  <c r="G39" i="16"/>
  <c r="C36" i="16"/>
  <c r="C35" i="16"/>
  <c r="G26" i="16"/>
  <c r="C26" i="16"/>
  <c r="C25" i="16"/>
  <c r="C24" i="16"/>
  <c r="C22" i="16"/>
  <c r="C21" i="16"/>
  <c r="C17" i="16"/>
  <c r="C16" i="16"/>
  <c r="C15" i="16"/>
  <c r="E133" i="30"/>
  <c r="E132" i="30"/>
  <c r="E131" i="30"/>
  <c r="E120" i="30"/>
  <c r="E116" i="30"/>
  <c r="E115" i="30"/>
  <c r="E114" i="30"/>
  <c r="E110" i="30"/>
  <c r="E108" i="30"/>
  <c r="E105" i="30"/>
  <c r="E104" i="30"/>
  <c r="E103" i="30"/>
  <c r="C73" i="14"/>
  <c r="C68" i="14"/>
  <c r="C65" i="14"/>
  <c r="C64" i="14"/>
  <c r="C62" i="14"/>
  <c r="C60" i="14"/>
  <c r="E98" i="30"/>
  <c r="E96" i="30"/>
  <c r="E94" i="30"/>
  <c r="E92" i="30"/>
  <c r="E90" i="30"/>
  <c r="C49" i="14"/>
  <c r="C46" i="14"/>
  <c r="C45" i="14"/>
  <c r="C42" i="14"/>
  <c r="C41" i="14"/>
  <c r="C39" i="14"/>
  <c r="C37" i="14"/>
  <c r="E87" i="30"/>
  <c r="E85" i="30"/>
  <c r="E84" i="30"/>
  <c r="E82" i="30"/>
  <c r="E80" i="30"/>
  <c r="C27" i="14"/>
  <c r="C24" i="14"/>
  <c r="C23" i="14"/>
  <c r="C20" i="14"/>
  <c r="C19" i="14"/>
  <c r="C17" i="14"/>
  <c r="C15" i="14"/>
  <c r="E77" i="30"/>
  <c r="E75" i="30"/>
  <c r="E74" i="30"/>
  <c r="E72" i="30"/>
  <c r="E70" i="30"/>
  <c r="C134" i="13"/>
  <c r="C131" i="13"/>
  <c r="C130" i="13"/>
  <c r="C127" i="13"/>
  <c r="C126" i="13"/>
  <c r="C125" i="13"/>
  <c r="C123" i="13"/>
  <c r="C122" i="13"/>
  <c r="C121" i="13"/>
  <c r="C120" i="13"/>
  <c r="C117" i="13"/>
  <c r="C116" i="13"/>
  <c r="E67" i="30"/>
  <c r="E65" i="30"/>
  <c r="E64" i="30"/>
  <c r="E61" i="30"/>
  <c r="E60" i="30"/>
  <c r="E59" i="30"/>
  <c r="E58" i="30"/>
  <c r="E56" i="30"/>
  <c r="E55" i="30"/>
  <c r="C101" i="13"/>
  <c r="C97" i="13"/>
  <c r="C96" i="13"/>
  <c r="C93" i="13"/>
  <c r="C92" i="13"/>
  <c r="C89" i="13"/>
  <c r="C85" i="13"/>
  <c r="E47" i="30"/>
  <c r="E46" i="30"/>
  <c r="E45" i="30"/>
  <c r="C77" i="13"/>
  <c r="C74" i="13"/>
  <c r="C73" i="13"/>
  <c r="C70" i="13"/>
  <c r="C69" i="13"/>
  <c r="C67" i="13"/>
  <c r="C65" i="13"/>
  <c r="E42" i="30"/>
  <c r="E52" i="30" s="1"/>
  <c r="E40" i="30"/>
  <c r="E39" i="30"/>
  <c r="E37" i="30"/>
  <c r="E51" i="30" s="1"/>
  <c r="E35" i="30"/>
  <c r="C45" i="13"/>
  <c r="C42" i="13"/>
  <c r="C41" i="13"/>
  <c r="F38" i="13"/>
  <c r="C38" i="13"/>
  <c r="C37" i="13"/>
  <c r="C35" i="13"/>
  <c r="C34" i="13"/>
  <c r="C33" i="13"/>
  <c r="C31" i="13"/>
  <c r="E32" i="30"/>
  <c r="E30" i="30"/>
  <c r="E29" i="30"/>
  <c r="E26" i="30"/>
  <c r="E25" i="30"/>
  <c r="E24" i="30"/>
  <c r="E22" i="30"/>
  <c r="C24" i="13"/>
  <c r="C23" i="13"/>
  <c r="C22" i="13"/>
  <c r="C20" i="13"/>
  <c r="C19" i="13"/>
  <c r="C16" i="13"/>
  <c r="C15" i="13"/>
  <c r="E19" i="30"/>
  <c r="E18" i="30"/>
  <c r="E16" i="30"/>
  <c r="E15" i="30"/>
  <c r="C22" i="2"/>
  <c r="C21" i="2"/>
  <c r="C19" i="2"/>
  <c r="C18" i="2"/>
  <c r="C15" i="2"/>
  <c r="C14" i="2"/>
  <c r="E12" i="30"/>
  <c r="E11" i="30"/>
  <c r="E9" i="30"/>
  <c r="E8" i="30"/>
  <c r="D31" i="16"/>
  <c r="C31" i="16"/>
  <c r="D30" i="16"/>
  <c r="C30" i="16"/>
  <c r="F34" i="19"/>
  <c r="J180" i="30" l="1"/>
  <c r="J177" i="30"/>
  <c r="J172" i="30"/>
  <c r="J169" i="30"/>
  <c r="J158" i="30"/>
  <c r="J156" i="30"/>
  <c r="J63" i="30"/>
  <c r="J28" i="30"/>
  <c r="J337" i="39"/>
  <c r="V55" i="16" l="1"/>
  <c r="U55" i="16"/>
  <c r="A16" i="19" l="1"/>
  <c r="A17" i="19"/>
  <c r="A18" i="19"/>
  <c r="A19" i="19" s="1"/>
  <c r="A20" i="19" s="1"/>
  <c r="A21" i="19" s="1"/>
  <c r="F509" i="38" l="1"/>
  <c r="F477" i="38"/>
  <c r="F441" i="38"/>
  <c r="F397" i="38"/>
  <c r="F383" i="38"/>
  <c r="F351" i="38"/>
  <c r="F339" i="38"/>
  <c r="F319" i="38"/>
  <c r="F306" i="38"/>
  <c r="F272" i="38"/>
  <c r="F260" i="38"/>
  <c r="F33" i="38"/>
  <c r="D410" i="38"/>
  <c r="F410" i="38" s="1"/>
  <c r="D409" i="38"/>
  <c r="F409" i="38" s="1"/>
  <c r="D408" i="38"/>
  <c r="F408" i="38" s="1"/>
  <c r="D407" i="38"/>
  <c r="F407" i="38" s="1"/>
  <c r="D406" i="38"/>
  <c r="F406" i="38" s="1"/>
  <c r="D405" i="38"/>
  <c r="F405" i="38" s="1"/>
  <c r="D404" i="38"/>
  <c r="F404" i="38" s="1"/>
  <c r="D525" i="38"/>
  <c r="F525" i="38" s="1"/>
  <c r="D523" i="38"/>
  <c r="F523" i="38" s="1"/>
  <c r="D522" i="38"/>
  <c r="F522" i="38" s="1"/>
  <c r="D521" i="38"/>
  <c r="F521" i="38" s="1"/>
  <c r="D520" i="38"/>
  <c r="F520" i="38" s="1"/>
  <c r="D519" i="38"/>
  <c r="F519" i="38" s="1"/>
  <c r="D518" i="38"/>
  <c r="F518" i="38" s="1"/>
  <c r="D517" i="38"/>
  <c r="F517" i="38" s="1"/>
  <c r="D516" i="38"/>
  <c r="F516" i="38" s="1"/>
  <c r="D515" i="38"/>
  <c r="F515" i="38" s="1"/>
  <c r="D514" i="38"/>
  <c r="F514" i="38" s="1"/>
  <c r="D513" i="38"/>
  <c r="F513" i="38" s="1"/>
  <c r="D512" i="38"/>
  <c r="F512" i="38" s="1"/>
  <c r="D511" i="38"/>
  <c r="F511" i="38" s="1"/>
  <c r="D510" i="38"/>
  <c r="F510" i="38" s="1"/>
  <c r="D509" i="38"/>
  <c r="D508" i="38"/>
  <c r="F508" i="38" s="1"/>
  <c r="D507" i="38"/>
  <c r="F507" i="38" s="1"/>
  <c r="D506" i="38"/>
  <c r="F506" i="38" s="1"/>
  <c r="D505" i="38"/>
  <c r="F505" i="38" s="1"/>
  <c r="D504" i="38"/>
  <c r="F504" i="38" s="1"/>
  <c r="D503" i="38"/>
  <c r="F503" i="38" s="1"/>
  <c r="D502" i="38"/>
  <c r="F502" i="38" s="1"/>
  <c r="D501" i="38"/>
  <c r="F501" i="38" s="1"/>
  <c r="D500" i="38"/>
  <c r="F500" i="38" s="1"/>
  <c r="D499" i="38"/>
  <c r="F499" i="38" s="1"/>
  <c r="D498" i="38"/>
  <c r="F498" i="38" s="1"/>
  <c r="D497" i="38"/>
  <c r="F497" i="38" s="1"/>
  <c r="D496" i="38"/>
  <c r="F496" i="38" s="1"/>
  <c r="D495" i="38"/>
  <c r="F495" i="38" s="1"/>
  <c r="D494" i="38"/>
  <c r="F494" i="38" s="1"/>
  <c r="D493" i="38"/>
  <c r="F493" i="38" s="1"/>
  <c r="D492" i="38"/>
  <c r="F492" i="38" s="1"/>
  <c r="D491" i="38"/>
  <c r="F491" i="38" s="1"/>
  <c r="D490" i="38"/>
  <c r="F490" i="38" s="1"/>
  <c r="D489" i="38"/>
  <c r="F489" i="38" s="1"/>
  <c r="D488" i="38"/>
  <c r="F488" i="38" s="1"/>
  <c r="D487" i="38"/>
  <c r="F487" i="38" s="1"/>
  <c r="D486" i="38"/>
  <c r="F486" i="38" s="1"/>
  <c r="D485" i="38"/>
  <c r="F485" i="38" s="1"/>
  <c r="D484" i="38"/>
  <c r="F484" i="38" s="1"/>
  <c r="D483" i="38"/>
  <c r="F483" i="38" s="1"/>
  <c r="D482" i="38"/>
  <c r="F482" i="38" s="1"/>
  <c r="D481" i="38"/>
  <c r="F481" i="38" s="1"/>
  <c r="D480" i="38"/>
  <c r="F480" i="38" s="1"/>
  <c r="D479" i="38"/>
  <c r="F479" i="38" s="1"/>
  <c r="D478" i="38"/>
  <c r="F478" i="38" s="1"/>
  <c r="D477" i="38"/>
  <c r="D476" i="38"/>
  <c r="F476" i="38" s="1"/>
  <c r="D475" i="38"/>
  <c r="F475" i="38" s="1"/>
  <c r="D474" i="38"/>
  <c r="F474" i="38" s="1"/>
  <c r="D473" i="38"/>
  <c r="F473" i="38" s="1"/>
  <c r="D472" i="38"/>
  <c r="F472" i="38" s="1"/>
  <c r="D471" i="38"/>
  <c r="F471" i="38" s="1"/>
  <c r="D470" i="38"/>
  <c r="F470" i="38" s="1"/>
  <c r="D469" i="38"/>
  <c r="F469" i="38" s="1"/>
  <c r="D468" i="38"/>
  <c r="F468" i="38" s="1"/>
  <c r="D467" i="38"/>
  <c r="F467" i="38" s="1"/>
  <c r="D466" i="38"/>
  <c r="F466" i="38" s="1"/>
  <c r="D465" i="38"/>
  <c r="F465" i="38" s="1"/>
  <c r="D464" i="38"/>
  <c r="F464" i="38" s="1"/>
  <c r="D463" i="38"/>
  <c r="F463" i="38" s="1"/>
  <c r="D462" i="38"/>
  <c r="F462" i="38" s="1"/>
  <c r="D461" i="38"/>
  <c r="F461" i="38" s="1"/>
  <c r="D459" i="38"/>
  <c r="F459" i="38" s="1"/>
  <c r="D458" i="38"/>
  <c r="F458" i="38" s="1"/>
  <c r="D456" i="38"/>
  <c r="F456" i="38" s="1"/>
  <c r="D455" i="38"/>
  <c r="F455" i="38" s="1"/>
  <c r="D454" i="38"/>
  <c r="F454" i="38" s="1"/>
  <c r="D453" i="38"/>
  <c r="F453" i="38" s="1"/>
  <c r="D452" i="38"/>
  <c r="F452" i="38" s="1"/>
  <c r="D450" i="38"/>
  <c r="F450" i="38" s="1"/>
  <c r="D449" i="38"/>
  <c r="F449" i="38" s="1"/>
  <c r="D448" i="38"/>
  <c r="F448" i="38" s="1"/>
  <c r="D447" i="38"/>
  <c r="F447" i="38" s="1"/>
  <c r="D445" i="38"/>
  <c r="F445" i="38" s="1"/>
  <c r="D444" i="38"/>
  <c r="F444" i="38" s="1"/>
  <c r="D443" i="38"/>
  <c r="F443" i="38" s="1"/>
  <c r="D442" i="38"/>
  <c r="F442" i="38" s="1"/>
  <c r="D441" i="38"/>
  <c r="D440" i="38"/>
  <c r="F440" i="38" s="1"/>
  <c r="D427" i="38"/>
  <c r="F427" i="38" s="1"/>
  <c r="D426" i="38"/>
  <c r="F426" i="38" s="1"/>
  <c r="D413" i="38"/>
  <c r="F413" i="38" s="1"/>
  <c r="D412" i="38"/>
  <c r="F412" i="38" s="1"/>
  <c r="D403" i="38"/>
  <c r="F403" i="38" s="1"/>
  <c r="D402" i="38"/>
  <c r="F402" i="38" s="1"/>
  <c r="D401" i="38"/>
  <c r="F401" i="38" s="1"/>
  <c r="D400" i="38"/>
  <c r="F400" i="38" s="1"/>
  <c r="D399" i="38"/>
  <c r="F399" i="38" s="1"/>
  <c r="D398" i="38"/>
  <c r="F398" i="38" s="1"/>
  <c r="D397" i="38"/>
  <c r="D396" i="38"/>
  <c r="F396" i="38" s="1"/>
  <c r="D395" i="38"/>
  <c r="F395" i="38" s="1"/>
  <c r="D394" i="38"/>
  <c r="F394" i="38" s="1"/>
  <c r="D393" i="38"/>
  <c r="F393" i="38" s="1"/>
  <c r="D392" i="38"/>
  <c r="F392" i="38" s="1"/>
  <c r="D391" i="38"/>
  <c r="F391" i="38" s="1"/>
  <c r="D390" i="38"/>
  <c r="F390" i="38" s="1"/>
  <c r="D388" i="38"/>
  <c r="F388" i="38" s="1"/>
  <c r="D386" i="38"/>
  <c r="F386" i="38" s="1"/>
  <c r="D385" i="38"/>
  <c r="F385" i="38" s="1"/>
  <c r="D384" i="38"/>
  <c r="F384" i="38" s="1"/>
  <c r="D383" i="38"/>
  <c r="D382" i="38"/>
  <c r="F382" i="38" s="1"/>
  <c r="D381" i="38"/>
  <c r="F381" i="38" s="1"/>
  <c r="D368" i="38"/>
  <c r="F368" i="38" s="1"/>
  <c r="D367" i="38"/>
  <c r="F367" i="38" s="1"/>
  <c r="D366" i="38"/>
  <c r="F366" i="38" s="1"/>
  <c r="D365" i="38"/>
  <c r="F365" i="38" s="1"/>
  <c r="D364" i="38"/>
  <c r="F364" i="38" s="1"/>
  <c r="D363" i="38"/>
  <c r="F363" i="38" s="1"/>
  <c r="D362" i="38"/>
  <c r="F362" i="38" s="1"/>
  <c r="D361" i="38"/>
  <c r="F361" i="38" s="1"/>
  <c r="D360" i="38"/>
  <c r="F360" i="38" s="1"/>
  <c r="D359" i="38"/>
  <c r="F359" i="38" s="1"/>
  <c r="D358" i="38"/>
  <c r="F358" i="38" s="1"/>
  <c r="D357" i="38"/>
  <c r="F357" i="38" s="1"/>
  <c r="D356" i="38"/>
  <c r="F356" i="38" s="1"/>
  <c r="D355" i="38"/>
  <c r="F355" i="38" s="1"/>
  <c r="D354" i="38"/>
  <c r="F354" i="38" s="1"/>
  <c r="D353" i="38"/>
  <c r="F353" i="38" s="1"/>
  <c r="D352" i="38"/>
  <c r="F352" i="38" s="1"/>
  <c r="D351" i="38"/>
  <c r="D350" i="38"/>
  <c r="F350" i="38" s="1"/>
  <c r="D349" i="38"/>
  <c r="F349" i="38" s="1"/>
  <c r="D348" i="38"/>
  <c r="F348" i="38" s="1"/>
  <c r="D347" i="38"/>
  <c r="F347" i="38" s="1"/>
  <c r="D346" i="38"/>
  <c r="F346" i="38" s="1"/>
  <c r="D345" i="38"/>
  <c r="F345" i="38" s="1"/>
  <c r="D344" i="38"/>
  <c r="F344" i="38" s="1"/>
  <c r="D343" i="38"/>
  <c r="F343" i="38" s="1"/>
  <c r="D342" i="38"/>
  <c r="F342" i="38" s="1"/>
  <c r="D341" i="38"/>
  <c r="F341" i="38" s="1"/>
  <c r="D340" i="38"/>
  <c r="F340" i="38" s="1"/>
  <c r="D339" i="38"/>
  <c r="D338" i="38"/>
  <c r="F338" i="38" s="1"/>
  <c r="D337" i="38"/>
  <c r="F337" i="38" s="1"/>
  <c r="D336" i="38"/>
  <c r="F336" i="38" s="1"/>
  <c r="D335" i="38"/>
  <c r="F335" i="38" s="1"/>
  <c r="D334" i="38"/>
  <c r="F334" i="38" s="1"/>
  <c r="D333" i="38"/>
  <c r="F333" i="38" s="1"/>
  <c r="D332" i="38"/>
  <c r="F332" i="38" s="1"/>
  <c r="D331" i="38"/>
  <c r="F331" i="38" s="1"/>
  <c r="D330" i="38"/>
  <c r="F330" i="38" s="1"/>
  <c r="D329" i="38"/>
  <c r="F329" i="38" s="1"/>
  <c r="D328" i="38"/>
  <c r="F328" i="38" s="1"/>
  <c r="D327" i="38"/>
  <c r="F327" i="38" s="1"/>
  <c r="D326" i="38"/>
  <c r="F326" i="38" s="1"/>
  <c r="D325" i="38"/>
  <c r="F325" i="38" s="1"/>
  <c r="D324" i="38"/>
  <c r="F324" i="38" s="1"/>
  <c r="D323" i="38"/>
  <c r="F323" i="38" s="1"/>
  <c r="D322" i="38"/>
  <c r="F322" i="38" s="1"/>
  <c r="D321" i="38"/>
  <c r="F321" i="38" s="1"/>
  <c r="D320" i="38"/>
  <c r="F320" i="38" s="1"/>
  <c r="D319" i="38"/>
  <c r="D318" i="38"/>
  <c r="F318" i="38" s="1"/>
  <c r="D317" i="38"/>
  <c r="F317" i="38" s="1"/>
  <c r="D316" i="38"/>
  <c r="F316" i="38" s="1"/>
  <c r="D315" i="38"/>
  <c r="F315" i="38" s="1"/>
  <c r="D313" i="38"/>
  <c r="F313" i="38" s="1"/>
  <c r="D312" i="38"/>
  <c r="F312" i="38" s="1"/>
  <c r="D311" i="38"/>
  <c r="F311" i="38" s="1"/>
  <c r="D310" i="38"/>
  <c r="F310" i="38" s="1"/>
  <c r="D309" i="38"/>
  <c r="F309" i="38" s="1"/>
  <c r="D308" i="38"/>
  <c r="F308" i="38" s="1"/>
  <c r="D307" i="38"/>
  <c r="F307" i="38" s="1"/>
  <c r="D306" i="38"/>
  <c r="D305" i="38"/>
  <c r="F305" i="38" s="1"/>
  <c r="D290" i="38"/>
  <c r="F290" i="38" s="1"/>
  <c r="D289" i="38"/>
  <c r="F289" i="38" s="1"/>
  <c r="D288" i="38"/>
  <c r="F288" i="38" s="1"/>
  <c r="D287" i="38"/>
  <c r="F287" i="38" s="1"/>
  <c r="D286" i="38"/>
  <c r="F286" i="38" s="1"/>
  <c r="D285" i="38"/>
  <c r="F285" i="38" s="1"/>
  <c r="D284" i="38"/>
  <c r="F284" i="38" s="1"/>
  <c r="D283" i="38"/>
  <c r="F283" i="38" s="1"/>
  <c r="D282" i="38"/>
  <c r="F282" i="38" s="1"/>
  <c r="D281" i="38"/>
  <c r="F281" i="38" s="1"/>
  <c r="D280" i="38"/>
  <c r="F280" i="38" s="1"/>
  <c r="D279" i="38"/>
  <c r="F279" i="38" s="1"/>
  <c r="D278" i="38"/>
  <c r="F278" i="38" s="1"/>
  <c r="D277" i="38"/>
  <c r="F277" i="38" s="1"/>
  <c r="D276" i="38"/>
  <c r="F276" i="38" s="1"/>
  <c r="D275" i="38"/>
  <c r="F275" i="38" s="1"/>
  <c r="D274" i="38"/>
  <c r="F274" i="38" s="1"/>
  <c r="D273" i="38"/>
  <c r="F273" i="38" s="1"/>
  <c r="D272" i="38"/>
  <c r="D271" i="38"/>
  <c r="F271" i="38" s="1"/>
  <c r="D270" i="38"/>
  <c r="F270" i="38" s="1"/>
  <c r="D269" i="38"/>
  <c r="F269" i="38" s="1"/>
  <c r="D268" i="38"/>
  <c r="F268" i="38" s="1"/>
  <c r="D267" i="38"/>
  <c r="F267" i="38" s="1"/>
  <c r="D266" i="38"/>
  <c r="F266" i="38" s="1"/>
  <c r="D265" i="38"/>
  <c r="F265" i="38" s="1"/>
  <c r="D264" i="38"/>
  <c r="F264" i="38" s="1"/>
  <c r="D263" i="38"/>
  <c r="F263" i="38" s="1"/>
  <c r="D262" i="38"/>
  <c r="F262" i="38" s="1"/>
  <c r="D261" i="38"/>
  <c r="F261" i="38" s="1"/>
  <c r="D260" i="38"/>
  <c r="D259" i="38"/>
  <c r="F259" i="38" s="1"/>
  <c r="D258" i="38"/>
  <c r="F258" i="38" s="1"/>
  <c r="D257" i="38"/>
  <c r="F257" i="38" s="1"/>
  <c r="D256" i="38"/>
  <c r="F256" i="38" s="1"/>
  <c r="D255" i="38"/>
  <c r="F255" i="38" s="1"/>
  <c r="D254" i="38"/>
  <c r="F254" i="38" s="1"/>
  <c r="D253" i="38"/>
  <c r="F253" i="38" s="1"/>
  <c r="D252" i="38"/>
  <c r="F252" i="38" s="1"/>
  <c r="D251" i="38"/>
  <c r="F251" i="38" s="1"/>
  <c r="D250" i="38"/>
  <c r="F250" i="38" s="1"/>
  <c r="D249" i="38"/>
  <c r="F249" i="38" s="1"/>
  <c r="D248" i="38"/>
  <c r="F248" i="38" s="1"/>
  <c r="D247" i="38"/>
  <c r="F247" i="38" s="1"/>
  <c r="D246" i="38"/>
  <c r="F246" i="38" s="1"/>
  <c r="D245" i="38"/>
  <c r="F245" i="38" s="1"/>
  <c r="D244" i="38"/>
  <c r="F244" i="38" s="1"/>
  <c r="D243" i="38"/>
  <c r="F243" i="38" s="1"/>
  <c r="D242" i="38"/>
  <c r="F242" i="38" s="1"/>
  <c r="D241" i="38"/>
  <c r="F241" i="38" s="1"/>
  <c r="D240" i="38"/>
  <c r="F240" i="38" s="1"/>
  <c r="D239" i="38"/>
  <c r="F239" i="38" s="1"/>
  <c r="D238" i="38"/>
  <c r="F238" i="38" s="1"/>
  <c r="D237" i="38"/>
  <c r="F237" i="38" s="1"/>
  <c r="D235" i="38"/>
  <c r="F235" i="38" s="1"/>
  <c r="D234" i="38"/>
  <c r="F234" i="38" s="1"/>
  <c r="D233" i="38"/>
  <c r="F233" i="38" s="1"/>
  <c r="D232" i="38"/>
  <c r="F232" i="38" s="1"/>
  <c r="D231" i="38"/>
  <c r="F231" i="38" s="1"/>
  <c r="D230" i="38"/>
  <c r="F230" i="38" s="1"/>
  <c r="D228" i="38"/>
  <c r="F228" i="38" s="1"/>
  <c r="D227" i="38"/>
  <c r="F227" i="38" s="1"/>
  <c r="D226" i="38"/>
  <c r="F226" i="38" s="1"/>
  <c r="D225" i="38"/>
  <c r="F225" i="38" s="1"/>
  <c r="D224" i="38"/>
  <c r="F224" i="38" s="1"/>
  <c r="D223" i="38"/>
  <c r="F223" i="38" s="1"/>
  <c r="D222" i="38"/>
  <c r="F222" i="38" s="1"/>
  <c r="D221" i="38"/>
  <c r="F221" i="38" s="1"/>
  <c r="D220" i="38"/>
  <c r="F220" i="38" s="1"/>
  <c r="D218" i="38"/>
  <c r="F218" i="38" s="1"/>
  <c r="D217" i="38"/>
  <c r="F217" i="38" s="1"/>
  <c r="D216" i="38"/>
  <c r="F216" i="38" s="1"/>
  <c r="D215" i="38"/>
  <c r="F215" i="38" s="1"/>
  <c r="D214" i="38"/>
  <c r="F214" i="38" s="1"/>
  <c r="D213" i="38"/>
  <c r="F213" i="38" s="1"/>
  <c r="D212" i="38"/>
  <c r="F212" i="38" s="1"/>
  <c r="D211" i="38"/>
  <c r="F211" i="38" s="1"/>
  <c r="D210" i="38"/>
  <c r="F210" i="38" s="1"/>
  <c r="D209" i="38"/>
  <c r="F209" i="38" s="1"/>
  <c r="D208" i="38"/>
  <c r="F208" i="38" s="1"/>
  <c r="D207" i="38"/>
  <c r="F207" i="38" s="1"/>
  <c r="D206" i="38"/>
  <c r="F206" i="38" s="1"/>
  <c r="D205" i="38"/>
  <c r="F205" i="38" s="1"/>
  <c r="D204" i="38"/>
  <c r="F204" i="38" s="1"/>
  <c r="D203" i="38"/>
  <c r="F203" i="38" s="1"/>
  <c r="D202" i="38"/>
  <c r="F202" i="38" s="1"/>
  <c r="D201" i="38"/>
  <c r="F201" i="38" s="1"/>
  <c r="D200" i="38"/>
  <c r="F200" i="38" s="1"/>
  <c r="D199" i="38"/>
  <c r="F199" i="38" s="1"/>
  <c r="D198" i="38"/>
  <c r="F198" i="38" s="1"/>
  <c r="D197" i="38"/>
  <c r="F197" i="38" s="1"/>
  <c r="D196" i="38"/>
  <c r="F196" i="38" s="1"/>
  <c r="D195" i="38"/>
  <c r="F195" i="38" s="1"/>
  <c r="D194" i="38"/>
  <c r="F194" i="38" s="1"/>
  <c r="D193" i="38"/>
  <c r="F193" i="38" s="1"/>
  <c r="D192" i="38"/>
  <c r="F192" i="38" s="1"/>
  <c r="D191" i="38"/>
  <c r="F191" i="38" s="1"/>
  <c r="D190" i="38"/>
  <c r="F190" i="38" s="1"/>
  <c r="D189" i="38"/>
  <c r="F189" i="38" s="1"/>
  <c r="D188" i="38"/>
  <c r="F188" i="38" s="1"/>
  <c r="D187" i="38"/>
  <c r="F187" i="38" s="1"/>
  <c r="D186" i="38"/>
  <c r="F186" i="38" s="1"/>
  <c r="D185" i="38"/>
  <c r="F185" i="38" s="1"/>
  <c r="D184" i="38"/>
  <c r="F184" i="38" s="1"/>
  <c r="D183" i="38"/>
  <c r="F183" i="38" s="1"/>
  <c r="D182" i="38"/>
  <c r="F182" i="38" s="1"/>
  <c r="D181" i="38"/>
  <c r="F181" i="38" s="1"/>
  <c r="D180" i="38"/>
  <c r="F180" i="38" s="1"/>
  <c r="D179" i="38"/>
  <c r="F179" i="38" s="1"/>
  <c r="D178" i="38"/>
  <c r="F178" i="38" s="1"/>
  <c r="D177" i="38"/>
  <c r="F177" i="38" s="1"/>
  <c r="D176" i="38"/>
  <c r="F176" i="38" s="1"/>
  <c r="D175" i="38"/>
  <c r="F175" i="38" s="1"/>
  <c r="D174" i="38"/>
  <c r="F174" i="38" s="1"/>
  <c r="D173" i="38"/>
  <c r="F173" i="38" s="1"/>
  <c r="D172" i="38"/>
  <c r="F172" i="38" s="1"/>
  <c r="D171" i="38"/>
  <c r="F171" i="38" s="1"/>
  <c r="D170" i="38"/>
  <c r="F170" i="38" s="1"/>
  <c r="D169" i="38"/>
  <c r="F169" i="38" s="1"/>
  <c r="D168" i="38"/>
  <c r="F168" i="38" s="1"/>
  <c r="D167" i="38"/>
  <c r="F167" i="38" s="1"/>
  <c r="D166" i="38"/>
  <c r="F166" i="38" s="1"/>
  <c r="D165" i="38"/>
  <c r="F165" i="38" s="1"/>
  <c r="D163" i="38"/>
  <c r="F163" i="38" s="1"/>
  <c r="D162" i="38"/>
  <c r="F162" i="38" s="1"/>
  <c r="D161" i="38"/>
  <c r="F161" i="38" s="1"/>
  <c r="D160" i="38"/>
  <c r="F160" i="38" s="1"/>
  <c r="D159" i="38"/>
  <c r="F159" i="38" s="1"/>
  <c r="D157" i="38"/>
  <c r="F157" i="38" s="1"/>
  <c r="D156" i="38"/>
  <c r="F156" i="38" s="1"/>
  <c r="D155" i="38"/>
  <c r="F155" i="38" s="1"/>
  <c r="D154" i="38"/>
  <c r="F154" i="38" s="1"/>
  <c r="D153" i="38"/>
  <c r="F153" i="38" s="1"/>
  <c r="D152" i="38"/>
  <c r="F152" i="38" s="1"/>
  <c r="D151" i="38"/>
  <c r="F151" i="38" s="1"/>
  <c r="D150" i="38"/>
  <c r="F150" i="38" s="1"/>
  <c r="D149" i="38"/>
  <c r="F149" i="38" s="1"/>
  <c r="D136" i="38"/>
  <c r="F136" i="38" s="1"/>
  <c r="D135" i="38"/>
  <c r="F135" i="38" s="1"/>
  <c r="D133" i="38"/>
  <c r="F133" i="38" s="1"/>
  <c r="D132" i="38"/>
  <c r="F132" i="38" s="1"/>
  <c r="D131" i="38"/>
  <c r="F131" i="38" s="1"/>
  <c r="D130" i="38"/>
  <c r="F130" i="38" s="1"/>
  <c r="D129" i="38"/>
  <c r="F129" i="38" s="1"/>
  <c r="D128" i="38"/>
  <c r="F128" i="38" s="1"/>
  <c r="D127" i="38"/>
  <c r="F127" i="38" s="1"/>
  <c r="D125" i="38"/>
  <c r="F125" i="38" s="1"/>
  <c r="D124" i="38"/>
  <c r="F124" i="38" s="1"/>
  <c r="D123" i="38"/>
  <c r="F123" i="38" s="1"/>
  <c r="D122" i="38"/>
  <c r="F122" i="38" s="1"/>
  <c r="D121" i="38"/>
  <c r="F121" i="38" s="1"/>
  <c r="D120" i="38"/>
  <c r="F120" i="38" s="1"/>
  <c r="D119" i="38"/>
  <c r="F119" i="38" s="1"/>
  <c r="D118" i="38"/>
  <c r="F118" i="38" s="1"/>
  <c r="D106" i="38"/>
  <c r="D105" i="38"/>
  <c r="D103" i="38"/>
  <c r="F103" i="38" s="1"/>
  <c r="D102" i="38"/>
  <c r="F102" i="38" s="1"/>
  <c r="D101" i="38"/>
  <c r="F101" i="38" s="1"/>
  <c r="D100" i="38"/>
  <c r="F100" i="38" s="1"/>
  <c r="D99" i="38"/>
  <c r="F99" i="38" s="1"/>
  <c r="D98" i="38"/>
  <c r="F98" i="38" s="1"/>
  <c r="D97" i="38"/>
  <c r="F97" i="38" s="1"/>
  <c r="D96" i="38"/>
  <c r="F96" i="38" s="1"/>
  <c r="D95" i="38"/>
  <c r="F95" i="38" s="1"/>
  <c r="D94" i="38"/>
  <c r="F94" i="38" s="1"/>
  <c r="D93" i="38"/>
  <c r="F93" i="38" s="1"/>
  <c r="D92" i="38"/>
  <c r="F92" i="38" s="1"/>
  <c r="D91" i="38"/>
  <c r="F91" i="38" s="1"/>
  <c r="D90" i="38"/>
  <c r="F90" i="38" s="1"/>
  <c r="D89" i="38"/>
  <c r="F89" i="38" s="1"/>
  <c r="D88" i="38"/>
  <c r="F88" i="38" s="1"/>
  <c r="D87" i="38"/>
  <c r="F87" i="38" s="1"/>
  <c r="D86" i="38"/>
  <c r="F86" i="38" s="1"/>
  <c r="D85" i="38"/>
  <c r="F85" i="38" s="1"/>
  <c r="D84" i="38"/>
  <c r="F84" i="38" s="1"/>
  <c r="D83" i="38"/>
  <c r="F83" i="38" s="1"/>
  <c r="D82" i="38"/>
  <c r="F82" i="38" s="1"/>
  <c r="D81" i="38"/>
  <c r="F81" i="38" s="1"/>
  <c r="D80" i="38"/>
  <c r="F80" i="38" s="1"/>
  <c r="D79" i="38"/>
  <c r="F79" i="38" s="1"/>
  <c r="D78" i="38"/>
  <c r="F78" i="38" s="1"/>
  <c r="D77" i="38"/>
  <c r="F77" i="38" s="1"/>
  <c r="D76" i="38"/>
  <c r="F76" i="38" s="1"/>
  <c r="D75" i="38"/>
  <c r="F75" i="38" s="1"/>
  <c r="D74" i="38"/>
  <c r="F74" i="38" s="1"/>
  <c r="D73" i="38"/>
  <c r="F73" i="38" s="1"/>
  <c r="D72" i="38"/>
  <c r="F72" i="38" s="1"/>
  <c r="D71" i="38"/>
  <c r="F71" i="38" s="1"/>
  <c r="D70" i="38"/>
  <c r="F70" i="38" s="1"/>
  <c r="D69" i="38"/>
  <c r="F69" i="38" s="1"/>
  <c r="D68" i="38"/>
  <c r="F68" i="38" s="1"/>
  <c r="D67" i="38"/>
  <c r="F67" i="38" s="1"/>
  <c r="D66" i="38"/>
  <c r="F66" i="38" s="1"/>
  <c r="D65" i="38"/>
  <c r="F65" i="38" s="1"/>
  <c r="D64" i="38"/>
  <c r="F64" i="38" s="1"/>
  <c r="D63" i="38"/>
  <c r="F63" i="38" s="1"/>
  <c r="D62" i="38"/>
  <c r="F62" i="38" s="1"/>
  <c r="D61" i="38"/>
  <c r="F61" i="38" s="1"/>
  <c r="D60" i="38"/>
  <c r="F60" i="38" s="1"/>
  <c r="D59" i="38"/>
  <c r="F59" i="38" s="1"/>
  <c r="D58" i="38"/>
  <c r="F58" i="38" s="1"/>
  <c r="D57" i="38"/>
  <c r="F57" i="38" s="1"/>
  <c r="D56" i="38"/>
  <c r="F56" i="38" s="1"/>
  <c r="D55" i="38"/>
  <c r="F55" i="38" s="1"/>
  <c r="D54" i="38"/>
  <c r="F54" i="38" s="1"/>
  <c r="D53" i="38"/>
  <c r="F53" i="38" s="1"/>
  <c r="D52" i="38"/>
  <c r="F52" i="38" s="1"/>
  <c r="D51" i="38"/>
  <c r="F51" i="38" s="1"/>
  <c r="D50" i="38"/>
  <c r="F50" i="38" s="1"/>
  <c r="D30" i="38"/>
  <c r="F30" i="38" s="1"/>
  <c r="D39" i="38"/>
  <c r="F39" i="38" s="1"/>
  <c r="D38" i="38"/>
  <c r="F38" i="38" s="1"/>
  <c r="D37" i="38"/>
  <c r="F37" i="38" s="1"/>
  <c r="D36" i="38"/>
  <c r="F36" i="38" s="1"/>
  <c r="D34" i="38"/>
  <c r="F34" i="38" s="1"/>
  <c r="D33" i="38"/>
  <c r="D32" i="38"/>
  <c r="F32" i="38" s="1"/>
  <c r="A360" i="39" l="1"/>
  <c r="B360" i="39"/>
  <c r="A361" i="39"/>
  <c r="B361" i="39"/>
  <c r="E361" i="39"/>
  <c r="E362" i="39" s="1"/>
  <c r="E363" i="39" s="1"/>
  <c r="E364" i="39" s="1"/>
  <c r="E365" i="39" s="1"/>
  <c r="E366" i="39" s="1"/>
  <c r="E367" i="39" s="1"/>
  <c r="E370" i="39" s="1"/>
  <c r="E371" i="39" s="1"/>
  <c r="E372" i="39" s="1"/>
  <c r="E373" i="39" s="1"/>
  <c r="A362" i="39"/>
  <c r="A363" i="39" s="1"/>
  <c r="A364" i="39" s="1"/>
  <c r="A365" i="39" s="1"/>
  <c r="A366" i="39" s="1"/>
  <c r="A367" i="39" s="1"/>
  <c r="A368" i="39" s="1"/>
  <c r="A369" i="39" s="1"/>
  <c r="A370" i="39" s="1"/>
  <c r="A371" i="39" s="1"/>
  <c r="A372" i="39" s="1"/>
  <c r="A373" i="39" s="1"/>
  <c r="A374" i="39" s="1"/>
  <c r="B362" i="39"/>
  <c r="B363" i="39"/>
  <c r="B364" i="39"/>
  <c r="B365" i="39"/>
  <c r="B366" i="39"/>
  <c r="B367" i="39"/>
  <c r="B368" i="39"/>
  <c r="B369" i="39"/>
  <c r="B370" i="39"/>
  <c r="B371" i="39"/>
  <c r="B372" i="39"/>
  <c r="B373" i="39"/>
  <c r="B374" i="39"/>
  <c r="E374" i="39"/>
  <c r="E375" i="39" s="1"/>
  <c r="E395" i="39" s="1"/>
  <c r="E396" i="39" s="1"/>
  <c r="E397" i="39" s="1"/>
  <c r="E398" i="39" s="1"/>
  <c r="E399" i="39" s="1"/>
  <c r="E402" i="39" s="1"/>
  <c r="E403" i="39" s="1"/>
  <c r="E404" i="39" s="1"/>
  <c r="E405" i="39" s="1"/>
  <c r="E406" i="39" s="1"/>
  <c r="E407" i="39" s="1"/>
  <c r="E412" i="39" s="1"/>
  <c r="E413" i="39" s="1"/>
  <c r="E414" i="39" s="1"/>
  <c r="E415" i="39" s="1"/>
  <c r="E416" i="39" s="1"/>
  <c r="E417" i="39" s="1"/>
  <c r="E418" i="39" s="1"/>
  <c r="E419" i="39" s="1"/>
  <c r="E420" i="39" s="1"/>
  <c r="E421" i="39" s="1"/>
  <c r="A375" i="39"/>
  <c r="A376" i="39" s="1"/>
  <c r="A377" i="39" s="1"/>
  <c r="B375" i="39"/>
  <c r="B376" i="39"/>
  <c r="B377" i="39"/>
  <c r="A378" i="39"/>
  <c r="A379" i="39" s="1"/>
  <c r="A380" i="39" s="1"/>
  <c r="A381" i="39" s="1"/>
  <c r="A382" i="39" s="1"/>
  <c r="A383" i="39" s="1"/>
  <c r="A384" i="39" s="1"/>
  <c r="A385" i="39" s="1"/>
  <c r="A386" i="39" s="1"/>
  <c r="A387" i="39" s="1"/>
  <c r="A388" i="39" s="1"/>
  <c r="A389" i="39" s="1"/>
  <c r="A390" i="39" s="1"/>
  <c r="A391" i="39" s="1"/>
  <c r="A392" i="39" s="1"/>
  <c r="A393" i="39" s="1"/>
  <c r="A394" i="39" s="1"/>
  <c r="A395" i="39" s="1"/>
  <c r="A396" i="39" s="1"/>
  <c r="A397" i="39" s="1"/>
  <c r="A398" i="39" s="1"/>
  <c r="A399" i="39" s="1"/>
  <c r="A400" i="39" s="1"/>
  <c r="A401" i="39" s="1"/>
  <c r="A402" i="39" s="1"/>
  <c r="A403" i="39" s="1"/>
  <c r="A404" i="39" s="1"/>
  <c r="A405" i="39" s="1"/>
  <c r="A406" i="39" s="1"/>
  <c r="A407" i="39" s="1"/>
  <c r="A408" i="39" s="1"/>
  <c r="A409" i="39" s="1"/>
  <c r="A410" i="39" s="1"/>
  <c r="A411" i="39" s="1"/>
  <c r="A412" i="39" s="1"/>
  <c r="A413" i="39" s="1"/>
  <c r="A414" i="39" s="1"/>
  <c r="A415" i="39" s="1"/>
  <c r="A416" i="39" s="1"/>
  <c r="A417" i="39" s="1"/>
  <c r="A418" i="39" s="1"/>
  <c r="A419" i="39" s="1"/>
  <c r="A420" i="39" s="1"/>
  <c r="A421" i="39" s="1"/>
  <c r="A422" i="39" s="1"/>
  <c r="A423" i="39" s="1"/>
  <c r="A424" i="39" s="1"/>
  <c r="B378" i="39"/>
  <c r="B379" i="39"/>
  <c r="B380" i="39"/>
  <c r="B381" i="39"/>
  <c r="B382" i="39"/>
  <c r="B383" i="39"/>
  <c r="B384" i="39"/>
  <c r="B385" i="39"/>
  <c r="B386" i="39"/>
  <c r="B387" i="39"/>
  <c r="B388" i="39"/>
  <c r="B389" i="39"/>
  <c r="B390" i="39"/>
  <c r="B391" i="39"/>
  <c r="B392" i="39"/>
  <c r="B393" i="39"/>
  <c r="B394" i="39"/>
  <c r="B395" i="39"/>
  <c r="B396" i="39"/>
  <c r="B397" i="39"/>
  <c r="B398" i="39"/>
  <c r="B399" i="39"/>
  <c r="B400" i="39"/>
  <c r="B401" i="39"/>
  <c r="B402" i="39"/>
  <c r="B403" i="39"/>
  <c r="B404" i="39"/>
  <c r="B405" i="39"/>
  <c r="B406" i="39"/>
  <c r="B407" i="39"/>
  <c r="B408" i="39"/>
  <c r="B409" i="39"/>
  <c r="B410" i="39"/>
  <c r="B411" i="39"/>
  <c r="B412" i="39"/>
  <c r="B413" i="39"/>
  <c r="B414" i="39"/>
  <c r="B415" i="39"/>
  <c r="B416" i="39"/>
  <c r="B417" i="39"/>
  <c r="B418" i="39"/>
  <c r="B419" i="39"/>
  <c r="B420" i="39"/>
  <c r="B421" i="39"/>
  <c r="B422" i="39"/>
  <c r="B424" i="39"/>
  <c r="E424" i="39"/>
  <c r="E358" i="39"/>
  <c r="B358" i="39"/>
  <c r="E357" i="39"/>
  <c r="B357" i="39"/>
  <c r="E355" i="39"/>
  <c r="B355" i="39"/>
  <c r="E354" i="39"/>
  <c r="B354" i="39"/>
  <c r="E353" i="39"/>
  <c r="B353" i="39"/>
  <c r="E352" i="39"/>
  <c r="B352" i="39"/>
  <c r="E351" i="39"/>
  <c r="B351" i="39"/>
  <c r="E349" i="39"/>
  <c r="B349" i="39"/>
  <c r="E348" i="39"/>
  <c r="B348" i="39"/>
  <c r="E347" i="39"/>
  <c r="B347" i="39"/>
  <c r="E346" i="39"/>
  <c r="B346" i="39"/>
  <c r="E344" i="39"/>
  <c r="B344" i="39"/>
  <c r="E343" i="39"/>
  <c r="B343" i="39"/>
  <c r="E342" i="39"/>
  <c r="B342" i="39"/>
  <c r="E341" i="39"/>
  <c r="B341" i="39"/>
  <c r="E340" i="39"/>
  <c r="B340" i="39"/>
  <c r="E339" i="39"/>
  <c r="E337" i="39"/>
  <c r="B337" i="39"/>
  <c r="E336" i="39"/>
  <c r="E334" i="39"/>
  <c r="B334" i="39"/>
  <c r="E333" i="39"/>
  <c r="B333" i="39"/>
  <c r="B331" i="39"/>
  <c r="B330" i="39"/>
  <c r="B329" i="39"/>
  <c r="B328" i="39"/>
  <c r="B327" i="39"/>
  <c r="B326" i="39"/>
  <c r="B325" i="39"/>
  <c r="B324" i="39"/>
  <c r="B323" i="39"/>
  <c r="B322" i="39"/>
  <c r="B321" i="39"/>
  <c r="B320" i="39"/>
  <c r="B319" i="39"/>
  <c r="B318" i="39"/>
  <c r="B317" i="39"/>
  <c r="B316" i="39"/>
  <c r="B315" i="39"/>
  <c r="B314" i="39"/>
  <c r="B313" i="39"/>
  <c r="B312" i="39"/>
  <c r="B311" i="39"/>
  <c r="E309" i="39"/>
  <c r="B309" i="39"/>
  <c r="E307" i="39"/>
  <c r="B307" i="39"/>
  <c r="E306" i="39"/>
  <c r="E311" i="39" s="1"/>
  <c r="E312" i="39" s="1"/>
  <c r="E313" i="39" s="1"/>
  <c r="E314" i="39" s="1"/>
  <c r="E315" i="39" s="1"/>
  <c r="E316" i="39" s="1"/>
  <c r="E317" i="39" s="1"/>
  <c r="E318" i="39" s="1"/>
  <c r="E319" i="39" s="1"/>
  <c r="E320" i="39" s="1"/>
  <c r="E321" i="39" s="1"/>
  <c r="E322" i="39" s="1"/>
  <c r="E323" i="39" s="1"/>
  <c r="E324" i="39" s="1"/>
  <c r="B306" i="39"/>
  <c r="E305" i="39"/>
  <c r="B305" i="39"/>
  <c r="E304" i="39"/>
  <c r="B304" i="39"/>
  <c r="E303" i="39"/>
  <c r="B303" i="39"/>
  <c r="E302" i="39"/>
  <c r="B300" i="39"/>
  <c r="B299" i="39"/>
  <c r="B298" i="39"/>
  <c r="B297" i="39"/>
  <c r="B296" i="39"/>
  <c r="B295" i="39"/>
  <c r="B294" i="39"/>
  <c r="B293" i="39"/>
  <c r="B292" i="39"/>
  <c r="B291" i="39"/>
  <c r="B290" i="39"/>
  <c r="B289" i="39"/>
  <c r="B288" i="39"/>
  <c r="B287" i="39"/>
  <c r="B286" i="39"/>
  <c r="B285" i="39"/>
  <c r="B284" i="39"/>
  <c r="B283" i="39"/>
  <c r="B282" i="39"/>
  <c r="B281" i="39"/>
  <c r="B280" i="39"/>
  <c r="B279" i="39"/>
  <c r="B278" i="39"/>
  <c r="B277" i="39"/>
  <c r="B276" i="39"/>
  <c r="B275" i="39"/>
  <c r="B274" i="39"/>
  <c r="B273" i="39"/>
  <c r="B272" i="39"/>
  <c r="B271" i="39"/>
  <c r="B270" i="39"/>
  <c r="B269" i="39"/>
  <c r="B268" i="39"/>
  <c r="B267" i="39"/>
  <c r="B266" i="39"/>
  <c r="B265" i="39"/>
  <c r="B264" i="39"/>
  <c r="B263" i="39"/>
  <c r="B262" i="39"/>
  <c r="B261" i="39"/>
  <c r="B260" i="39"/>
  <c r="B259" i="39"/>
  <c r="B258" i="39"/>
  <c r="B257" i="39"/>
  <c r="B256" i="39"/>
  <c r="B255" i="39"/>
  <c r="B254" i="39"/>
  <c r="B253" i="39"/>
  <c r="B252" i="39"/>
  <c r="B251" i="39"/>
  <c r="B250" i="39"/>
  <c r="B249" i="39"/>
  <c r="E248" i="39"/>
  <c r="E249" i="39" s="1"/>
  <c r="E250" i="39" s="1"/>
  <c r="E251" i="39" s="1"/>
  <c r="E252" i="39" s="1"/>
  <c r="E253" i="39" s="1"/>
  <c r="E254" i="39" s="1"/>
  <c r="E255" i="39" s="1"/>
  <c r="E256" i="39" s="1"/>
  <c r="E257" i="39" s="1"/>
  <c r="E258" i="39" s="1"/>
  <c r="E259" i="39" s="1"/>
  <c r="E260" i="39" s="1"/>
  <c r="E261" i="39" s="1"/>
  <c r="E262" i="39" s="1"/>
  <c r="E263" i="39" s="1"/>
  <c r="E264" i="39" s="1"/>
  <c r="E265" i="39" s="1"/>
  <c r="E266" i="39" s="1"/>
  <c r="E267" i="39" s="1"/>
  <c r="E268" i="39" s="1"/>
  <c r="E269" i="39" s="1"/>
  <c r="E270" i="39" s="1"/>
  <c r="E271" i="39" s="1"/>
  <c r="E272" i="39" s="1"/>
  <c r="E273" i="39" s="1"/>
  <c r="E274" i="39" s="1"/>
  <c r="E275" i="39" s="1"/>
  <c r="E276" i="39" s="1"/>
  <c r="E277" i="39" s="1"/>
  <c r="E278" i="39" s="1"/>
  <c r="E279" i="39" s="1"/>
  <c r="E280" i="39" s="1"/>
  <c r="E281" i="39" s="1"/>
  <c r="E282" i="39" s="1"/>
  <c r="E283" i="39" s="1"/>
  <c r="E284" i="39" s="1"/>
  <c r="E285" i="39" s="1"/>
  <c r="E286" i="39" s="1"/>
  <c r="E287" i="39" s="1"/>
  <c r="E288" i="39" s="1"/>
  <c r="E289" i="39" s="1"/>
  <c r="E290" i="39" s="1"/>
  <c r="E291" i="39" s="1"/>
  <c r="E292" i="39" s="1"/>
  <c r="E293" i="39" s="1"/>
  <c r="E294" i="39" s="1"/>
  <c r="E295" i="39" s="1"/>
  <c r="E296" i="39" s="1"/>
  <c r="E297" i="39" s="1"/>
  <c r="E298" i="39" s="1"/>
  <c r="E299" i="39" s="1"/>
  <c r="E300" i="39" s="1"/>
  <c r="B248" i="39"/>
  <c r="B247" i="39"/>
  <c r="E245" i="39"/>
  <c r="B245" i="39"/>
  <c r="E244" i="39"/>
  <c r="B244" i="39"/>
  <c r="E243" i="39"/>
  <c r="B243" i="39"/>
  <c r="E242" i="39"/>
  <c r="E247" i="39" s="1"/>
  <c r="B242" i="39"/>
  <c r="E241" i="39"/>
  <c r="B241" i="39"/>
  <c r="E240" i="39"/>
  <c r="B240" i="39"/>
  <c r="E239" i="39"/>
  <c r="B239" i="39"/>
  <c r="E238" i="39"/>
  <c r="B238" i="39"/>
  <c r="E237" i="39"/>
  <c r="B235" i="39"/>
  <c r="B234" i="39"/>
  <c r="B233" i="39"/>
  <c r="B232" i="39"/>
  <c r="B231" i="39"/>
  <c r="B230" i="39"/>
  <c r="B229" i="39"/>
  <c r="B228" i="39"/>
  <c r="B227" i="39"/>
  <c r="B226" i="39"/>
  <c r="B225" i="39"/>
  <c r="B224" i="39"/>
  <c r="B223" i="39"/>
  <c r="B222" i="39"/>
  <c r="B221" i="39"/>
  <c r="B220" i="39"/>
  <c r="B219" i="39"/>
  <c r="B218" i="39"/>
  <c r="B217" i="39"/>
  <c r="B216" i="39"/>
  <c r="B215" i="39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B199" i="39"/>
  <c r="B198" i="39"/>
  <c r="B197" i="39"/>
  <c r="B196" i="39"/>
  <c r="B195" i="39"/>
  <c r="B194" i="39"/>
  <c r="B193" i="39"/>
  <c r="B192" i="39"/>
  <c r="B191" i="39"/>
  <c r="B190" i="39"/>
  <c r="B189" i="39"/>
  <c r="B188" i="39"/>
  <c r="B187" i="39"/>
  <c r="B186" i="39"/>
  <c r="B185" i="39"/>
  <c r="B184" i="39"/>
  <c r="B183" i="39"/>
  <c r="E182" i="39"/>
  <c r="E183" i="39" s="1"/>
  <c r="E184" i="39" s="1"/>
  <c r="E185" i="39" s="1"/>
  <c r="E186" i="39" s="1"/>
  <c r="E187" i="39" s="1"/>
  <c r="E188" i="39" s="1"/>
  <c r="E189" i="39" s="1"/>
  <c r="E190" i="39" s="1"/>
  <c r="E191" i="39" s="1"/>
  <c r="E192" i="39" s="1"/>
  <c r="E193" i="39" s="1"/>
  <c r="E194" i="39" s="1"/>
  <c r="E195" i="39" s="1"/>
  <c r="E196" i="39" s="1"/>
  <c r="E197" i="39" s="1"/>
  <c r="E198" i="39" s="1"/>
  <c r="E199" i="39" s="1"/>
  <c r="E200" i="39" s="1"/>
  <c r="E201" i="39" s="1"/>
  <c r="E202" i="39" s="1"/>
  <c r="E203" i="39" s="1"/>
  <c r="E204" i="39" s="1"/>
  <c r="E205" i="39" s="1"/>
  <c r="E206" i="39" s="1"/>
  <c r="E207" i="39" s="1"/>
  <c r="E208" i="39" s="1"/>
  <c r="E209" i="39" s="1"/>
  <c r="E210" i="39" s="1"/>
  <c r="E211" i="39" s="1"/>
  <c r="E212" i="39" s="1"/>
  <c r="E213" i="39" s="1"/>
  <c r="E214" i="39" s="1"/>
  <c r="E215" i="39" s="1"/>
  <c r="E216" i="39" s="1"/>
  <c r="E217" i="39" s="1"/>
  <c r="E218" i="39" s="1"/>
  <c r="E219" i="39" s="1"/>
  <c r="E220" i="39" s="1"/>
  <c r="E221" i="39" s="1"/>
  <c r="E222" i="39" s="1"/>
  <c r="E223" i="39" s="1"/>
  <c r="E224" i="39" s="1"/>
  <c r="E225" i="39" s="1"/>
  <c r="E226" i="39" s="1"/>
  <c r="E227" i="39" s="1"/>
  <c r="E228" i="39" s="1"/>
  <c r="E229" i="39" s="1"/>
  <c r="E230" i="39" s="1"/>
  <c r="E231" i="39" s="1"/>
  <c r="E232" i="39" s="1"/>
  <c r="E233" i="39" s="1"/>
  <c r="E234" i="39" s="1"/>
  <c r="E235" i="39" s="1"/>
  <c r="B182" i="39"/>
  <c r="E180" i="39"/>
  <c r="B180" i="39"/>
  <c r="E179" i="39"/>
  <c r="B179" i="39"/>
  <c r="E178" i="39"/>
  <c r="B178" i="39"/>
  <c r="E177" i="39"/>
  <c r="B177" i="39"/>
  <c r="E176" i="39"/>
  <c r="B176" i="39"/>
  <c r="E175" i="39"/>
  <c r="B175" i="39"/>
  <c r="E173" i="39"/>
  <c r="B173" i="39"/>
  <c r="E172" i="39"/>
  <c r="B172" i="39"/>
  <c r="E171" i="39"/>
  <c r="B171" i="39"/>
  <c r="E170" i="39"/>
  <c r="B170" i="39"/>
  <c r="E169" i="39"/>
  <c r="B169" i="39"/>
  <c r="E168" i="39"/>
  <c r="B168" i="39"/>
  <c r="E167" i="39"/>
  <c r="B167" i="39"/>
  <c r="E166" i="39"/>
  <c r="B166" i="39"/>
  <c r="E165" i="39"/>
  <c r="B165" i="39"/>
  <c r="B163" i="39"/>
  <c r="B162" i="39"/>
  <c r="B161" i="39"/>
  <c r="B160" i="39"/>
  <c r="B159" i="39"/>
  <c r="B158" i="39"/>
  <c r="B157" i="39"/>
  <c r="B156" i="39"/>
  <c r="B155" i="39"/>
  <c r="B154" i="39"/>
  <c r="B153" i="39"/>
  <c r="B152" i="39"/>
  <c r="B151" i="39"/>
  <c r="B150" i="39"/>
  <c r="B149" i="39"/>
  <c r="B148" i="39"/>
  <c r="B147" i="39"/>
  <c r="B146" i="39"/>
  <c r="B145" i="39"/>
  <c r="B144" i="39"/>
  <c r="B143" i="39"/>
  <c r="B142" i="39"/>
  <c r="B141" i="39"/>
  <c r="B140" i="39"/>
  <c r="B139" i="39"/>
  <c r="B138" i="39"/>
  <c r="B137" i="39"/>
  <c r="B136" i="39"/>
  <c r="B135" i="39"/>
  <c r="B134" i="39"/>
  <c r="B133" i="39"/>
  <c r="B132" i="39"/>
  <c r="B131" i="39"/>
  <c r="B130" i="39"/>
  <c r="B129" i="39"/>
  <c r="B128" i="39"/>
  <c r="B127" i="39"/>
  <c r="B126" i="39"/>
  <c r="B125" i="39"/>
  <c r="B124" i="39"/>
  <c r="B123" i="39"/>
  <c r="B122" i="39"/>
  <c r="B121" i="39"/>
  <c r="B120" i="39"/>
  <c r="B119" i="39"/>
  <c r="B118" i="39"/>
  <c r="B117" i="39"/>
  <c r="B116" i="39"/>
  <c r="E115" i="39"/>
  <c r="E116" i="39" s="1"/>
  <c r="E117" i="39" s="1"/>
  <c r="E118" i="39" s="1"/>
  <c r="E119" i="39" s="1"/>
  <c r="E120" i="39" s="1"/>
  <c r="E121" i="39" s="1"/>
  <c r="E122" i="39" s="1"/>
  <c r="E123" i="39" s="1"/>
  <c r="E124" i="39" s="1"/>
  <c r="E125" i="39" s="1"/>
  <c r="E126" i="39" s="1"/>
  <c r="E127" i="39" s="1"/>
  <c r="E128" i="39" s="1"/>
  <c r="E129" i="39" s="1"/>
  <c r="E130" i="39" s="1"/>
  <c r="E131" i="39" s="1"/>
  <c r="E132" i="39" s="1"/>
  <c r="E133" i="39" s="1"/>
  <c r="E134" i="39" s="1"/>
  <c r="E135" i="39" s="1"/>
  <c r="E136" i="39" s="1"/>
  <c r="E137" i="39" s="1"/>
  <c r="E138" i="39" s="1"/>
  <c r="E139" i="39" s="1"/>
  <c r="E140" i="39" s="1"/>
  <c r="E141" i="39" s="1"/>
  <c r="E142" i="39" s="1"/>
  <c r="E143" i="39" s="1"/>
  <c r="E144" i="39" s="1"/>
  <c r="E145" i="39" s="1"/>
  <c r="E146" i="39" s="1"/>
  <c r="E147" i="39" s="1"/>
  <c r="E148" i="39" s="1"/>
  <c r="E149" i="39" s="1"/>
  <c r="E150" i="39" s="1"/>
  <c r="E151" i="39" s="1"/>
  <c r="E152" i="39" s="1"/>
  <c r="E153" i="39" s="1"/>
  <c r="E154" i="39" s="1"/>
  <c r="E155" i="39" s="1"/>
  <c r="E156" i="39" s="1"/>
  <c r="E157" i="39" s="1"/>
  <c r="E158" i="39" s="1"/>
  <c r="E159" i="39" s="1"/>
  <c r="E160" i="39" s="1"/>
  <c r="E161" i="39" s="1"/>
  <c r="E162" i="39" s="1"/>
  <c r="E163" i="39" s="1"/>
  <c r="B115" i="39"/>
  <c r="B114" i="39"/>
  <c r="B113" i="39"/>
  <c r="B112" i="39"/>
  <c r="B111" i="39"/>
  <c r="B110" i="39"/>
  <c r="E108" i="39"/>
  <c r="B108" i="39"/>
  <c r="E107" i="39"/>
  <c r="B107" i="39"/>
  <c r="E106" i="39"/>
  <c r="B106" i="39"/>
  <c r="E105" i="39"/>
  <c r="E110" i="39" s="1"/>
  <c r="E111" i="39" s="1"/>
  <c r="E112" i="39" s="1"/>
  <c r="E113" i="39" s="1"/>
  <c r="E114" i="39" s="1"/>
  <c r="B105" i="39"/>
  <c r="E104" i="39"/>
  <c r="B104" i="39"/>
  <c r="E102" i="39"/>
  <c r="B102" i="39"/>
  <c r="E101" i="39"/>
  <c r="B101" i="39"/>
  <c r="E100" i="39"/>
  <c r="B100" i="39"/>
  <c r="E99" i="39"/>
  <c r="B99" i="39"/>
  <c r="E98" i="39"/>
  <c r="B98" i="39"/>
  <c r="E97" i="39"/>
  <c r="B97" i="39"/>
  <c r="E96" i="39"/>
  <c r="B96" i="39"/>
  <c r="E95" i="39"/>
  <c r="B95" i="39"/>
  <c r="E94" i="39"/>
  <c r="E92" i="39"/>
  <c r="B92" i="39"/>
  <c r="E91" i="39"/>
  <c r="B91" i="39"/>
  <c r="E90" i="39"/>
  <c r="B90" i="39"/>
  <c r="E89" i="39"/>
  <c r="B89" i="39"/>
  <c r="E88" i="39"/>
  <c r="B88" i="39"/>
  <c r="E87" i="39"/>
  <c r="B87" i="39"/>
  <c r="E86" i="39"/>
  <c r="B86" i="39"/>
  <c r="E84" i="39"/>
  <c r="B84" i="39"/>
  <c r="E83" i="39"/>
  <c r="B83" i="39"/>
  <c r="E82" i="39"/>
  <c r="B82" i="39"/>
  <c r="E81" i="39"/>
  <c r="B81" i="39"/>
  <c r="E80" i="39"/>
  <c r="B80" i="39"/>
  <c r="E79" i="39"/>
  <c r="B79" i="39"/>
  <c r="E78" i="39"/>
  <c r="B78" i="39"/>
  <c r="E77" i="39"/>
  <c r="B77" i="39"/>
  <c r="B75" i="39"/>
  <c r="B72" i="39"/>
  <c r="B71" i="39"/>
  <c r="B70" i="39"/>
  <c r="B69" i="39"/>
  <c r="B68" i="39"/>
  <c r="B67" i="39"/>
  <c r="B66" i="39"/>
  <c r="B65" i="39"/>
  <c r="B64" i="39"/>
  <c r="B63" i="39"/>
  <c r="B62" i="39"/>
  <c r="B61" i="39"/>
  <c r="B60" i="39"/>
  <c r="B59" i="39"/>
  <c r="B58" i="39"/>
  <c r="B57" i="39"/>
  <c r="B56" i="39"/>
  <c r="B55" i="39"/>
  <c r="B54" i="39"/>
  <c r="B53" i="39"/>
  <c r="B52" i="39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E19" i="39"/>
  <c r="E74" i="39" s="1"/>
  <c r="E75" i="39" s="1"/>
  <c r="B19" i="39"/>
  <c r="B17" i="39"/>
  <c r="E14" i="39"/>
  <c r="B14" i="39"/>
  <c r="E13" i="39"/>
  <c r="B13" i="39"/>
  <c r="E12" i="39"/>
  <c r="B12" i="39"/>
  <c r="E11" i="39"/>
  <c r="B11" i="39"/>
  <c r="E9" i="39"/>
  <c r="E8" i="39"/>
  <c r="E7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A195" i="39" s="1"/>
  <c r="A196" i="39" s="1"/>
  <c r="A197" i="39" s="1"/>
  <c r="A198" i="39" s="1"/>
  <c r="A199" i="39" s="1"/>
  <c r="A200" i="39" s="1"/>
  <c r="A201" i="39" s="1"/>
  <c r="A202" i="39" s="1"/>
  <c r="A203" i="39" s="1"/>
  <c r="A204" i="39" s="1"/>
  <c r="A205" i="39" s="1"/>
  <c r="A206" i="39" s="1"/>
  <c r="A207" i="39" s="1"/>
  <c r="A208" i="39" s="1"/>
  <c r="A209" i="39" s="1"/>
  <c r="A210" i="39" s="1"/>
  <c r="A211" i="39" s="1"/>
  <c r="A212" i="39" s="1"/>
  <c r="A213" i="39" s="1"/>
  <c r="A214" i="39" s="1"/>
  <c r="A215" i="39" s="1"/>
  <c r="A216" i="39" s="1"/>
  <c r="A217" i="39" s="1"/>
  <c r="A218" i="39" s="1"/>
  <c r="A219" i="39" s="1"/>
  <c r="A220" i="39" s="1"/>
  <c r="A221" i="39" s="1"/>
  <c r="A222" i="39" s="1"/>
  <c r="A223" i="39" s="1"/>
  <c r="A224" i="39" s="1"/>
  <c r="A225" i="39" s="1"/>
  <c r="A226" i="39" s="1"/>
  <c r="A227" i="39" s="1"/>
  <c r="A228" i="39" s="1"/>
  <c r="A229" i="39" s="1"/>
  <c r="A230" i="39" s="1"/>
  <c r="A231" i="39" s="1"/>
  <c r="A232" i="39" s="1"/>
  <c r="A233" i="39" s="1"/>
  <c r="A234" i="39" s="1"/>
  <c r="A235" i="39" s="1"/>
  <c r="A236" i="39" s="1"/>
  <c r="A237" i="39" s="1"/>
  <c r="A238" i="39" s="1"/>
  <c r="A239" i="39" s="1"/>
  <c r="A240" i="39" s="1"/>
  <c r="A241" i="39" s="1"/>
  <c r="A242" i="39" s="1"/>
  <c r="A243" i="39" s="1"/>
  <c r="A244" i="39" s="1"/>
  <c r="A245" i="39" s="1"/>
  <c r="A246" i="39" s="1"/>
  <c r="A247" i="39" s="1"/>
  <c r="A248" i="39" s="1"/>
  <c r="A249" i="39" s="1"/>
  <c r="A250" i="39" s="1"/>
  <c r="A251" i="39" s="1"/>
  <c r="A252" i="39" s="1"/>
  <c r="A253" i="39" s="1"/>
  <c r="A254" i="39" s="1"/>
  <c r="A255" i="39" s="1"/>
  <c r="A256" i="39" s="1"/>
  <c r="A257" i="39" s="1"/>
  <c r="A258" i="39" s="1"/>
  <c r="A259" i="39" s="1"/>
  <c r="A260" i="39" s="1"/>
  <c r="A261" i="39" s="1"/>
  <c r="A262" i="39" s="1"/>
  <c r="A263" i="39" s="1"/>
  <c r="A264" i="39" s="1"/>
  <c r="A265" i="39" s="1"/>
  <c r="A266" i="39" s="1"/>
  <c r="A267" i="39" s="1"/>
  <c r="A268" i="39" s="1"/>
  <c r="A269" i="39" s="1"/>
  <c r="A270" i="39" s="1"/>
  <c r="A271" i="39" s="1"/>
  <c r="A272" i="39" s="1"/>
  <c r="A273" i="39" s="1"/>
  <c r="A274" i="39" s="1"/>
  <c r="A275" i="39" s="1"/>
  <c r="A276" i="39" s="1"/>
  <c r="A277" i="39" s="1"/>
  <c r="A278" i="39" s="1"/>
  <c r="A279" i="39" s="1"/>
  <c r="A280" i="39" s="1"/>
  <c r="A281" i="39" s="1"/>
  <c r="A282" i="39" s="1"/>
  <c r="A283" i="39" s="1"/>
  <c r="A284" i="39" s="1"/>
  <c r="A285" i="39" s="1"/>
  <c r="A286" i="39" s="1"/>
  <c r="A287" i="39" s="1"/>
  <c r="A288" i="39" s="1"/>
  <c r="A289" i="39" s="1"/>
  <c r="A290" i="39" s="1"/>
  <c r="A291" i="39" s="1"/>
  <c r="A292" i="39" s="1"/>
  <c r="A293" i="39" s="1"/>
  <c r="A294" i="39" s="1"/>
  <c r="A295" i="39" s="1"/>
  <c r="A296" i="39" s="1"/>
  <c r="A297" i="39" s="1"/>
  <c r="A298" i="39" s="1"/>
  <c r="A299" i="39" s="1"/>
  <c r="A300" i="39" s="1"/>
  <c r="A301" i="39" s="1"/>
  <c r="A302" i="39" s="1"/>
  <c r="A303" i="39" s="1"/>
  <c r="A304" i="39" s="1"/>
  <c r="A305" i="39" s="1"/>
  <c r="A306" i="39" s="1"/>
  <c r="A307" i="39" s="1"/>
  <c r="A308" i="39" s="1"/>
  <c r="A309" i="39" s="1"/>
  <c r="A310" i="39" s="1"/>
  <c r="A311" i="39" s="1"/>
  <c r="A312" i="39" s="1"/>
  <c r="A313" i="39" s="1"/>
  <c r="A314" i="39" s="1"/>
  <c r="A315" i="39" s="1"/>
  <c r="A316" i="39" s="1"/>
  <c r="A317" i="39" s="1"/>
  <c r="A318" i="39" s="1"/>
  <c r="A319" i="39" s="1"/>
  <c r="A320" i="39" s="1"/>
  <c r="A321" i="39" s="1"/>
  <c r="A322" i="39" s="1"/>
  <c r="A323" i="39" s="1"/>
  <c r="A324" i="39" s="1"/>
  <c r="A325" i="39" s="1"/>
  <c r="A326" i="39" s="1"/>
  <c r="A327" i="39" s="1"/>
  <c r="A328" i="39" s="1"/>
  <c r="A329" i="39" s="1"/>
  <c r="A330" i="39" s="1"/>
  <c r="A331" i="39" s="1"/>
  <c r="A332" i="39" s="1"/>
  <c r="A333" i="39" s="1"/>
  <c r="A334" i="39" s="1"/>
  <c r="A335" i="39" s="1"/>
  <c r="A336" i="39" s="1"/>
  <c r="A337" i="39" s="1"/>
  <c r="A338" i="39" s="1"/>
  <c r="A339" i="39" s="1"/>
  <c r="A340" i="39" s="1"/>
  <c r="A341" i="39" s="1"/>
  <c r="A342" i="39" s="1"/>
  <c r="A343" i="39" s="1"/>
  <c r="A344" i="39" s="1"/>
  <c r="A345" i="39" s="1"/>
  <c r="A346" i="39" s="1"/>
  <c r="A347" i="39" s="1"/>
  <c r="A348" i="39" s="1"/>
  <c r="A349" i="39" s="1"/>
  <c r="A350" i="39" s="1"/>
  <c r="A351" i="39" s="1"/>
  <c r="A352" i="39" s="1"/>
  <c r="A353" i="39" s="1"/>
  <c r="A354" i="39" s="1"/>
  <c r="A355" i="39" s="1"/>
  <c r="A356" i="39" s="1"/>
  <c r="A357" i="39" s="1"/>
  <c r="A358" i="39" s="1"/>
  <c r="A359" i="39" s="1"/>
  <c r="E20" i="39" l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E35" i="39" s="1"/>
  <c r="E36" i="39" s="1"/>
  <c r="E37" i="39" s="1"/>
  <c r="E38" i="39" s="1"/>
  <c r="E39" i="39" s="1"/>
  <c r="E40" i="39" s="1"/>
  <c r="E41" i="39" s="1"/>
  <c r="E42" i="39" s="1"/>
  <c r="E43" i="39" s="1"/>
  <c r="E44" i="39" s="1"/>
  <c r="E45" i="39" s="1"/>
  <c r="E46" i="39" s="1"/>
  <c r="E47" i="39" s="1"/>
  <c r="E48" i="39" s="1"/>
  <c r="E49" i="39" s="1"/>
  <c r="E50" i="39" s="1"/>
  <c r="E51" i="39" s="1"/>
  <c r="E52" i="39" s="1"/>
  <c r="E53" i="39" s="1"/>
  <c r="E54" i="39" s="1"/>
  <c r="E55" i="39" s="1"/>
  <c r="E56" i="39" s="1"/>
  <c r="E57" i="39" s="1"/>
  <c r="E58" i="39" s="1"/>
  <c r="E59" i="39" s="1"/>
  <c r="E60" i="39" s="1"/>
  <c r="E61" i="39" s="1"/>
  <c r="E62" i="39" s="1"/>
  <c r="E63" i="39" s="1"/>
  <c r="E64" i="39" s="1"/>
  <c r="E65" i="39" s="1"/>
  <c r="E66" i="39" s="1"/>
  <c r="E67" i="39" s="1"/>
  <c r="E68" i="39" s="1"/>
  <c r="E69" i="39" s="1"/>
  <c r="E70" i="39" s="1"/>
  <c r="E71" i="39" s="1"/>
  <c r="E72" i="39" s="1"/>
  <c r="A81" i="13" l="1"/>
  <c r="G9" i="38" l="1"/>
  <c r="A3" i="38" l="1"/>
  <c r="C532" i="38"/>
  <c r="C526" i="38"/>
  <c r="C434" i="38"/>
  <c r="C428" i="38"/>
  <c r="H427" i="38"/>
  <c r="C420" i="38"/>
  <c r="C414" i="38"/>
  <c r="C375" i="38"/>
  <c r="C369" i="38"/>
  <c r="C297" i="38"/>
  <c r="C291" i="38"/>
  <c r="C144" i="38"/>
  <c r="C138" i="38"/>
  <c r="C114" i="38"/>
  <c r="C108" i="38"/>
  <c r="F106" i="38"/>
  <c r="F105" i="38"/>
  <c r="C46" i="38"/>
  <c r="C40" i="38"/>
  <c r="K22" i="38"/>
  <c r="C22" i="38"/>
  <c r="H42" i="1" s="1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L22" i="38" s="1"/>
  <c r="K13" i="38"/>
  <c r="C13" i="38"/>
  <c r="A13" i="38"/>
  <c r="J13" i="38" l="1"/>
  <c r="J14" i="38"/>
  <c r="J15" i="38"/>
  <c r="J16" i="38"/>
  <c r="J17" i="38"/>
  <c r="J18" i="38"/>
  <c r="J19" i="38"/>
  <c r="J20" i="38"/>
  <c r="O21" i="38"/>
  <c r="N21" i="38" s="1"/>
  <c r="F369" i="38"/>
  <c r="O17" i="38" s="1"/>
  <c r="F40" i="38"/>
  <c r="O13" i="38" s="1"/>
  <c r="F428" i="38"/>
  <c r="O19" i="38" s="1"/>
  <c r="F108" i="38"/>
  <c r="F526" i="38"/>
  <c r="F291" i="38"/>
  <c r="O16" i="38" s="1"/>
  <c r="F414" i="38"/>
  <c r="F138" i="38"/>
  <c r="J22" i="38" l="1"/>
  <c r="J42" i="1"/>
  <c r="D28" i="19"/>
  <c r="O15" i="38"/>
  <c r="O14" i="38"/>
  <c r="O18" i="38"/>
  <c r="O20" i="38"/>
  <c r="O22" i="38" l="1"/>
  <c r="P15" i="38" s="1"/>
  <c r="F143" i="38" l="1"/>
  <c r="D143" i="38" s="1"/>
  <c r="N15" i="38"/>
  <c r="P20" i="38"/>
  <c r="P14" i="38"/>
  <c r="P13" i="38"/>
  <c r="P19" i="38"/>
  <c r="P17" i="38"/>
  <c r="P16" i="38"/>
  <c r="P18" i="38"/>
  <c r="D15" i="2"/>
  <c r="G15" i="2" s="1"/>
  <c r="D18" i="2" l="1"/>
  <c r="D14" i="2"/>
  <c r="G14" i="2" s="1"/>
  <c r="F8" i="30" s="1"/>
  <c r="J8" i="30" s="1"/>
  <c r="D19" i="2"/>
  <c r="F296" i="38"/>
  <c r="N16" i="38"/>
  <c r="F113" i="38"/>
  <c r="N14" i="38"/>
  <c r="F374" i="38"/>
  <c r="N17" i="38"/>
  <c r="F531" i="38"/>
  <c r="N20" i="38"/>
  <c r="F433" i="38"/>
  <c r="N19" i="38"/>
  <c r="F419" i="38"/>
  <c r="D419" i="38" s="1"/>
  <c r="N18" i="38"/>
  <c r="F45" i="38"/>
  <c r="N13" i="38"/>
  <c r="F144" i="38"/>
  <c r="F15" i="38" s="1"/>
  <c r="U33" i="1"/>
  <c r="N22" i="38" l="1"/>
  <c r="F420" i="38"/>
  <c r="F18" i="38" s="1"/>
  <c r="D531" i="38"/>
  <c r="F532" i="38"/>
  <c r="F20" i="38" s="1"/>
  <c r="D113" i="38"/>
  <c r="F114" i="38"/>
  <c r="F14" i="38" s="1"/>
  <c r="F46" i="38"/>
  <c r="F13" i="38" s="1"/>
  <c r="D45" i="38"/>
  <c r="D433" i="38"/>
  <c r="F434" i="38"/>
  <c r="F19" i="38" s="1"/>
  <c r="D374" i="38"/>
  <c r="F375" i="38"/>
  <c r="F17" i="38" s="1"/>
  <c r="D296" i="38"/>
  <c r="F297" i="38"/>
  <c r="F16" i="38" s="1"/>
  <c r="F22" i="38" l="1"/>
  <c r="E28" i="19" s="1"/>
  <c r="L42" i="1" l="1"/>
  <c r="B133" i="30" l="1"/>
  <c r="B134" i="30"/>
  <c r="B135" i="30"/>
  <c r="B136" i="30"/>
  <c r="B137" i="30"/>
  <c r="M33" i="19" l="1"/>
  <c r="M31" i="19"/>
  <c r="M29" i="19"/>
  <c r="M27" i="19"/>
  <c r="M25" i="19"/>
  <c r="M23" i="19"/>
  <c r="M22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G9" i="18" l="1"/>
  <c r="G9" i="15"/>
  <c r="H9" i="16"/>
  <c r="G9" i="14"/>
  <c r="G9" i="13"/>
  <c r="A3" i="18"/>
  <c r="A3" i="15"/>
  <c r="A3" i="16"/>
  <c r="A3" i="14"/>
  <c r="A3" i="13"/>
  <c r="A3" i="2"/>
  <c r="C23" i="18" l="1"/>
  <c r="C60" i="16" l="1"/>
  <c r="C55" i="16"/>
  <c r="C56" i="16"/>
  <c r="C57" i="16"/>
  <c r="A8" i="30"/>
  <c r="E180" i="30" l="1"/>
  <c r="E177" i="30"/>
  <c r="E176" i="30"/>
  <c r="E111" i="30"/>
  <c r="C59" i="16" s="1"/>
  <c r="E171" i="30" l="1"/>
  <c r="E179" i="30" s="1"/>
  <c r="F172" i="30" l="1"/>
  <c r="F169" i="30"/>
  <c r="F47" i="30" l="1"/>
  <c r="J47" i="30" s="1"/>
  <c r="B180" i="30" l="1"/>
  <c r="D179" i="30"/>
  <c r="B179" i="30"/>
  <c r="B178" i="30"/>
  <c r="B177" i="30"/>
  <c r="D176" i="30"/>
  <c r="B176" i="30"/>
  <c r="B175" i="30"/>
  <c r="F180" i="30"/>
  <c r="D22" i="18"/>
  <c r="B172" i="30"/>
  <c r="D171" i="30"/>
  <c r="B171" i="30"/>
  <c r="B170" i="30"/>
  <c r="F177" i="30"/>
  <c r="D21" i="18"/>
  <c r="B169" i="30"/>
  <c r="D14" i="18"/>
  <c r="D168" i="30"/>
  <c r="B168" i="30"/>
  <c r="B167" i="30"/>
  <c r="D35" i="15"/>
  <c r="G35" i="15" s="1"/>
  <c r="D164" i="30"/>
  <c r="B164" i="30"/>
  <c r="B163" i="30"/>
  <c r="D31" i="15"/>
  <c r="B162" i="30"/>
  <c r="B159" i="30"/>
  <c r="B158" i="30"/>
  <c r="B157" i="30"/>
  <c r="D156" i="30"/>
  <c r="D158" i="30" s="1"/>
  <c r="B156" i="30"/>
  <c r="B155" i="30"/>
  <c r="B154" i="30"/>
  <c r="D146" i="30"/>
  <c r="B149" i="30"/>
  <c r="D139" i="30"/>
  <c r="B148" i="30"/>
  <c r="D142" i="30"/>
  <c r="B147" i="30"/>
  <c r="D148" i="30"/>
  <c r="B146" i="30"/>
  <c r="D144" i="30"/>
  <c r="B145" i="30"/>
  <c r="D140" i="30"/>
  <c r="B144" i="30"/>
  <c r="D145" i="30"/>
  <c r="B143" i="30"/>
  <c r="D138" i="30"/>
  <c r="B142" i="30"/>
  <c r="D147" i="30"/>
  <c r="B141" i="30"/>
  <c r="D143" i="30"/>
  <c r="B140" i="30"/>
  <c r="D141" i="30"/>
  <c r="B139" i="30"/>
  <c r="D149" i="30"/>
  <c r="B138" i="30"/>
  <c r="D133" i="30"/>
  <c r="D132" i="30"/>
  <c r="B132" i="30"/>
  <c r="D131" i="30"/>
  <c r="B131" i="30"/>
  <c r="B130" i="30"/>
  <c r="B129" i="30"/>
  <c r="B128" i="30"/>
  <c r="B127" i="30"/>
  <c r="B126" i="30"/>
  <c r="B125" i="30"/>
  <c r="B124" i="30"/>
  <c r="B123" i="30"/>
  <c r="B122" i="30"/>
  <c r="B121" i="30"/>
  <c r="E36" i="16"/>
  <c r="D120" i="30"/>
  <c r="B120" i="30"/>
  <c r="D119" i="30"/>
  <c r="B119" i="30"/>
  <c r="B118" i="30"/>
  <c r="B117" i="30"/>
  <c r="D116" i="30"/>
  <c r="B116" i="30"/>
  <c r="E31" i="16"/>
  <c r="D115" i="30"/>
  <c r="B115" i="30"/>
  <c r="E30" i="16"/>
  <c r="D114" i="30"/>
  <c r="B114" i="30"/>
  <c r="B113" i="30"/>
  <c r="B112" i="30"/>
  <c r="B111" i="30"/>
  <c r="E22" i="16"/>
  <c r="B110" i="30"/>
  <c r="B109" i="30"/>
  <c r="E21" i="16"/>
  <c r="B108" i="30"/>
  <c r="B107" i="30"/>
  <c r="B106" i="30"/>
  <c r="E17" i="16"/>
  <c r="B105" i="30"/>
  <c r="E16" i="16"/>
  <c r="B104" i="30"/>
  <c r="E15" i="16"/>
  <c r="D103" i="30"/>
  <c r="B103" i="30"/>
  <c r="B102" i="30"/>
  <c r="D73" i="14"/>
  <c r="D98" i="30"/>
  <c r="B98" i="30"/>
  <c r="B97" i="30"/>
  <c r="D96" i="30"/>
  <c r="B96" i="30"/>
  <c r="B95" i="30"/>
  <c r="D68" i="14"/>
  <c r="D94" i="30"/>
  <c r="B94" i="30"/>
  <c r="B93" i="30"/>
  <c r="D62" i="14"/>
  <c r="D92" i="30"/>
  <c r="D108" i="30" s="1"/>
  <c r="D154" i="30" s="1"/>
  <c r="B92" i="30"/>
  <c r="B91" i="30"/>
  <c r="D60" i="14"/>
  <c r="D90" i="30"/>
  <c r="B90" i="30"/>
  <c r="D49" i="14"/>
  <c r="D87" i="30"/>
  <c r="B87" i="30"/>
  <c r="B86" i="30"/>
  <c r="D46" i="14"/>
  <c r="D85" i="30"/>
  <c r="B85" i="30"/>
  <c r="D45" i="14"/>
  <c r="D84" i="30"/>
  <c r="B84" i="30"/>
  <c r="B83" i="30"/>
  <c r="D39" i="14"/>
  <c r="B82" i="30"/>
  <c r="B81" i="30"/>
  <c r="D37" i="14"/>
  <c r="D80" i="30"/>
  <c r="D82" i="30" s="1"/>
  <c r="B80" i="30"/>
  <c r="D27" i="14"/>
  <c r="D77" i="30"/>
  <c r="B77" i="30"/>
  <c r="B76" i="30"/>
  <c r="D24" i="14"/>
  <c r="B75" i="30"/>
  <c r="D23" i="14"/>
  <c r="B74" i="30"/>
  <c r="B73" i="30"/>
  <c r="D17" i="14"/>
  <c r="B72" i="30"/>
  <c r="B71" i="30"/>
  <c r="D15" i="14"/>
  <c r="D70" i="30"/>
  <c r="D105" i="30" s="1"/>
  <c r="B70" i="30"/>
  <c r="D134" i="13"/>
  <c r="B67" i="30"/>
  <c r="B66" i="30"/>
  <c r="D131" i="13"/>
  <c r="D65" i="30"/>
  <c r="D67" i="30" s="1"/>
  <c r="B65" i="30"/>
  <c r="D130" i="13"/>
  <c r="D64" i="30"/>
  <c r="B64" i="30"/>
  <c r="D63" i="30"/>
  <c r="B63" i="30"/>
  <c r="B62" i="30"/>
  <c r="D123" i="13"/>
  <c r="B61" i="30"/>
  <c r="D122" i="13"/>
  <c r="B60" i="30"/>
  <c r="D121" i="13"/>
  <c r="D59" i="30"/>
  <c r="D60" i="30" s="1"/>
  <c r="D61" i="30" s="1"/>
  <c r="B59" i="30"/>
  <c r="D120" i="13"/>
  <c r="B58" i="30"/>
  <c r="B57" i="30"/>
  <c r="D117" i="13"/>
  <c r="D56" i="30"/>
  <c r="B56" i="30"/>
  <c r="D116" i="13"/>
  <c r="D55" i="30"/>
  <c r="B55" i="30"/>
  <c r="B52" i="30"/>
  <c r="B51" i="30"/>
  <c r="B50" i="30"/>
  <c r="B49" i="30"/>
  <c r="D48" i="30"/>
  <c r="B48" i="30"/>
  <c r="B47" i="30"/>
  <c r="D98" i="13"/>
  <c r="B46" i="30"/>
  <c r="D86" i="13"/>
  <c r="D45" i="30"/>
  <c r="B45" i="30"/>
  <c r="B44" i="30"/>
  <c r="B43" i="30"/>
  <c r="D42" i="30"/>
  <c r="B42" i="30"/>
  <c r="B41" i="30"/>
  <c r="D74" i="13"/>
  <c r="D40" i="30"/>
  <c r="D46" i="30" s="1"/>
  <c r="D47" i="30" s="1"/>
  <c r="D49" i="30" s="1"/>
  <c r="D50" i="30" s="1"/>
  <c r="D51" i="30" s="1"/>
  <c r="D52" i="30" s="1"/>
  <c r="D72" i="30" s="1"/>
  <c r="D74" i="30" s="1"/>
  <c r="D75" i="30" s="1"/>
  <c r="B40" i="30"/>
  <c r="D73" i="13"/>
  <c r="B39" i="30"/>
  <c r="B38" i="30"/>
  <c r="B37" i="30"/>
  <c r="B36" i="30"/>
  <c r="D65" i="13"/>
  <c r="D35" i="30"/>
  <c r="D104" i="30" s="1"/>
  <c r="B35" i="30"/>
  <c r="D45" i="13"/>
  <c r="D32" i="30"/>
  <c r="B32" i="30"/>
  <c r="B31" i="30"/>
  <c r="D42" i="13"/>
  <c r="D30" i="30"/>
  <c r="B30" i="30"/>
  <c r="D41" i="13"/>
  <c r="D29" i="30"/>
  <c r="B29" i="30"/>
  <c r="D28" i="30"/>
  <c r="B28" i="30"/>
  <c r="B27" i="30"/>
  <c r="D35" i="13"/>
  <c r="B26" i="30"/>
  <c r="D34" i="13"/>
  <c r="D25" i="30"/>
  <c r="D26" i="30" s="1"/>
  <c r="B25" i="30"/>
  <c r="D33" i="13"/>
  <c r="B24" i="30"/>
  <c r="B23" i="30"/>
  <c r="D31" i="13"/>
  <c r="B22" i="30"/>
  <c r="D20" i="13"/>
  <c r="D19" i="30"/>
  <c r="B19" i="30"/>
  <c r="D19" i="13"/>
  <c r="B18" i="30"/>
  <c r="B17" i="30"/>
  <c r="D16" i="13"/>
  <c r="B16" i="30"/>
  <c r="D15" i="13"/>
  <c r="B15" i="30"/>
  <c r="D12" i="30"/>
  <c r="B12" i="30"/>
  <c r="B11" i="30"/>
  <c r="B10" i="30"/>
  <c r="A9" i="30"/>
  <c r="A10" i="30" s="1"/>
  <c r="A11" i="30" s="1"/>
  <c r="A12" i="30" s="1"/>
  <c r="D41" i="14" l="1"/>
  <c r="F52" i="13"/>
  <c r="F51" i="13"/>
  <c r="G35" i="13"/>
  <c r="D23" i="13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D22" i="13"/>
  <c r="E24" i="16"/>
  <c r="E25" i="16"/>
  <c r="D125" i="13"/>
  <c r="D71" i="14"/>
  <c r="F71" i="14" s="1"/>
  <c r="D19" i="14"/>
  <c r="D37" i="13"/>
  <c r="D126" i="13"/>
  <c r="D16" i="15"/>
  <c r="D67" i="13"/>
  <c r="D77" i="13"/>
  <c r="E109" i="30"/>
  <c r="C61" i="16" s="1"/>
  <c r="E48" i="30"/>
  <c r="E49" i="30"/>
  <c r="D159" i="30"/>
  <c r="D162" i="30"/>
  <c r="D169" i="30" s="1"/>
  <c r="E50" i="30"/>
  <c r="D109" i="30"/>
  <c r="D110" i="30" s="1"/>
  <c r="D111" i="30" s="1"/>
  <c r="A126" i="30" l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D21" i="2"/>
  <c r="D69" i="13"/>
  <c r="D177" i="30"/>
  <c r="D180" i="30" s="1"/>
  <c r="D172" i="30"/>
  <c r="A138" i="30" l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9" i="19" l="1"/>
  <c r="A10" i="19" s="1"/>
  <c r="A11" i="19" s="1"/>
  <c r="A12" i="19" s="1"/>
  <c r="A13" i="19" s="1"/>
  <c r="A14" i="19" s="1"/>
  <c r="A15" i="19" s="1"/>
  <c r="A22" i="19" l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G43" i="18"/>
  <c r="G41" i="18"/>
  <c r="D37" i="18"/>
  <c r="G37" i="18" s="1"/>
  <c r="I43" i="18" l="1"/>
  <c r="G36" i="18"/>
  <c r="F43" i="18"/>
  <c r="I41" i="18"/>
  <c r="F41" i="18"/>
  <c r="H46" i="1" l="1"/>
  <c r="F37" i="18"/>
  <c r="F36" i="18"/>
  <c r="I36" i="18"/>
  <c r="I25" i="18"/>
  <c r="D38" i="18" l="1"/>
  <c r="F14" i="18"/>
  <c r="H40" i="1"/>
  <c r="I37" i="18"/>
  <c r="C39" i="18"/>
  <c r="F22" i="18"/>
  <c r="F21" i="18"/>
  <c r="F17" i="18"/>
  <c r="C19" i="18"/>
  <c r="F16" i="18"/>
  <c r="J40" i="1" l="1"/>
  <c r="J46" i="1"/>
  <c r="F38" i="18"/>
  <c r="F39" i="18" s="1"/>
  <c r="F47" i="18" s="1"/>
  <c r="G38" i="18"/>
  <c r="I38" i="18" s="1"/>
  <c r="I39" i="18" s="1"/>
  <c r="F23" i="18"/>
  <c r="D32" i="19" l="1"/>
  <c r="D26" i="19"/>
  <c r="D18" i="18"/>
  <c r="F18" i="18" s="1"/>
  <c r="F19" i="18" s="1"/>
  <c r="F27" i="18" s="1"/>
  <c r="L46" i="1"/>
  <c r="E32" i="19" l="1"/>
  <c r="L40" i="1"/>
  <c r="I22" i="18"/>
  <c r="E26" i="19" l="1"/>
  <c r="I21" i="18"/>
  <c r="I23" i="18" s="1"/>
  <c r="I17" i="18" l="1"/>
  <c r="I16" i="18"/>
  <c r="H37" i="1" l="1"/>
  <c r="E25" i="15"/>
  <c r="E24" i="15"/>
  <c r="H36" i="1"/>
  <c r="C18" i="15" l="1"/>
  <c r="C33" i="15"/>
  <c r="F35" i="15"/>
  <c r="D24" i="15"/>
  <c r="F31" i="15"/>
  <c r="J37" i="1" l="1"/>
  <c r="J36" i="1"/>
  <c r="D32" i="15"/>
  <c r="F32" i="15" l="1"/>
  <c r="F33" i="15" s="1"/>
  <c r="F37" i="15" l="1"/>
  <c r="L37" i="1" s="1"/>
  <c r="F16" i="15"/>
  <c r="L39" i="15" s="1"/>
  <c r="H29" i="1"/>
  <c r="C40" i="14"/>
  <c r="F41" i="14"/>
  <c r="F60" i="14"/>
  <c r="C63" i="14"/>
  <c r="F69" i="13"/>
  <c r="D101" i="13"/>
  <c r="D102" i="13" s="1"/>
  <c r="C102" i="13"/>
  <c r="D96" i="13"/>
  <c r="D97" i="13"/>
  <c r="C91" i="13"/>
  <c r="C94" i="13" s="1"/>
  <c r="D89" i="13"/>
  <c r="D85" i="13"/>
  <c r="L110" i="13"/>
  <c r="L111" i="13" s="1"/>
  <c r="I92" i="13"/>
  <c r="F15" i="2"/>
  <c r="J38" i="1"/>
  <c r="D24" i="19" s="1"/>
  <c r="H38" i="1"/>
  <c r="B18" i="1"/>
  <c r="B21" i="1" s="1"/>
  <c r="H30" i="1" l="1"/>
  <c r="C132" i="13"/>
  <c r="C90" i="13"/>
  <c r="F62" i="14"/>
  <c r="F63" i="14" s="1"/>
  <c r="F97" i="13"/>
  <c r="D92" i="13"/>
  <c r="F92" i="13" s="1"/>
  <c r="I14" i="2"/>
  <c r="C16" i="2"/>
  <c r="H17" i="1" s="1"/>
  <c r="F14" i="2"/>
  <c r="F16" i="2" s="1"/>
  <c r="C47" i="14"/>
  <c r="B22" i="1"/>
  <c r="F121" i="13"/>
  <c r="F116" i="13"/>
  <c r="G31" i="16"/>
  <c r="C32" i="16"/>
  <c r="F126" i="13"/>
  <c r="F131" i="13"/>
  <c r="F39" i="14"/>
  <c r="F40" i="14" s="1"/>
  <c r="D51" i="16"/>
  <c r="D55" i="16"/>
  <c r="D52" i="16"/>
  <c r="F89" i="13"/>
  <c r="C98" i="13"/>
  <c r="F98" i="13" s="1"/>
  <c r="F102" i="13"/>
  <c r="F134" i="13"/>
  <c r="F73" i="14"/>
  <c r="F68" i="14"/>
  <c r="F69" i="14" s="1"/>
  <c r="F49" i="14"/>
  <c r="F46" i="14"/>
  <c r="F45" i="14"/>
  <c r="F23" i="13"/>
  <c r="F101" i="13"/>
  <c r="F125" i="13"/>
  <c r="F123" i="13"/>
  <c r="F122" i="13"/>
  <c r="C69" i="14"/>
  <c r="D64" i="14"/>
  <c r="F64" i="14" s="1"/>
  <c r="G30" i="16"/>
  <c r="C66" i="14"/>
  <c r="F130" i="13"/>
  <c r="F120" i="13"/>
  <c r="F37" i="14"/>
  <c r="F19" i="14"/>
  <c r="C124" i="13"/>
  <c r="C128" i="13" s="1"/>
  <c r="C43" i="14"/>
  <c r="F117" i="13"/>
  <c r="C118" i="13"/>
  <c r="F22" i="13"/>
  <c r="F85" i="13"/>
  <c r="C86" i="13"/>
  <c r="F86" i="13" s="1"/>
  <c r="F96" i="13"/>
  <c r="C99" i="13"/>
  <c r="D142" i="13" l="1"/>
  <c r="D141" i="13"/>
  <c r="H18" i="1"/>
  <c r="J30" i="1"/>
  <c r="J29" i="1"/>
  <c r="H24" i="1"/>
  <c r="J24" i="1"/>
  <c r="F132" i="13"/>
  <c r="D143" i="13" s="1"/>
  <c r="G32" i="16"/>
  <c r="F103" i="13"/>
  <c r="F47" i="14"/>
  <c r="D42" i="14" s="1"/>
  <c r="F42" i="14" s="1"/>
  <c r="F43" i="14" s="1"/>
  <c r="F51" i="14" s="1"/>
  <c r="F21" i="2"/>
  <c r="F118" i="13"/>
  <c r="B23" i="1"/>
  <c r="B24" i="1" s="1"/>
  <c r="F99" i="13"/>
  <c r="D65" i="14"/>
  <c r="F65" i="14" s="1"/>
  <c r="F66" i="14" s="1"/>
  <c r="F75" i="14" s="1"/>
  <c r="F124" i="13"/>
  <c r="D56" i="16"/>
  <c r="D57" i="16"/>
  <c r="F87" i="13"/>
  <c r="I15" i="2" l="1"/>
  <c r="I16" i="2" s="1"/>
  <c r="F9" i="30"/>
  <c r="J9" i="30" s="1"/>
  <c r="D19" i="19"/>
  <c r="D18" i="19"/>
  <c r="L29" i="1"/>
  <c r="D127" i="13"/>
  <c r="F127" i="13" s="1"/>
  <c r="F128" i="13" s="1"/>
  <c r="F136" i="13" s="1"/>
  <c r="B25" i="1"/>
  <c r="L30" i="1"/>
  <c r="E18" i="19" l="1"/>
  <c r="E19" i="19"/>
  <c r="B28" i="1"/>
  <c r="L24" i="1"/>
  <c r="B29" i="1" l="1"/>
  <c r="B30" i="1" l="1"/>
  <c r="B31" i="1" l="1"/>
  <c r="B33" i="1" s="1"/>
  <c r="B36" i="1" l="1"/>
  <c r="B37" i="1" s="1"/>
  <c r="B38" i="1" s="1"/>
  <c r="B40" i="1" s="1"/>
  <c r="B42" i="1" l="1"/>
  <c r="B44" i="1" s="1"/>
  <c r="B46" i="1"/>
  <c r="B48" i="1" s="1"/>
  <c r="D90" i="13" l="1"/>
  <c r="F90" i="13" s="1"/>
  <c r="F91" i="13" s="1"/>
  <c r="D93" i="13" l="1"/>
  <c r="F93" i="13" s="1"/>
  <c r="F94" i="13" s="1"/>
  <c r="F105" i="13" s="1"/>
  <c r="D20" i="15" l="1"/>
  <c r="D25" i="15" l="1"/>
  <c r="F20" i="15"/>
  <c r="D17" i="15" l="1"/>
  <c r="F17" i="15" l="1"/>
  <c r="F18" i="15" s="1"/>
  <c r="F22" i="15" l="1"/>
  <c r="L36" i="1" s="1"/>
  <c r="L38" i="1" l="1"/>
  <c r="E24" i="19" s="1"/>
  <c r="F18" i="2" l="1"/>
  <c r="F19" i="2" l="1"/>
  <c r="C20" i="2"/>
  <c r="C23" i="2" s="1"/>
  <c r="J17" i="1" s="1"/>
  <c r="J18" i="1" l="1"/>
  <c r="D8" i="19"/>
  <c r="F20" i="2"/>
  <c r="D22" i="2" s="1"/>
  <c r="F22" i="2" l="1"/>
  <c r="F23" i="2" s="1"/>
  <c r="L17" i="1" s="1"/>
  <c r="E8" i="19" l="1"/>
  <c r="L18" i="1"/>
  <c r="G37" i="13" l="1"/>
  <c r="F26" i="30"/>
  <c r="J26" i="30" s="1"/>
  <c r="I35" i="15" l="1"/>
  <c r="F164" i="30"/>
  <c r="J164" i="30" s="1"/>
  <c r="E55" i="16"/>
  <c r="E56" i="16" l="1"/>
  <c r="G56" i="16" s="1"/>
  <c r="H31" i="16" s="1"/>
  <c r="G55" i="16"/>
  <c r="E57" i="16"/>
  <c r="G57" i="16" s="1"/>
  <c r="H30" i="16" s="1"/>
  <c r="D76" i="16" l="1"/>
  <c r="D74" i="16"/>
  <c r="D72" i="16"/>
  <c r="D70" i="16"/>
  <c r="D68" i="16"/>
  <c r="D66" i="16"/>
  <c r="R66" i="16"/>
  <c r="D75" i="16"/>
  <c r="D73" i="16"/>
  <c r="D69" i="16"/>
  <c r="R77" i="16"/>
  <c r="R74" i="16"/>
  <c r="R72" i="16"/>
  <c r="R70" i="16"/>
  <c r="R68" i="16"/>
  <c r="D77" i="16"/>
  <c r="D71" i="16"/>
  <c r="D67" i="16"/>
  <c r="R76" i="16"/>
  <c r="R75" i="16"/>
  <c r="R73" i="16"/>
  <c r="R71" i="16"/>
  <c r="R69" i="16"/>
  <c r="R67" i="16"/>
  <c r="C68" i="16"/>
  <c r="C75" i="16"/>
  <c r="C71" i="16"/>
  <c r="C67" i="16"/>
  <c r="Q76" i="16"/>
  <c r="Q74" i="16"/>
  <c r="Q72" i="16"/>
  <c r="Q70" i="16"/>
  <c r="Q68" i="16"/>
  <c r="C76" i="16"/>
  <c r="C74" i="16"/>
  <c r="C72" i="16"/>
  <c r="C70" i="16"/>
  <c r="C66" i="16"/>
  <c r="Q66" i="16"/>
  <c r="C77" i="16"/>
  <c r="C73" i="16"/>
  <c r="C69" i="16"/>
  <c r="Q77" i="16"/>
  <c r="Q75" i="16"/>
  <c r="Q73" i="16"/>
  <c r="Q71" i="16"/>
  <c r="Q69" i="16"/>
  <c r="Q67" i="16"/>
  <c r="F116" i="30"/>
  <c r="J116" i="30" s="1"/>
  <c r="F114" i="30"/>
  <c r="J114" i="30" s="1"/>
  <c r="F115" i="30"/>
  <c r="J115" i="30" s="1"/>
  <c r="J31" i="16" l="1"/>
  <c r="D32" i="16" l="1"/>
  <c r="J30" i="16"/>
  <c r="J32" i="16" s="1"/>
  <c r="F11" i="30" l="1"/>
  <c r="J11" i="30" s="1"/>
  <c r="I18" i="2"/>
  <c r="G19" i="2" s="1"/>
  <c r="I19" i="2" s="1"/>
  <c r="I20" i="2" s="1"/>
  <c r="G21" i="2" l="1"/>
  <c r="I21" i="2" s="1"/>
  <c r="F12" i="30"/>
  <c r="J12" i="30" s="1"/>
  <c r="I20" i="15" l="1"/>
  <c r="L38" i="15" s="1"/>
  <c r="G25" i="15"/>
  <c r="F158" i="30" s="1"/>
  <c r="F156" i="30"/>
  <c r="G25" i="16" l="1"/>
  <c r="G24" i="16"/>
  <c r="F37" i="13" l="1"/>
  <c r="I37" i="13"/>
  <c r="G35" i="16" l="1"/>
  <c r="C37" i="16"/>
  <c r="G22" i="16"/>
  <c r="G36" i="16"/>
  <c r="G16" i="16"/>
  <c r="G17" i="16"/>
  <c r="F24" i="14"/>
  <c r="C25" i="14" l="1"/>
  <c r="F23" i="14"/>
  <c r="F25" i="14" s="1"/>
  <c r="C18" i="16"/>
  <c r="H33" i="1" s="1"/>
  <c r="G15" i="16"/>
  <c r="G18" i="16" s="1"/>
  <c r="C18" i="14"/>
  <c r="C21" i="14" s="1"/>
  <c r="J28" i="1" s="1"/>
  <c r="F17" i="14"/>
  <c r="F18" i="14" s="1"/>
  <c r="G37" i="16"/>
  <c r="F27" i="14"/>
  <c r="D31" i="14" l="1"/>
  <c r="H28" i="1"/>
  <c r="F15" i="14"/>
  <c r="D20" i="14" s="1"/>
  <c r="J31" i="1"/>
  <c r="D17" i="19"/>
  <c r="D20" i="19" s="1"/>
  <c r="H31" i="1" l="1"/>
  <c r="F20" i="14"/>
  <c r="F21" i="14" s="1"/>
  <c r="F29" i="14" s="1"/>
  <c r="L28" i="1" s="1"/>
  <c r="F77" i="13"/>
  <c r="F74" i="13"/>
  <c r="C75" i="13" l="1"/>
  <c r="F73" i="13"/>
  <c r="F75" i="13" s="1"/>
  <c r="F67" i="13"/>
  <c r="F68" i="13" s="1"/>
  <c r="C68" i="13"/>
  <c r="C71" i="13" s="1"/>
  <c r="J23" i="1" s="1"/>
  <c r="F65" i="13"/>
  <c r="H23" i="1"/>
  <c r="L31" i="1"/>
  <c r="E17" i="19"/>
  <c r="D13" i="19" l="1"/>
  <c r="D81" i="13"/>
  <c r="D70" i="13"/>
  <c r="F70" i="13" s="1"/>
  <c r="F71" i="13" s="1"/>
  <c r="F79" i="13" s="1"/>
  <c r="L23" i="1" s="1"/>
  <c r="E20" i="19"/>
  <c r="E13" i="19" l="1"/>
  <c r="F42" i="13"/>
  <c r="F54" i="13" l="1"/>
  <c r="G54" i="13" s="1"/>
  <c r="F34" i="13"/>
  <c r="I35" i="13"/>
  <c r="F35" i="13"/>
  <c r="F41" i="13"/>
  <c r="F43" i="13" s="1"/>
  <c r="C43" i="13"/>
  <c r="F53" i="13"/>
  <c r="F33" i="13"/>
  <c r="C36" i="13"/>
  <c r="C39" i="13" s="1"/>
  <c r="J22" i="1" s="1"/>
  <c r="F45" i="13"/>
  <c r="D12" i="19" l="1"/>
  <c r="D59" i="13"/>
  <c r="G53" i="13"/>
  <c r="F55" i="13"/>
  <c r="F31" i="13"/>
  <c r="H22" i="1"/>
  <c r="D60" i="13"/>
  <c r="F56" i="13"/>
  <c r="F36" i="13"/>
  <c r="F57" i="13" l="1"/>
  <c r="L56" i="13" s="1"/>
  <c r="F15" i="13" l="1"/>
  <c r="F19" i="13"/>
  <c r="F16" i="13"/>
  <c r="C17" i="13" l="1"/>
  <c r="H21" i="1" s="1"/>
  <c r="F17" i="13"/>
  <c r="H25" i="1" l="1"/>
  <c r="H44" i="1" s="1"/>
  <c r="H48" i="1" s="1"/>
  <c r="D38" i="13"/>
  <c r="F39" i="13"/>
  <c r="F47" i="13" s="1"/>
  <c r="L22" i="1" s="1"/>
  <c r="E12" i="19" l="1"/>
  <c r="G21" i="16"/>
  <c r="G23" i="16" s="1"/>
  <c r="C23" i="16"/>
  <c r="C27" i="16" s="1"/>
  <c r="J33" i="1" s="1"/>
  <c r="D22" i="19" l="1"/>
  <c r="E26" i="16"/>
  <c r="G27" i="16"/>
  <c r="G41" i="16" s="1"/>
  <c r="L33" i="1" s="1"/>
  <c r="E22" i="19" l="1"/>
  <c r="K22" i="19" s="1"/>
  <c r="J43" i="16" s="1"/>
  <c r="I22" i="19" l="1"/>
  <c r="F20" i="13"/>
  <c r="F21" i="13" s="1"/>
  <c r="C21" i="13"/>
  <c r="C25" i="13" s="1"/>
  <c r="J21" i="1" s="1"/>
  <c r="D11" i="19" l="1"/>
  <c r="D14" i="19" s="1"/>
  <c r="D30" i="19" s="1"/>
  <c r="D34" i="19" s="1"/>
  <c r="J25" i="1"/>
  <c r="J44" i="1" s="1"/>
  <c r="J48" i="1" s="1"/>
  <c r="D24" i="13"/>
  <c r="F24" i="13" s="1"/>
  <c r="F25" i="13" s="1"/>
  <c r="L21" i="1" s="1"/>
  <c r="D27" i="13" l="1"/>
  <c r="J51" i="1"/>
  <c r="E11" i="19"/>
  <c r="L25" i="1"/>
  <c r="L44" i="1" s="1"/>
  <c r="L48" i="1" s="1"/>
  <c r="E14" i="19" l="1"/>
  <c r="E30" i="19" s="1"/>
  <c r="E34" i="19" s="1"/>
  <c r="G11" i="19" s="1"/>
  <c r="I37" i="19" l="1"/>
  <c r="I34" i="19"/>
  <c r="G8" i="19"/>
  <c r="G18" i="19"/>
  <c r="G19" i="19"/>
  <c r="G24" i="19"/>
  <c r="G28" i="19"/>
  <c r="G17" i="19"/>
  <c r="G13" i="19"/>
  <c r="G12" i="19"/>
  <c r="G34" i="19" l="1"/>
  <c r="I39" i="19"/>
  <c r="L51" i="1"/>
  <c r="F122" i="30" l="1"/>
  <c r="J122" i="30" s="1"/>
  <c r="F123" i="30"/>
  <c r="F124" i="30" l="1"/>
  <c r="J124" i="30" s="1"/>
  <c r="J123" i="30"/>
  <c r="J74" i="16" l="1"/>
  <c r="J71" i="16"/>
  <c r="J75" i="16"/>
  <c r="J76" i="16"/>
  <c r="J72" i="16"/>
  <c r="J68" i="16"/>
  <c r="J70" i="16" l="1"/>
  <c r="J69" i="16"/>
  <c r="J73" i="16"/>
  <c r="J66" i="16" l="1"/>
  <c r="J67" i="16"/>
  <c r="J77" i="16" l="1"/>
  <c r="F128" i="30" l="1"/>
  <c r="J128" i="30" s="1"/>
  <c r="M69" i="16" l="1"/>
  <c r="M67" i="16" l="1"/>
  <c r="M72" i="16"/>
  <c r="M75" i="16"/>
  <c r="M76" i="16"/>
  <c r="M73" i="16"/>
  <c r="M71" i="16"/>
  <c r="M70" i="16"/>
  <c r="M74" i="16"/>
  <c r="M77" i="16"/>
  <c r="M68" i="16"/>
  <c r="M66" i="16" l="1"/>
  <c r="G136" i="38" l="1"/>
  <c r="H136" i="38" s="1"/>
  <c r="G106" i="38"/>
  <c r="G75" i="39" l="1"/>
  <c r="J75" i="39" s="1"/>
  <c r="G17" i="39"/>
  <c r="J17" i="39" s="1"/>
  <c r="H106" i="38"/>
  <c r="G14" i="18" l="1"/>
  <c r="F168" i="30" l="1"/>
  <c r="I14" i="18"/>
  <c r="G18" i="18" s="1"/>
  <c r="I18" i="18" s="1"/>
  <c r="I19" i="18" s="1"/>
  <c r="I27" i="18" s="1"/>
  <c r="L27" i="18" l="1"/>
  <c r="L28" i="18" s="1"/>
  <c r="N40" i="1"/>
  <c r="J26" i="19"/>
  <c r="M27" i="18"/>
  <c r="J168" i="30"/>
  <c r="F171" i="30"/>
  <c r="F176" i="30"/>
  <c r="J176" i="30" s="1"/>
  <c r="I26" i="19" l="1"/>
  <c r="M26" i="19"/>
  <c r="K26" i="19"/>
  <c r="U40" i="1"/>
  <c r="F179" i="30"/>
  <c r="J179" i="30" s="1"/>
  <c r="J171" i="30"/>
  <c r="S40" i="1"/>
  <c r="P40" i="1"/>
  <c r="Q40" i="1" s="1"/>
  <c r="V40" i="1" l="1"/>
  <c r="F132" i="30" l="1"/>
  <c r="J132" i="30" s="1"/>
  <c r="F133" i="30"/>
  <c r="J133" i="30" s="1"/>
  <c r="F131" i="30"/>
  <c r="J131" i="30" s="1"/>
  <c r="F126" i="30" l="1"/>
  <c r="J126" i="30" s="1"/>
  <c r="F125" i="30"/>
  <c r="J125" i="30" s="1"/>
  <c r="I45" i="18" l="1"/>
  <c r="J32" i="19" l="1"/>
  <c r="I47" i="18"/>
  <c r="N46" i="1" s="1"/>
  <c r="S46" i="1" l="1"/>
  <c r="P46" i="1"/>
  <c r="I32" i="19"/>
  <c r="U46" i="1"/>
  <c r="K32" i="19"/>
  <c r="M32" i="19"/>
  <c r="L47" i="18"/>
  <c r="I38" i="19"/>
  <c r="L68" i="16"/>
  <c r="H68" i="16" s="1"/>
  <c r="E68" i="16" s="1"/>
  <c r="I40" i="19" l="1"/>
  <c r="L73" i="16"/>
  <c r="H73" i="16" s="1"/>
  <c r="E73" i="16" s="1"/>
  <c r="V46" i="1"/>
  <c r="L72" i="16"/>
  <c r="H72" i="16" s="1"/>
  <c r="E72" i="16" s="1"/>
  <c r="M47" i="18"/>
  <c r="L48" i="18"/>
  <c r="L70" i="16"/>
  <c r="H70" i="16" s="1"/>
  <c r="E70" i="16" s="1"/>
  <c r="L74" i="16"/>
  <c r="H74" i="16" s="1"/>
  <c r="E74" i="16" s="1"/>
  <c r="Q46" i="1"/>
  <c r="L77" i="16"/>
  <c r="H77" i="16" s="1"/>
  <c r="E77" i="16" s="1"/>
  <c r="O68" i="16"/>
  <c r="S68" i="16" s="1"/>
  <c r="F140" i="30" s="1"/>
  <c r="L140" i="30" s="1"/>
  <c r="P68" i="16"/>
  <c r="T68" i="16" s="1"/>
  <c r="G140" i="30" s="1"/>
  <c r="M140" i="30" s="1"/>
  <c r="L67" i="16"/>
  <c r="H67" i="16" s="1"/>
  <c r="E67" i="16" s="1"/>
  <c r="O67" i="16" l="1"/>
  <c r="S67" i="16" s="1"/>
  <c r="F139" i="30" s="1"/>
  <c r="L139" i="30" s="1"/>
  <c r="P67" i="16"/>
  <c r="T67" i="16" s="1"/>
  <c r="G139" i="30" s="1"/>
  <c r="M139" i="30" s="1"/>
  <c r="O72" i="16"/>
  <c r="S72" i="16" s="1"/>
  <c r="F144" i="30" s="1"/>
  <c r="L144" i="30" s="1"/>
  <c r="P72" i="16"/>
  <c r="T72" i="16" s="1"/>
  <c r="G144" i="30" s="1"/>
  <c r="M144" i="30" s="1"/>
  <c r="L71" i="16"/>
  <c r="H71" i="16" s="1"/>
  <c r="E71" i="16" s="1"/>
  <c r="L69" i="16"/>
  <c r="H69" i="16" s="1"/>
  <c r="E69" i="16" s="1"/>
  <c r="O73" i="16"/>
  <c r="S73" i="16" s="1"/>
  <c r="F145" i="30" s="1"/>
  <c r="L145" i="30" s="1"/>
  <c r="P73" i="16"/>
  <c r="T73" i="16" s="1"/>
  <c r="G145" i="30" s="1"/>
  <c r="M145" i="30" s="1"/>
  <c r="I13" i="19"/>
  <c r="I17" i="19"/>
  <c r="I24" i="19"/>
  <c r="I28" i="19"/>
  <c r="I11" i="19"/>
  <c r="I18" i="19"/>
  <c r="I12" i="19"/>
  <c r="I19" i="19"/>
  <c r="I8" i="19"/>
  <c r="L76" i="16"/>
  <c r="H76" i="16" s="1"/>
  <c r="E76" i="16" s="1"/>
  <c r="P77" i="16"/>
  <c r="T77" i="16" s="1"/>
  <c r="G149" i="30" s="1"/>
  <c r="M149" i="30" s="1"/>
  <c r="O77" i="16"/>
  <c r="S77" i="16" s="1"/>
  <c r="F149" i="30" s="1"/>
  <c r="L149" i="30" s="1"/>
  <c r="O74" i="16"/>
  <c r="S74" i="16" s="1"/>
  <c r="F146" i="30" s="1"/>
  <c r="L146" i="30" s="1"/>
  <c r="P74" i="16"/>
  <c r="T74" i="16" s="1"/>
  <c r="G146" i="30" s="1"/>
  <c r="M146" i="30" s="1"/>
  <c r="L75" i="16"/>
  <c r="H75" i="16" s="1"/>
  <c r="E75" i="16" s="1"/>
  <c r="P70" i="16"/>
  <c r="T70" i="16" s="1"/>
  <c r="G142" i="30" s="1"/>
  <c r="M142" i="30" s="1"/>
  <c r="O70" i="16"/>
  <c r="S70" i="16" s="1"/>
  <c r="F142" i="30" s="1"/>
  <c r="L142" i="30" s="1"/>
  <c r="O76" i="16" l="1"/>
  <c r="S76" i="16" s="1"/>
  <c r="F148" i="30" s="1"/>
  <c r="L148" i="30" s="1"/>
  <c r="P76" i="16"/>
  <c r="T76" i="16" s="1"/>
  <c r="G148" i="30" s="1"/>
  <c r="M148" i="30" s="1"/>
  <c r="J12" i="19"/>
  <c r="J24" i="19"/>
  <c r="O71" i="16"/>
  <c r="S71" i="16" s="1"/>
  <c r="F143" i="30" s="1"/>
  <c r="L143" i="30" s="1"/>
  <c r="P71" i="16"/>
  <c r="T71" i="16" s="1"/>
  <c r="G143" i="30" s="1"/>
  <c r="M143" i="30" s="1"/>
  <c r="L66" i="16"/>
  <c r="H66" i="16" s="1"/>
  <c r="E66" i="16" s="1"/>
  <c r="J18" i="19"/>
  <c r="J17" i="19"/>
  <c r="P75" i="16"/>
  <c r="T75" i="16" s="1"/>
  <c r="G147" i="30" s="1"/>
  <c r="M147" i="30" s="1"/>
  <c r="O75" i="16"/>
  <c r="S75" i="16" s="1"/>
  <c r="F147" i="30" s="1"/>
  <c r="L147" i="30" s="1"/>
  <c r="J8" i="19"/>
  <c r="J11" i="19"/>
  <c r="J13" i="19"/>
  <c r="P69" i="16"/>
  <c r="T69" i="16" s="1"/>
  <c r="G141" i="30" s="1"/>
  <c r="M141" i="30" s="1"/>
  <c r="O69" i="16"/>
  <c r="S69" i="16" s="1"/>
  <c r="F141" i="30" s="1"/>
  <c r="L141" i="30" s="1"/>
  <c r="J19" i="19"/>
  <c r="J28" i="19"/>
  <c r="J45" i="38"/>
  <c r="O24" i="38"/>
  <c r="M28" i="19" l="1"/>
  <c r="U42" i="1"/>
  <c r="K28" i="19"/>
  <c r="M13" i="19"/>
  <c r="K13" i="19"/>
  <c r="U18" i="1"/>
  <c r="K8" i="19"/>
  <c r="M8" i="19"/>
  <c r="K18" i="19"/>
  <c r="M18" i="19"/>
  <c r="L52" i="14" s="1"/>
  <c r="P66" i="16"/>
  <c r="T66" i="16" s="1"/>
  <c r="G138" i="30" s="1"/>
  <c r="M138" i="30" s="1"/>
  <c r="O66" i="16"/>
  <c r="S66" i="16" s="1"/>
  <c r="F138" i="30" s="1"/>
  <c r="L138" i="30" s="1"/>
  <c r="K24" i="19"/>
  <c r="U38" i="1"/>
  <c r="M24" i="19"/>
  <c r="O25" i="38"/>
  <c r="P24" i="38"/>
  <c r="P25" i="38" s="1"/>
  <c r="P26" i="38" s="1"/>
  <c r="K19" i="19"/>
  <c r="M19" i="19"/>
  <c r="J14" i="19"/>
  <c r="M11" i="19"/>
  <c r="K11" i="19"/>
  <c r="M17" i="19"/>
  <c r="K17" i="19"/>
  <c r="J20" i="19"/>
  <c r="M12" i="19"/>
  <c r="L50" i="13" s="1"/>
  <c r="K12" i="19"/>
  <c r="J143" i="38"/>
  <c r="H143" i="38" s="1"/>
  <c r="G143" i="38" s="1"/>
  <c r="H45" i="38"/>
  <c r="J296" i="38"/>
  <c r="H296" i="38" s="1"/>
  <c r="J113" i="38"/>
  <c r="H113" i="38" s="1"/>
  <c r="G113" i="38" s="1"/>
  <c r="J419" i="38"/>
  <c r="H419" i="38" s="1"/>
  <c r="G419" i="38" s="1"/>
  <c r="J374" i="38"/>
  <c r="H374" i="38" s="1"/>
  <c r="G374" i="38" s="1"/>
  <c r="J531" i="38"/>
  <c r="H531" i="38" s="1"/>
  <c r="G531" i="38" s="1"/>
  <c r="J433" i="38"/>
  <c r="H433" i="38" s="1"/>
  <c r="G433" i="38" s="1"/>
  <c r="N25" i="38" l="1"/>
  <c r="O26" i="38"/>
  <c r="N26" i="38" s="1"/>
  <c r="M20" i="19"/>
  <c r="U31" i="1"/>
  <c r="L25" i="13"/>
  <c r="K14" i="19"/>
  <c r="L37" i="15"/>
  <c r="M37" i="15" s="1"/>
  <c r="M52" i="14"/>
  <c r="G42" i="14" s="1"/>
  <c r="I42" i="14" s="1"/>
  <c r="L81" i="13"/>
  <c r="M81" i="13" s="1"/>
  <c r="J30" i="19"/>
  <c r="G296" i="38"/>
  <c r="L47" i="13"/>
  <c r="L31" i="14"/>
  <c r="K20" i="19"/>
  <c r="L77" i="14"/>
  <c r="L23" i="2"/>
  <c r="H24" i="38"/>
  <c r="G45" i="38"/>
  <c r="U25" i="1"/>
  <c r="M14" i="19"/>
  <c r="U44" i="1"/>
  <c r="M77" i="14" l="1"/>
  <c r="G65" i="14" s="1"/>
  <c r="I65" i="14" s="1"/>
  <c r="I30" i="19"/>
  <c r="M30" i="19"/>
  <c r="J34" i="19"/>
  <c r="J39" i="16"/>
  <c r="M47" i="13"/>
  <c r="M25" i="13"/>
  <c r="U48" i="1"/>
  <c r="M23" i="2"/>
  <c r="G22" i="2" s="1"/>
  <c r="I22" i="2" s="1"/>
  <c r="I23" i="2" s="1"/>
  <c r="N17" i="1" s="1"/>
  <c r="G65" i="13"/>
  <c r="G77" i="13"/>
  <c r="K24" i="15"/>
  <c r="K25" i="15" s="1"/>
  <c r="G17" i="15"/>
  <c r="I17" i="15" s="1"/>
  <c r="G32" i="15"/>
  <c r="I32" i="15" s="1"/>
  <c r="K30" i="19"/>
  <c r="M31" i="14"/>
  <c r="L40" i="15" l="1"/>
  <c r="L41" i="15" s="1"/>
  <c r="M41" i="15" s="1"/>
  <c r="G31" i="15" s="1"/>
  <c r="I31" i="15" s="1"/>
  <c r="I33" i="15" s="1"/>
  <c r="I37" i="15" s="1"/>
  <c r="G68" i="14"/>
  <c r="G15" i="14"/>
  <c r="G73" i="14"/>
  <c r="G24" i="14"/>
  <c r="G17" i="14"/>
  <c r="G23" i="14"/>
  <c r="G20" i="14"/>
  <c r="I20" i="14" s="1"/>
  <c r="G27" i="14"/>
  <c r="K34" i="19"/>
  <c r="I65" i="13"/>
  <c r="G85" i="13"/>
  <c r="I85" i="13" s="1"/>
  <c r="F35" i="30"/>
  <c r="H16" i="16"/>
  <c r="G31" i="13"/>
  <c r="I138" i="13"/>
  <c r="G38" i="13"/>
  <c r="I38" i="13" s="1"/>
  <c r="L54" i="13" s="1"/>
  <c r="N18" i="1"/>
  <c r="S18" i="1" s="1"/>
  <c r="S17" i="1"/>
  <c r="P17" i="1"/>
  <c r="G19" i="13"/>
  <c r="G16" i="13"/>
  <c r="G15" i="13"/>
  <c r="G20" i="13"/>
  <c r="M111" i="13"/>
  <c r="G102" i="13" s="1"/>
  <c r="I102" i="13" s="1"/>
  <c r="F42" i="30"/>
  <c r="H35" i="16"/>
  <c r="G101" i="13"/>
  <c r="I101" i="13" s="1"/>
  <c r="I77" i="13"/>
  <c r="L24" i="2"/>
  <c r="M34" i="19"/>
  <c r="E59" i="16" l="1"/>
  <c r="G16" i="15"/>
  <c r="G24" i="15" s="1"/>
  <c r="F159" i="30" s="1"/>
  <c r="J159" i="30" s="1"/>
  <c r="F162" i="30"/>
  <c r="G19" i="14"/>
  <c r="I19" i="14" s="1"/>
  <c r="I17" i="14"/>
  <c r="I18" i="14" s="1"/>
  <c r="F72" i="30"/>
  <c r="G67" i="13"/>
  <c r="I103" i="13"/>
  <c r="I16" i="13"/>
  <c r="F16" i="30"/>
  <c r="F22" i="30"/>
  <c r="I31" i="13"/>
  <c r="H15" i="16"/>
  <c r="J162" i="30"/>
  <c r="F75" i="30"/>
  <c r="I24" i="14"/>
  <c r="G74" i="13"/>
  <c r="J35" i="16"/>
  <c r="F119" i="30"/>
  <c r="J119" i="30" s="1"/>
  <c r="G22" i="13"/>
  <c r="I22" i="13" s="1"/>
  <c r="F18" i="30"/>
  <c r="I19" i="13"/>
  <c r="F104" i="30"/>
  <c r="J104" i="30" s="1"/>
  <c r="J16" i="16"/>
  <c r="N37" i="1"/>
  <c r="I73" i="14"/>
  <c r="F98" i="30"/>
  <c r="J98" i="30" s="1"/>
  <c r="F15" i="30"/>
  <c r="I15" i="13"/>
  <c r="I17" i="13" s="1"/>
  <c r="Q17" i="1"/>
  <c r="P18" i="1"/>
  <c r="G120" i="13"/>
  <c r="G123" i="13"/>
  <c r="G131" i="13"/>
  <c r="G134" i="13"/>
  <c r="G121" i="13"/>
  <c r="G116" i="13"/>
  <c r="G117" i="13"/>
  <c r="G122" i="13"/>
  <c r="G130" i="13"/>
  <c r="I68" i="14"/>
  <c r="I69" i="14" s="1"/>
  <c r="F94" i="30"/>
  <c r="J94" i="30" s="1"/>
  <c r="I27" i="14"/>
  <c r="H36" i="16"/>
  <c r="F77" i="30"/>
  <c r="J42" i="30"/>
  <c r="F52" i="30"/>
  <c r="J52" i="30" s="1"/>
  <c r="I20" i="13"/>
  <c r="F19" i="30"/>
  <c r="G23" i="13"/>
  <c r="I23" i="13" s="1"/>
  <c r="J35" i="30"/>
  <c r="G60" i="16"/>
  <c r="H22" i="16" s="1"/>
  <c r="G59" i="16"/>
  <c r="G61" i="16"/>
  <c r="H21" i="16" s="1"/>
  <c r="G73" i="13"/>
  <c r="F74" i="30"/>
  <c r="G71" i="14"/>
  <c r="I23" i="14"/>
  <c r="I15" i="14"/>
  <c r="G60" i="14"/>
  <c r="F70" i="30"/>
  <c r="G37" i="14"/>
  <c r="L108" i="13"/>
  <c r="G86" i="13" s="1"/>
  <c r="H17" i="16"/>
  <c r="I21" i="13" l="1"/>
  <c r="I25" i="14"/>
  <c r="G31" i="14" s="1"/>
  <c r="I16" i="15"/>
  <c r="I18" i="15" s="1"/>
  <c r="I22" i="15" s="1"/>
  <c r="N36" i="1" s="1"/>
  <c r="F154" i="30"/>
  <c r="J154" i="30" s="1"/>
  <c r="F108" i="30"/>
  <c r="H24" i="16"/>
  <c r="J24" i="16" s="1"/>
  <c r="J21" i="16"/>
  <c r="F64" i="30"/>
  <c r="I130" i="13"/>
  <c r="F58" i="30"/>
  <c r="I120" i="13"/>
  <c r="J75" i="30"/>
  <c r="F96" i="30"/>
  <c r="J96" i="30" s="1"/>
  <c r="I71" i="14"/>
  <c r="F111" i="30"/>
  <c r="J111" i="30" s="1"/>
  <c r="J45" i="16"/>
  <c r="F67" i="30"/>
  <c r="I134" i="13"/>
  <c r="J22" i="30"/>
  <c r="I67" i="13"/>
  <c r="I68" i="13" s="1"/>
  <c r="G89" i="13"/>
  <c r="I89" i="13" s="1"/>
  <c r="F37" i="30"/>
  <c r="G69" i="13"/>
  <c r="I69" i="13" s="1"/>
  <c r="M110" i="13"/>
  <c r="G90" i="13" s="1"/>
  <c r="I90" i="13" s="1"/>
  <c r="J17" i="16"/>
  <c r="F105" i="30"/>
  <c r="J105" i="30" s="1"/>
  <c r="F90" i="30"/>
  <c r="J90" i="30" s="1"/>
  <c r="I60" i="14"/>
  <c r="G62" i="14" s="1"/>
  <c r="J74" i="30"/>
  <c r="F110" i="30"/>
  <c r="J110" i="30" s="1"/>
  <c r="H25" i="16"/>
  <c r="J25" i="16" s="1"/>
  <c r="J22" i="16"/>
  <c r="J19" i="30"/>
  <c r="K26" i="15"/>
  <c r="I117" i="13"/>
  <c r="F56" i="30"/>
  <c r="I131" i="13"/>
  <c r="F65" i="30"/>
  <c r="J18" i="30"/>
  <c r="G97" i="13"/>
  <c r="I97" i="13" s="1"/>
  <c r="I74" i="13"/>
  <c r="F40" i="30"/>
  <c r="J16" i="30"/>
  <c r="J72" i="30"/>
  <c r="I121" i="13"/>
  <c r="G125" i="13"/>
  <c r="I125" i="13" s="1"/>
  <c r="F59" i="30"/>
  <c r="J15" i="30"/>
  <c r="P37" i="1"/>
  <c r="Q37" i="1" s="1"/>
  <c r="S37" i="1"/>
  <c r="L53" i="13"/>
  <c r="J70" i="30"/>
  <c r="F60" i="30"/>
  <c r="I122" i="13"/>
  <c r="Q18" i="1"/>
  <c r="V18" i="1"/>
  <c r="I86" i="13"/>
  <c r="I87" i="13" s="1"/>
  <c r="F45" i="30"/>
  <c r="G96" i="13"/>
  <c r="I96" i="13" s="1"/>
  <c r="F39" i="30"/>
  <c r="I73" i="13"/>
  <c r="I75" i="13" s="1"/>
  <c r="J77" i="30"/>
  <c r="I116" i="13"/>
  <c r="F55" i="30"/>
  <c r="F61" i="30"/>
  <c r="G126" i="13"/>
  <c r="I126" i="13" s="1"/>
  <c r="I123" i="13"/>
  <c r="G24" i="13"/>
  <c r="I24" i="13" s="1"/>
  <c r="I25" i="13" s="1"/>
  <c r="L42" i="15"/>
  <c r="M44" i="15" s="1"/>
  <c r="F103" i="30"/>
  <c r="J103" i="30" s="1"/>
  <c r="J15" i="16"/>
  <c r="I21" i="14"/>
  <c r="I37" i="14"/>
  <c r="F80" i="30"/>
  <c r="J80" i="30" s="1"/>
  <c r="J36" i="16"/>
  <c r="J37" i="16" s="1"/>
  <c r="F120" i="30"/>
  <c r="J120" i="30" s="1"/>
  <c r="I29" i="14" l="1"/>
  <c r="G142" i="13"/>
  <c r="I118" i="13"/>
  <c r="N28" i="1"/>
  <c r="L32" i="14"/>
  <c r="M33" i="14" s="1"/>
  <c r="J56" i="30"/>
  <c r="J58" i="30"/>
  <c r="L53" i="14"/>
  <c r="L54" i="14" s="1"/>
  <c r="M54" i="14" s="1"/>
  <c r="J40" i="30"/>
  <c r="I62" i="14"/>
  <c r="I63" i="14" s="1"/>
  <c r="F92" i="30"/>
  <c r="J92" i="30" s="1"/>
  <c r="G64" i="14"/>
  <c r="I64" i="14" s="1"/>
  <c r="J37" i="30"/>
  <c r="F51" i="30"/>
  <c r="J51" i="30" s="1"/>
  <c r="I132" i="13"/>
  <c r="G143" i="13" s="1"/>
  <c r="F109" i="30"/>
  <c r="J109" i="30" s="1"/>
  <c r="J108" i="30"/>
  <c r="N21" i="1"/>
  <c r="L26" i="13"/>
  <c r="M27" i="13" s="1"/>
  <c r="G27" i="13"/>
  <c r="G81" i="13"/>
  <c r="M109" i="13"/>
  <c r="G98" i="13" s="1"/>
  <c r="F48" i="30"/>
  <c r="J48" i="30" s="1"/>
  <c r="J45" i="30"/>
  <c r="J59" i="30"/>
  <c r="J65" i="30"/>
  <c r="I91" i="13"/>
  <c r="J64" i="30"/>
  <c r="J55" i="30"/>
  <c r="J60" i="30"/>
  <c r="J18" i="16"/>
  <c r="J61" i="30"/>
  <c r="J39" i="30"/>
  <c r="N38" i="1"/>
  <c r="S38" i="1" s="1"/>
  <c r="P36" i="1"/>
  <c r="S36" i="1"/>
  <c r="G70" i="13"/>
  <c r="I70" i="13" s="1"/>
  <c r="I71" i="13" s="1"/>
  <c r="I79" i="13" s="1"/>
  <c r="J67" i="30"/>
  <c r="I124" i="13"/>
  <c r="G127" i="13" s="1"/>
  <c r="I127" i="13" s="1"/>
  <c r="I128" i="13" s="1"/>
  <c r="I136" i="13" s="1"/>
  <c r="G141" i="13"/>
  <c r="J23" i="16"/>
  <c r="L51" i="13" l="1"/>
  <c r="L52" i="13" s="1"/>
  <c r="L55" i="13" s="1"/>
  <c r="L57" i="13" s="1"/>
  <c r="N24" i="1"/>
  <c r="G45" i="14"/>
  <c r="G49" i="14"/>
  <c r="G39" i="14"/>
  <c r="G46" i="14"/>
  <c r="S21" i="1"/>
  <c r="P21" i="1"/>
  <c r="P38" i="1"/>
  <c r="Q36" i="1"/>
  <c r="H26" i="16"/>
  <c r="F46" i="30"/>
  <c r="I98" i="13"/>
  <c r="I99" i="13" s="1"/>
  <c r="G93" i="13" s="1"/>
  <c r="I93" i="13" s="1"/>
  <c r="I94" i="13" s="1"/>
  <c r="I105" i="13" s="1"/>
  <c r="L82" i="13" s="1"/>
  <c r="M83" i="13" s="1"/>
  <c r="I66" i="14"/>
  <c r="I75" i="14" s="1"/>
  <c r="S28" i="1"/>
  <c r="P28" i="1"/>
  <c r="N23" i="1" l="1"/>
  <c r="I45" i="14"/>
  <c r="F84" i="30"/>
  <c r="J84" i="30" s="1"/>
  <c r="Q28" i="1"/>
  <c r="J46" i="30"/>
  <c r="F49" i="30"/>
  <c r="J49" i="30" s="1"/>
  <c r="F50" i="30"/>
  <c r="J50" i="30" s="1"/>
  <c r="Q38" i="1"/>
  <c r="V38" i="1"/>
  <c r="I46" i="14"/>
  <c r="F85" i="30"/>
  <c r="J85" i="30" s="1"/>
  <c r="J26" i="16"/>
  <c r="J27" i="16" s="1"/>
  <c r="J41" i="16" s="1"/>
  <c r="I39" i="14"/>
  <c r="I40" i="14" s="1"/>
  <c r="F82" i="30"/>
  <c r="J82" i="30" s="1"/>
  <c r="G41" i="14"/>
  <c r="I41" i="14" s="1"/>
  <c r="P24" i="1"/>
  <c r="Q24" i="1" s="1"/>
  <c r="S24" i="1"/>
  <c r="N30" i="1"/>
  <c r="L78" i="14"/>
  <c r="Q21" i="1"/>
  <c r="F87" i="30"/>
  <c r="J87" i="30" s="1"/>
  <c r="I49" i="14"/>
  <c r="G34" i="13"/>
  <c r="G41" i="13"/>
  <c r="G33" i="13"/>
  <c r="G45" i="13"/>
  <c r="G42" i="13"/>
  <c r="I43" i="14" l="1"/>
  <c r="I47" i="14"/>
  <c r="I51" i="14" s="1"/>
  <c r="N29" i="1" s="1"/>
  <c r="F30" i="30"/>
  <c r="I42" i="13"/>
  <c r="G52" i="13"/>
  <c r="F25" i="30"/>
  <c r="I34" i="13"/>
  <c r="I45" i="13"/>
  <c r="F32" i="30"/>
  <c r="G51" i="13"/>
  <c r="F24" i="30"/>
  <c r="I33" i="13"/>
  <c r="S30" i="1"/>
  <c r="P30" i="1"/>
  <c r="Q30" i="1" s="1"/>
  <c r="F29" i="30"/>
  <c r="I41" i="13"/>
  <c r="J44" i="16"/>
  <c r="N33" i="1"/>
  <c r="S23" i="1"/>
  <c r="P23" i="1"/>
  <c r="Q23" i="1" s="1"/>
  <c r="L55" i="14" l="1"/>
  <c r="M56" i="14" s="1"/>
  <c r="G55" i="13"/>
  <c r="J25" i="30"/>
  <c r="I43" i="13"/>
  <c r="J24" i="30"/>
  <c r="I36" i="13"/>
  <c r="I39" i="13" s="1"/>
  <c r="G59" i="13"/>
  <c r="S33" i="1"/>
  <c r="P33" i="1"/>
  <c r="J29" i="30"/>
  <c r="S29" i="1"/>
  <c r="P29" i="1"/>
  <c r="N31" i="1"/>
  <c r="S31" i="1" s="1"/>
  <c r="J32" i="30"/>
  <c r="J30" i="30"/>
  <c r="Q33" i="1" l="1"/>
  <c r="V33" i="1"/>
  <c r="I47" i="13"/>
  <c r="G56" i="13"/>
  <c r="G57" i="13" s="1"/>
  <c r="G60" i="13"/>
  <c r="Q29" i="1"/>
  <c r="P31" i="1"/>
  <c r="G105" i="38" l="1"/>
  <c r="N22" i="1"/>
  <c r="L48" i="13"/>
  <c r="M49" i="13" s="1"/>
  <c r="G135" i="38"/>
  <c r="H135" i="38" s="1"/>
  <c r="Q31" i="1"/>
  <c r="V31" i="1"/>
  <c r="G74" i="39" l="1"/>
  <c r="J74" i="39" s="1"/>
  <c r="H105" i="38"/>
  <c r="G16" i="39"/>
  <c r="J16" i="39" s="1"/>
  <c r="S22" i="1"/>
  <c r="P22" i="1"/>
  <c r="N25" i="1"/>
  <c r="S25" i="1" s="1"/>
  <c r="Q22" i="1" l="1"/>
  <c r="P25" i="1"/>
  <c r="Q25" i="1" l="1"/>
  <c r="V25" i="1"/>
  <c r="G189" i="38" l="1"/>
  <c r="G130" i="38"/>
  <c r="G131" i="38"/>
  <c r="G495" i="38"/>
  <c r="G124" i="38"/>
  <c r="G307" i="38"/>
  <c r="G36" i="38"/>
  <c r="G511" i="38"/>
  <c r="G313" i="38"/>
  <c r="G383" i="38"/>
  <c r="G407" i="38"/>
  <c r="G56" i="38"/>
  <c r="G390" i="38"/>
  <c r="G161" i="38"/>
  <c r="G363" i="38"/>
  <c r="G385" i="38"/>
  <c r="G481" i="38"/>
  <c r="G456" i="38"/>
  <c r="G445" i="38"/>
  <c r="G163" i="38"/>
  <c r="G396" i="38"/>
  <c r="G450" i="38"/>
  <c r="G464" i="38"/>
  <c r="G154" i="38"/>
  <c r="G381" i="38"/>
  <c r="G461" i="38"/>
  <c r="G34" i="38"/>
  <c r="G235" i="38"/>
  <c r="G333" i="38"/>
  <c r="G120" i="38"/>
  <c r="H481" i="38" l="1"/>
  <c r="G482" i="38"/>
  <c r="G380" i="39"/>
  <c r="J380" i="39" s="1"/>
  <c r="G295" i="39"/>
  <c r="J295" i="39" s="1"/>
  <c r="G364" i="38"/>
  <c r="H363" i="38"/>
  <c r="G57" i="38"/>
  <c r="H56" i="38"/>
  <c r="G25" i="39"/>
  <c r="J25" i="39" s="1"/>
  <c r="G304" i="39"/>
  <c r="J304" i="39" s="1"/>
  <c r="H383" i="38"/>
  <c r="G90" i="39"/>
  <c r="J90" i="39" s="1"/>
  <c r="H131" i="38"/>
  <c r="H461" i="38"/>
  <c r="G360" i="39"/>
  <c r="J360" i="39" s="1"/>
  <c r="G462" i="38"/>
  <c r="H381" i="38"/>
  <c r="G302" i="39"/>
  <c r="J302" i="39" s="1"/>
  <c r="G255" i="38"/>
  <c r="G99" i="39"/>
  <c r="J99" i="39" s="1"/>
  <c r="H154" i="38"/>
  <c r="H464" i="38"/>
  <c r="G465" i="38"/>
  <c r="G363" i="39"/>
  <c r="J363" i="39" s="1"/>
  <c r="G245" i="39"/>
  <c r="J245" i="39" s="1"/>
  <c r="H313" i="38"/>
  <c r="G478" i="38"/>
  <c r="G207" i="38"/>
  <c r="G265" i="39"/>
  <c r="J265" i="39" s="1"/>
  <c r="G334" i="38"/>
  <c r="H333" i="38"/>
  <c r="G317" i="39"/>
  <c r="J317" i="39" s="1"/>
  <c r="G397" i="38"/>
  <c r="H396" i="38"/>
  <c r="H385" i="38"/>
  <c r="G306" i="39"/>
  <c r="J306" i="39" s="1"/>
  <c r="G180" i="39"/>
  <c r="J180" i="39" s="1"/>
  <c r="H235" i="38"/>
  <c r="G243" i="38"/>
  <c r="H456" i="38"/>
  <c r="G355" i="39"/>
  <c r="J355" i="39" s="1"/>
  <c r="G285" i="38"/>
  <c r="G440" i="38"/>
  <c r="H407" i="38"/>
  <c r="G328" i="39"/>
  <c r="J328" i="39" s="1"/>
  <c r="G410" i="39"/>
  <c r="J410" i="39" s="1"/>
  <c r="H511" i="38"/>
  <c r="G190" i="38"/>
  <c r="H189" i="38"/>
  <c r="G134" i="39"/>
  <c r="J134" i="39" s="1"/>
  <c r="G108" i="39"/>
  <c r="J108" i="39" s="1"/>
  <c r="H163" i="38"/>
  <c r="H161" i="38"/>
  <c r="G106" i="39"/>
  <c r="J106" i="39" s="1"/>
  <c r="G311" i="39"/>
  <c r="J311" i="39" s="1"/>
  <c r="H390" i="38"/>
  <c r="G391" i="38"/>
  <c r="H36" i="38"/>
  <c r="G11" i="39"/>
  <c r="J11" i="39" s="1"/>
  <c r="H307" i="38"/>
  <c r="G239" i="39"/>
  <c r="J239" i="39" s="1"/>
  <c r="G83" i="39"/>
  <c r="J83" i="39" s="1"/>
  <c r="H124" i="38"/>
  <c r="G89" i="39"/>
  <c r="J89" i="39" s="1"/>
  <c r="H130" i="38"/>
  <c r="G79" i="39"/>
  <c r="J79" i="39" s="1"/>
  <c r="H120" i="38"/>
  <c r="G448" i="38"/>
  <c r="G9" i="39"/>
  <c r="J9" i="39" s="1"/>
  <c r="H34" i="38"/>
  <c r="H450" i="38"/>
  <c r="G349" i="39"/>
  <c r="J349" i="39" s="1"/>
  <c r="G228" i="38"/>
  <c r="G221" i="38"/>
  <c r="G62" i="38"/>
  <c r="H445" i="38"/>
  <c r="G344" i="39"/>
  <c r="J344" i="39" s="1"/>
  <c r="G249" i="38"/>
  <c r="G453" i="38"/>
  <c r="G426" i="38"/>
  <c r="H495" i="38"/>
  <c r="G394" i="39"/>
  <c r="J394" i="39" s="1"/>
  <c r="G226" i="38"/>
  <c r="G123" i="38"/>
  <c r="G273" i="38"/>
  <c r="G118" i="38"/>
  <c r="G503" i="38"/>
  <c r="G261" i="38"/>
  <c r="G231" i="38"/>
  <c r="G308" i="38"/>
  <c r="G441" i="38"/>
  <c r="G237" i="38"/>
  <c r="G177" i="38"/>
  <c r="G152" i="38"/>
  <c r="G449" i="38"/>
  <c r="G233" i="38"/>
  <c r="G470" i="38"/>
  <c r="G311" i="38"/>
  <c r="G98" i="38"/>
  <c r="G267" i="38"/>
  <c r="G382" i="38"/>
  <c r="G92" i="38"/>
  <c r="G68" i="38"/>
  <c r="G201" i="38"/>
  <c r="G384" i="38"/>
  <c r="G345" i="38"/>
  <c r="G442" i="38"/>
  <c r="G412" i="38"/>
  <c r="G222" i="38"/>
  <c r="G279" i="38"/>
  <c r="G74" i="38"/>
  <c r="G165" i="38"/>
  <c r="G406" i="38"/>
  <c r="G153" i="38"/>
  <c r="G230" i="38"/>
  <c r="G510" i="38"/>
  <c r="G220" i="38"/>
  <c r="G486" i="38"/>
  <c r="G408" i="38"/>
  <c r="G86" i="38"/>
  <c r="G455" i="38"/>
  <c r="G125" i="38"/>
  <c r="G121" i="38"/>
  <c r="G525" i="38"/>
  <c r="G119" i="38"/>
  <c r="G512" i="38"/>
  <c r="G33" i="38"/>
  <c r="G223" i="38"/>
  <c r="G309" i="38"/>
  <c r="G458" i="38"/>
  <c r="G171" i="38"/>
  <c r="G151" i="38"/>
  <c r="G452" i="38"/>
  <c r="G132" i="38"/>
  <c r="G162" i="38"/>
  <c r="G351" i="38"/>
  <c r="G160" i="38"/>
  <c r="G128" i="38"/>
  <c r="G224" i="38"/>
  <c r="G409" i="38"/>
  <c r="G234" i="38"/>
  <c r="G127" i="38"/>
  <c r="G386" i="38"/>
  <c r="G312" i="38"/>
  <c r="G444" i="38"/>
  <c r="G133" i="38"/>
  <c r="G327" i="38"/>
  <c r="G183" i="38"/>
  <c r="G156" i="38"/>
  <c r="G357" i="38"/>
  <c r="G150" i="38"/>
  <c r="G213" i="38"/>
  <c r="G149" i="38"/>
  <c r="G502" i="38"/>
  <c r="G122" i="38"/>
  <c r="G232" i="38"/>
  <c r="G315" i="38"/>
  <c r="G305" i="38"/>
  <c r="G38" i="38"/>
  <c r="G410" i="38"/>
  <c r="G475" i="38"/>
  <c r="G155" i="38"/>
  <c r="G129" i="38"/>
  <c r="G405" i="38"/>
  <c r="G447" i="38"/>
  <c r="G227" i="38"/>
  <c r="G39" i="38"/>
  <c r="G443" i="38"/>
  <c r="G402" i="38"/>
  <c r="G306" i="38"/>
  <c r="G459" i="38"/>
  <c r="G388" i="38"/>
  <c r="G454" i="38"/>
  <c r="G195" i="38"/>
  <c r="G489" i="38"/>
  <c r="G32" i="38"/>
  <c r="G50" i="38"/>
  <c r="G37" i="38"/>
  <c r="G339" i="38"/>
  <c r="G310" i="38"/>
  <c r="G496" i="38"/>
  <c r="G159" i="38"/>
  <c r="G225" i="38"/>
  <c r="G30" i="38"/>
  <c r="G321" i="38"/>
  <c r="G157" i="38"/>
  <c r="G80" i="38"/>
  <c r="G413" i="38"/>
  <c r="H321" i="38" l="1"/>
  <c r="G322" i="38"/>
  <c r="G253" i="39"/>
  <c r="J253" i="39" s="1"/>
  <c r="G395" i="39"/>
  <c r="J395" i="39" s="1"/>
  <c r="H496" i="38"/>
  <c r="G497" i="38"/>
  <c r="G14" i="39"/>
  <c r="J14" i="39" s="1"/>
  <c r="H39" i="38"/>
  <c r="H232" i="38"/>
  <c r="G177" i="39"/>
  <c r="J177" i="39" s="1"/>
  <c r="G401" i="39"/>
  <c r="J401" i="39" s="1"/>
  <c r="H502" i="38"/>
  <c r="H156" i="38"/>
  <c r="G101" i="39"/>
  <c r="J101" i="39" s="1"/>
  <c r="G244" i="39"/>
  <c r="J244" i="39" s="1"/>
  <c r="H312" i="38"/>
  <c r="G241" i="39"/>
  <c r="J241" i="39" s="1"/>
  <c r="H309" i="38"/>
  <c r="H220" i="38"/>
  <c r="G165" i="39"/>
  <c r="J165" i="39" s="1"/>
  <c r="G346" i="38"/>
  <c r="H345" i="38"/>
  <c r="G277" i="39"/>
  <c r="J277" i="39" s="1"/>
  <c r="G146" i="39"/>
  <c r="J146" i="39" s="1"/>
  <c r="G202" i="38"/>
  <c r="H201" i="38"/>
  <c r="G122" i="39"/>
  <c r="J122" i="39" s="1"/>
  <c r="G178" i="38"/>
  <c r="H177" i="38"/>
  <c r="G182" i="39"/>
  <c r="J182" i="39" s="1"/>
  <c r="G238" i="38"/>
  <c r="H237" i="38"/>
  <c r="H308" i="38"/>
  <c r="G240" i="39"/>
  <c r="J240" i="39" s="1"/>
  <c r="G504" i="38"/>
  <c r="H503" i="38"/>
  <c r="G402" i="39"/>
  <c r="J402" i="39" s="1"/>
  <c r="H273" i="38"/>
  <c r="G218" i="39"/>
  <c r="J218" i="39" s="1"/>
  <c r="G274" i="38"/>
  <c r="H226" i="38"/>
  <c r="G171" i="39"/>
  <c r="J171" i="39" s="1"/>
  <c r="G352" i="39"/>
  <c r="J352" i="39" s="1"/>
  <c r="H453" i="38"/>
  <c r="G166" i="39"/>
  <c r="J166" i="39" s="1"/>
  <c r="H221" i="38"/>
  <c r="G286" i="38"/>
  <c r="G230" i="39"/>
  <c r="J230" i="39" s="1"/>
  <c r="H285" i="38"/>
  <c r="G266" i="39"/>
  <c r="J266" i="39" s="1"/>
  <c r="G335" i="38"/>
  <c r="H334" i="38"/>
  <c r="H478" i="38"/>
  <c r="G377" i="39"/>
  <c r="J377" i="39" s="1"/>
  <c r="G479" i="38"/>
  <c r="G364" i="39"/>
  <c r="J364" i="39" s="1"/>
  <c r="G466" i="38"/>
  <c r="H465" i="38"/>
  <c r="G256" i="38"/>
  <c r="H255" i="38"/>
  <c r="G200" i="39"/>
  <c r="J200" i="39" s="1"/>
  <c r="H413" i="38"/>
  <c r="G334" i="39"/>
  <c r="J334" i="39" s="1"/>
  <c r="H225" i="38"/>
  <c r="G170" i="39"/>
  <c r="J170" i="39" s="1"/>
  <c r="G19" i="39"/>
  <c r="J19" i="39" s="1"/>
  <c r="G51" i="38"/>
  <c r="H50" i="38"/>
  <c r="H227" i="38"/>
  <c r="G172" i="39"/>
  <c r="J172" i="39" s="1"/>
  <c r="G346" i="39"/>
  <c r="J346" i="39" s="1"/>
  <c r="H447" i="38"/>
  <c r="H405" i="38"/>
  <c r="G326" i="39"/>
  <c r="J326" i="39" s="1"/>
  <c r="G100" i="39"/>
  <c r="J100" i="39" s="1"/>
  <c r="H155" i="38"/>
  <c r="H410" i="38"/>
  <c r="G331" i="39"/>
  <c r="J331" i="39" s="1"/>
  <c r="G316" i="38"/>
  <c r="H315" i="38"/>
  <c r="G247" i="39"/>
  <c r="J247" i="39" s="1"/>
  <c r="G158" i="39"/>
  <c r="J158" i="39" s="1"/>
  <c r="G214" i="38"/>
  <c r="H213" i="38"/>
  <c r="H357" i="38"/>
  <c r="G358" i="38"/>
  <c r="G289" i="39"/>
  <c r="J289" i="39" s="1"/>
  <c r="G128" i="39"/>
  <c r="J128" i="39" s="1"/>
  <c r="H183" i="38"/>
  <c r="G184" i="38"/>
  <c r="H127" i="38"/>
  <c r="G86" i="39"/>
  <c r="J86" i="39" s="1"/>
  <c r="H409" i="38"/>
  <c r="G330" i="39"/>
  <c r="J330" i="39" s="1"/>
  <c r="H160" i="38"/>
  <c r="G105" i="39"/>
  <c r="J105" i="39" s="1"/>
  <c r="G91" i="39"/>
  <c r="J91" i="39" s="1"/>
  <c r="H132" i="38"/>
  <c r="G116" i="39"/>
  <c r="J116" i="39" s="1"/>
  <c r="H171" i="38"/>
  <c r="G172" i="38"/>
  <c r="H33" i="38"/>
  <c r="G8" i="39"/>
  <c r="J8" i="39" s="1"/>
  <c r="G80" i="39"/>
  <c r="J80" i="39" s="1"/>
  <c r="H121" i="38"/>
  <c r="H86" i="38"/>
  <c r="G55" i="39"/>
  <c r="J55" i="39" s="1"/>
  <c r="G87" i="38"/>
  <c r="G175" i="39"/>
  <c r="J175" i="39" s="1"/>
  <c r="H230" i="38"/>
  <c r="G327" i="39"/>
  <c r="J327" i="39" s="1"/>
  <c r="H406" i="38"/>
  <c r="H74" i="38"/>
  <c r="G43" i="39"/>
  <c r="J43" i="39" s="1"/>
  <c r="G75" i="38"/>
  <c r="H222" i="38"/>
  <c r="G167" i="39"/>
  <c r="J167" i="39" s="1"/>
  <c r="G333" i="39"/>
  <c r="J333" i="39" s="1"/>
  <c r="H412" i="38"/>
  <c r="G303" i="39"/>
  <c r="J303" i="39" s="1"/>
  <c r="H382" i="38"/>
  <c r="G67" i="39"/>
  <c r="J67" i="39" s="1"/>
  <c r="G99" i="38"/>
  <c r="H98" i="38"/>
  <c r="H470" i="38"/>
  <c r="G471" i="38"/>
  <c r="G369" i="39"/>
  <c r="J369" i="39" s="1"/>
  <c r="G176" i="39"/>
  <c r="J176" i="39" s="1"/>
  <c r="H231" i="38"/>
  <c r="H118" i="38"/>
  <c r="G77" i="39"/>
  <c r="J77" i="39" s="1"/>
  <c r="G31" i="39"/>
  <c r="J31" i="39" s="1"/>
  <c r="G63" i="38"/>
  <c r="H62" i="38"/>
  <c r="H228" i="38"/>
  <c r="G173" i="39"/>
  <c r="J173" i="39" s="1"/>
  <c r="G312" i="39"/>
  <c r="J312" i="39" s="1"/>
  <c r="H391" i="38"/>
  <c r="G392" i="38"/>
  <c r="G318" i="39"/>
  <c r="J318" i="39" s="1"/>
  <c r="H397" i="38"/>
  <c r="G398" i="38"/>
  <c r="G26" i="39"/>
  <c r="J26" i="39" s="1"/>
  <c r="G58" i="38"/>
  <c r="H57" i="38"/>
  <c r="H157" i="38"/>
  <c r="G102" i="39"/>
  <c r="J102" i="39" s="1"/>
  <c r="H37" i="38"/>
  <c r="G12" i="39"/>
  <c r="J12" i="39" s="1"/>
  <c r="H454" i="38"/>
  <c r="G353" i="39"/>
  <c r="J353" i="39" s="1"/>
  <c r="G323" i="39"/>
  <c r="J323" i="39" s="1"/>
  <c r="G403" i="38"/>
  <c r="H402" i="38"/>
  <c r="G88" i="39"/>
  <c r="J88" i="39" s="1"/>
  <c r="H129" i="38"/>
  <c r="G107" i="39"/>
  <c r="J107" i="39" s="1"/>
  <c r="H162" i="38"/>
  <c r="H151" i="38"/>
  <c r="G96" i="39"/>
  <c r="J96" i="39" s="1"/>
  <c r="G487" i="38"/>
  <c r="G385" i="39"/>
  <c r="J385" i="39" s="1"/>
  <c r="H486" i="38"/>
  <c r="G110" i="39"/>
  <c r="J110" i="39" s="1"/>
  <c r="G166" i="38"/>
  <c r="H165" i="38"/>
  <c r="G104" i="39"/>
  <c r="J104" i="39" s="1"/>
  <c r="H159" i="38"/>
  <c r="G242" i="39"/>
  <c r="J242" i="39" s="1"/>
  <c r="H310" i="38"/>
  <c r="H32" i="38"/>
  <c r="G7" i="39"/>
  <c r="J7" i="39" s="1"/>
  <c r="G476" i="38"/>
  <c r="G374" i="39"/>
  <c r="J374" i="39" s="1"/>
  <c r="H475" i="38"/>
  <c r="G13" i="39"/>
  <c r="J13" i="39" s="1"/>
  <c r="H38" i="38"/>
  <c r="H150" i="38"/>
  <c r="G95" i="39"/>
  <c r="J95" i="39" s="1"/>
  <c r="H133" i="38"/>
  <c r="G92" i="39"/>
  <c r="J92" i="39" s="1"/>
  <c r="H386" i="38"/>
  <c r="G307" i="39"/>
  <c r="J307" i="39" s="1"/>
  <c r="G169" i="39"/>
  <c r="J169" i="39" s="1"/>
  <c r="H224" i="38"/>
  <c r="G87" i="39"/>
  <c r="J87" i="39" s="1"/>
  <c r="H128" i="38"/>
  <c r="G411" i="39"/>
  <c r="J411" i="39" s="1"/>
  <c r="H512" i="38"/>
  <c r="G513" i="38"/>
  <c r="H119" i="38"/>
  <c r="G78" i="39"/>
  <c r="J78" i="39" s="1"/>
  <c r="G424" i="39"/>
  <c r="J424" i="39" s="1"/>
  <c r="H525" i="38"/>
  <c r="H125" i="38"/>
  <c r="G84" i="39"/>
  <c r="J84" i="39" s="1"/>
  <c r="G409" i="39"/>
  <c r="J409" i="39" s="1"/>
  <c r="H510" i="38"/>
  <c r="G224" i="39"/>
  <c r="J224" i="39" s="1"/>
  <c r="G280" i="38"/>
  <c r="H279" i="38"/>
  <c r="H233" i="38"/>
  <c r="G178" i="39"/>
  <c r="J178" i="39" s="1"/>
  <c r="G97" i="39"/>
  <c r="J97" i="39" s="1"/>
  <c r="H152" i="38"/>
  <c r="H249" i="38"/>
  <c r="G194" i="39"/>
  <c r="J194" i="39" s="1"/>
  <c r="G250" i="38"/>
  <c r="G347" i="39"/>
  <c r="J347" i="39" s="1"/>
  <c r="H448" i="38"/>
  <c r="G135" i="39"/>
  <c r="J135" i="39" s="1"/>
  <c r="G191" i="38"/>
  <c r="H190" i="38"/>
  <c r="H440" i="38"/>
  <c r="G339" i="39"/>
  <c r="J339" i="39" s="1"/>
  <c r="H482" i="38"/>
  <c r="G483" i="38"/>
  <c r="G381" i="39"/>
  <c r="J381" i="39" s="1"/>
  <c r="H30" i="38"/>
  <c r="G6" i="39"/>
  <c r="J6" i="39" s="1"/>
  <c r="H339" i="38"/>
  <c r="G340" i="38"/>
  <c r="G271" i="39"/>
  <c r="J271" i="39" s="1"/>
  <c r="H306" i="38"/>
  <c r="G238" i="39"/>
  <c r="J238" i="39" s="1"/>
  <c r="H149" i="38"/>
  <c r="G94" i="39"/>
  <c r="J94" i="39" s="1"/>
  <c r="H444" i="38"/>
  <c r="G343" i="39"/>
  <c r="J343" i="39" s="1"/>
  <c r="H153" i="38"/>
  <c r="G98" i="39"/>
  <c r="J98" i="39" s="1"/>
  <c r="H80" i="38"/>
  <c r="G49" i="39"/>
  <c r="J49" i="39" s="1"/>
  <c r="G81" i="38"/>
  <c r="G490" i="38"/>
  <c r="H489" i="38"/>
  <c r="G388" i="39"/>
  <c r="J388" i="39" s="1"/>
  <c r="G140" i="39"/>
  <c r="J140" i="39" s="1"/>
  <c r="G196" i="38"/>
  <c r="H195" i="38"/>
  <c r="H388" i="38"/>
  <c r="G309" i="39"/>
  <c r="J309" i="39" s="1"/>
  <c r="G358" i="39"/>
  <c r="J358" i="39" s="1"/>
  <c r="H459" i="38"/>
  <c r="G342" i="39"/>
  <c r="J342" i="39" s="1"/>
  <c r="H443" i="38"/>
  <c r="H305" i="38"/>
  <c r="G237" i="39"/>
  <c r="J237" i="39" s="1"/>
  <c r="G81" i="39"/>
  <c r="J81" i="39" s="1"/>
  <c r="H122" i="38"/>
  <c r="H327" i="38"/>
  <c r="G328" i="38"/>
  <c r="G259" i="39"/>
  <c r="J259" i="39" s="1"/>
  <c r="G179" i="39"/>
  <c r="J179" i="39" s="1"/>
  <c r="H234" i="38"/>
  <c r="G352" i="38"/>
  <c r="G283" i="39"/>
  <c r="J283" i="39" s="1"/>
  <c r="H351" i="38"/>
  <c r="H452" i="38"/>
  <c r="G351" i="39"/>
  <c r="J351" i="39" s="1"/>
  <c r="G357" i="39"/>
  <c r="J357" i="39" s="1"/>
  <c r="H458" i="38"/>
  <c r="G168" i="39"/>
  <c r="J168" i="39" s="1"/>
  <c r="H223" i="38"/>
  <c r="G354" i="39"/>
  <c r="J354" i="39" s="1"/>
  <c r="H455" i="38"/>
  <c r="H408" i="38"/>
  <c r="G329" i="39"/>
  <c r="J329" i="39" s="1"/>
  <c r="G341" i="39"/>
  <c r="J341" i="39" s="1"/>
  <c r="H442" i="38"/>
  <c r="H384" i="38"/>
  <c r="G305" i="39"/>
  <c r="J305" i="39" s="1"/>
  <c r="H68" i="38"/>
  <c r="G69" i="38"/>
  <c r="G37" i="39"/>
  <c r="J37" i="39" s="1"/>
  <c r="G61" i="39"/>
  <c r="J61" i="39" s="1"/>
  <c r="G93" i="38"/>
  <c r="H92" i="38"/>
  <c r="G212" i="39"/>
  <c r="J212" i="39" s="1"/>
  <c r="G268" i="38"/>
  <c r="H267" i="38"/>
  <c r="G243" i="39"/>
  <c r="J243" i="39" s="1"/>
  <c r="H311" i="38"/>
  <c r="H449" i="38"/>
  <c r="G348" i="39"/>
  <c r="J348" i="39" s="1"/>
  <c r="H441" i="38"/>
  <c r="G340" i="39"/>
  <c r="J340" i="39" s="1"/>
  <c r="G206" i="39"/>
  <c r="J206" i="39" s="1"/>
  <c r="H261" i="38"/>
  <c r="G262" i="38"/>
  <c r="G82" i="39"/>
  <c r="J82" i="39" s="1"/>
  <c r="H123" i="38"/>
  <c r="H426" i="38"/>
  <c r="H428" i="38" s="1"/>
  <c r="G336" i="39"/>
  <c r="J336" i="39" s="1"/>
  <c r="G188" i="39"/>
  <c r="J188" i="39" s="1"/>
  <c r="H243" i="38"/>
  <c r="G244" i="38"/>
  <c r="G208" i="38"/>
  <c r="H207" i="38"/>
  <c r="G152" i="39"/>
  <c r="J152" i="39" s="1"/>
  <c r="H462" i="38"/>
  <c r="G463" i="38"/>
  <c r="G361" i="39"/>
  <c r="J361" i="39" s="1"/>
  <c r="H364" i="38"/>
  <c r="G365" i="38"/>
  <c r="G296" i="39"/>
  <c r="J296" i="39" s="1"/>
  <c r="T19" i="38"/>
  <c r="H138" i="38" l="1"/>
  <c r="H144" i="38" s="1"/>
  <c r="H15" i="38" s="1"/>
  <c r="H365" i="38"/>
  <c r="G366" i="38"/>
  <c r="G297" i="39"/>
  <c r="J297" i="39" s="1"/>
  <c r="H244" i="38"/>
  <c r="G189" i="39"/>
  <c r="J189" i="39" s="1"/>
  <c r="G245" i="38"/>
  <c r="G412" i="39"/>
  <c r="J412" i="39" s="1"/>
  <c r="G514" i="38"/>
  <c r="H513" i="38"/>
  <c r="G267" i="39"/>
  <c r="J267" i="39" s="1"/>
  <c r="H335" i="38"/>
  <c r="G336" i="38"/>
  <c r="H463" i="38"/>
  <c r="G362" i="39"/>
  <c r="J362" i="39" s="1"/>
  <c r="H208" i="38"/>
  <c r="G209" i="38"/>
  <c r="G153" i="39"/>
  <c r="J153" i="39" s="1"/>
  <c r="G207" i="39"/>
  <c r="J207" i="39" s="1"/>
  <c r="G263" i="38"/>
  <c r="H262" i="38"/>
  <c r="G38" i="39"/>
  <c r="J38" i="39" s="1"/>
  <c r="H69" i="38"/>
  <c r="G70" i="38"/>
  <c r="G82" i="38"/>
  <c r="H81" i="38"/>
  <c r="G50" i="39"/>
  <c r="J50" i="39" s="1"/>
  <c r="H340" i="38"/>
  <c r="G272" i="39"/>
  <c r="J272" i="39" s="1"/>
  <c r="G341" i="38"/>
  <c r="G393" i="38"/>
  <c r="G313" i="39"/>
  <c r="J313" i="39" s="1"/>
  <c r="H392" i="38"/>
  <c r="H99" i="38"/>
  <c r="G68" i="39"/>
  <c r="J68" i="39" s="1"/>
  <c r="G100" i="38"/>
  <c r="S21" i="38"/>
  <c r="H75" i="38"/>
  <c r="G76" i="38"/>
  <c r="G44" i="39"/>
  <c r="J44" i="39" s="1"/>
  <c r="G159" i="39"/>
  <c r="J159" i="39" s="1"/>
  <c r="H214" i="38"/>
  <c r="G215" i="38"/>
  <c r="H316" i="38"/>
  <c r="G317" i="38"/>
  <c r="G248" i="39"/>
  <c r="J248" i="39" s="1"/>
  <c r="H274" i="38"/>
  <c r="G219" i="39"/>
  <c r="J219" i="39" s="1"/>
  <c r="G275" i="38"/>
  <c r="G123" i="39"/>
  <c r="J123" i="39" s="1"/>
  <c r="H178" i="38"/>
  <c r="G179" i="38"/>
  <c r="G94" i="38"/>
  <c r="G62" i="39"/>
  <c r="J62" i="39" s="1"/>
  <c r="H93" i="38"/>
  <c r="H483" i="38"/>
  <c r="G484" i="38"/>
  <c r="G382" i="39"/>
  <c r="J382" i="39" s="1"/>
  <c r="H471" i="38"/>
  <c r="G472" i="38"/>
  <c r="G370" i="39"/>
  <c r="J370" i="39" s="1"/>
  <c r="G185" i="38"/>
  <c r="H184" i="38"/>
  <c r="G129" i="39"/>
  <c r="J129" i="39" s="1"/>
  <c r="H51" i="38"/>
  <c r="G52" i="38"/>
  <c r="G20" i="39"/>
  <c r="J20" i="39" s="1"/>
  <c r="G257" i="38"/>
  <c r="H256" i="38"/>
  <c r="G201" i="39"/>
  <c r="J201" i="39" s="1"/>
  <c r="H479" i="38"/>
  <c r="G378" i="39"/>
  <c r="J378" i="39" s="1"/>
  <c r="G480" i="38"/>
  <c r="G231" i="39"/>
  <c r="J231" i="39" s="1"/>
  <c r="G287" i="38"/>
  <c r="H286" i="38"/>
  <c r="G403" i="39"/>
  <c r="J403" i="39" s="1"/>
  <c r="H504" i="38"/>
  <c r="G505" i="38"/>
  <c r="G239" i="38"/>
  <c r="G183" i="39"/>
  <c r="J183" i="39" s="1"/>
  <c r="H238" i="38"/>
  <c r="H268" i="38"/>
  <c r="G269" i="38"/>
  <c r="G213" i="39"/>
  <c r="J213" i="39" s="1"/>
  <c r="G353" i="38"/>
  <c r="G284" i="39"/>
  <c r="J284" i="39" s="1"/>
  <c r="H352" i="38"/>
  <c r="G260" i="39"/>
  <c r="J260" i="39" s="1"/>
  <c r="G329" i="38"/>
  <c r="H328" i="38"/>
  <c r="G477" i="38"/>
  <c r="G375" i="39"/>
  <c r="J375" i="39" s="1"/>
  <c r="H476" i="38"/>
  <c r="G111" i="39"/>
  <c r="J111" i="39" s="1"/>
  <c r="H166" i="38"/>
  <c r="G167" i="38"/>
  <c r="H487" i="38"/>
  <c r="G386" i="39"/>
  <c r="J386" i="39" s="1"/>
  <c r="G488" i="38"/>
  <c r="G404" i="38"/>
  <c r="G324" i="39"/>
  <c r="J324" i="39" s="1"/>
  <c r="H403" i="38"/>
  <c r="H63" i="38"/>
  <c r="G32" i="39"/>
  <c r="J32" i="39" s="1"/>
  <c r="G64" i="38"/>
  <c r="G117" i="39"/>
  <c r="J117" i="39" s="1"/>
  <c r="H172" i="38"/>
  <c r="G173" i="38"/>
  <c r="G396" i="39"/>
  <c r="J396" i="39" s="1"/>
  <c r="G498" i="38"/>
  <c r="H497" i="38"/>
  <c r="G323" i="38"/>
  <c r="G254" i="39"/>
  <c r="J254" i="39" s="1"/>
  <c r="H322" i="38"/>
  <c r="S19" i="38"/>
  <c r="R19" i="38" s="1"/>
  <c r="H434" i="38"/>
  <c r="H19" i="38" s="1"/>
  <c r="G399" i="38"/>
  <c r="G319" i="39"/>
  <c r="J319" i="39" s="1"/>
  <c r="H398" i="38"/>
  <c r="S15" i="38"/>
  <c r="G359" i="38"/>
  <c r="H358" i="38"/>
  <c r="G290" i="39"/>
  <c r="J290" i="39" s="1"/>
  <c r="T21" i="38"/>
  <c r="H196" i="38"/>
  <c r="G197" i="38"/>
  <c r="G141" i="39"/>
  <c r="J141" i="39" s="1"/>
  <c r="G389" i="39"/>
  <c r="J389" i="39" s="1"/>
  <c r="G491" i="38"/>
  <c r="H490" i="38"/>
  <c r="H40" i="38"/>
  <c r="G136" i="39"/>
  <c r="J136" i="39" s="1"/>
  <c r="H191" i="38"/>
  <c r="G192" i="38"/>
  <c r="H250" i="38"/>
  <c r="G251" i="38"/>
  <c r="G195" i="39"/>
  <c r="J195" i="39" s="1"/>
  <c r="G281" i="38"/>
  <c r="H280" i="38"/>
  <c r="G225" i="39"/>
  <c r="J225" i="39" s="1"/>
  <c r="H58" i="38"/>
  <c r="G27" i="39"/>
  <c r="J27" i="39" s="1"/>
  <c r="G59" i="38"/>
  <c r="G88" i="38"/>
  <c r="H87" i="38"/>
  <c r="G56" i="39"/>
  <c r="J56" i="39" s="1"/>
  <c r="H466" i="38"/>
  <c r="G365" i="39"/>
  <c r="J365" i="39" s="1"/>
  <c r="G467" i="38"/>
  <c r="G147" i="39"/>
  <c r="J147" i="39" s="1"/>
  <c r="H202" i="38"/>
  <c r="G203" i="38"/>
  <c r="G347" i="38"/>
  <c r="G278" i="39"/>
  <c r="J278" i="39" s="1"/>
  <c r="H346" i="38"/>
  <c r="T13" i="38"/>
  <c r="T15" i="38" l="1"/>
  <c r="R15" i="38" s="1"/>
  <c r="G255" i="39"/>
  <c r="J255" i="39" s="1"/>
  <c r="H323" i="38"/>
  <c r="G324" i="38"/>
  <c r="H480" i="38"/>
  <c r="G379" i="39"/>
  <c r="J379" i="39" s="1"/>
  <c r="H281" i="38"/>
  <c r="G282" i="38"/>
  <c r="G226" i="39"/>
  <c r="J226" i="39" s="1"/>
  <c r="H192" i="38"/>
  <c r="G193" i="38"/>
  <c r="G137" i="39"/>
  <c r="J137" i="39" s="1"/>
  <c r="H197" i="38"/>
  <c r="G198" i="38"/>
  <c r="G142" i="39"/>
  <c r="J142" i="39" s="1"/>
  <c r="G320" i="39"/>
  <c r="J320" i="39" s="1"/>
  <c r="H399" i="38"/>
  <c r="G400" i="38"/>
  <c r="H64" i="38"/>
  <c r="G65" i="38"/>
  <c r="G33" i="39"/>
  <c r="J33" i="39" s="1"/>
  <c r="G261" i="39"/>
  <c r="J261" i="39" s="1"/>
  <c r="G330" i="38"/>
  <c r="H329" i="38"/>
  <c r="G354" i="38"/>
  <c r="G285" i="39"/>
  <c r="J285" i="39" s="1"/>
  <c r="H353" i="38"/>
  <c r="H52" i="38"/>
  <c r="G53" i="38"/>
  <c r="G21" i="39"/>
  <c r="J21" i="39" s="1"/>
  <c r="G130" i="39"/>
  <c r="J130" i="39" s="1"/>
  <c r="H185" i="38"/>
  <c r="G186" i="38"/>
  <c r="G160" i="39"/>
  <c r="J160" i="39" s="1"/>
  <c r="H215" i="38"/>
  <c r="G216" i="38"/>
  <c r="H76" i="38"/>
  <c r="G77" i="38"/>
  <c r="G45" i="39"/>
  <c r="J45" i="39" s="1"/>
  <c r="H393" i="38"/>
  <c r="G314" i="39"/>
  <c r="J314" i="39" s="1"/>
  <c r="G394" i="38"/>
  <c r="G71" i="38"/>
  <c r="G39" i="39"/>
  <c r="J39" i="39" s="1"/>
  <c r="H70" i="38"/>
  <c r="H263" i="38"/>
  <c r="G208" i="39"/>
  <c r="J208" i="39" s="1"/>
  <c r="G264" i="38"/>
  <c r="T14" i="38"/>
  <c r="H467" i="38"/>
  <c r="G468" i="38"/>
  <c r="G366" i="39"/>
  <c r="J366" i="39" s="1"/>
  <c r="G492" i="38"/>
  <c r="H491" i="38"/>
  <c r="G390" i="39"/>
  <c r="J390" i="39" s="1"/>
  <c r="G168" i="38"/>
  <c r="H167" i="38"/>
  <c r="G112" i="39"/>
  <c r="J112" i="39" s="1"/>
  <c r="G63" i="39"/>
  <c r="J63" i="39" s="1"/>
  <c r="H94" i="38"/>
  <c r="G95" i="38"/>
  <c r="G273" i="39"/>
  <c r="J273" i="39" s="1"/>
  <c r="H341" i="38"/>
  <c r="G342" i="38"/>
  <c r="G246" i="38"/>
  <c r="G190" i="39"/>
  <c r="J190" i="39" s="1"/>
  <c r="H245" i="38"/>
  <c r="G204" i="38"/>
  <c r="G148" i="39"/>
  <c r="J148" i="39" s="1"/>
  <c r="H203" i="38"/>
  <c r="G57" i="39"/>
  <c r="J57" i="39" s="1"/>
  <c r="G89" i="38"/>
  <c r="H88" i="38"/>
  <c r="G196" i="39"/>
  <c r="J196" i="39" s="1"/>
  <c r="H251" i="38"/>
  <c r="G252" i="38"/>
  <c r="H488" i="38"/>
  <c r="G387" i="39"/>
  <c r="J387" i="39" s="1"/>
  <c r="G376" i="39"/>
  <c r="J376" i="39" s="1"/>
  <c r="H477" i="38"/>
  <c r="G214" i="39"/>
  <c r="J214" i="39" s="1"/>
  <c r="H269" i="38"/>
  <c r="G270" i="38"/>
  <c r="G184" i="39"/>
  <c r="J184" i="39" s="1"/>
  <c r="H239" i="38"/>
  <c r="G240" i="38"/>
  <c r="G258" i="38"/>
  <c r="G202" i="39"/>
  <c r="J202" i="39" s="1"/>
  <c r="H257" i="38"/>
  <c r="G371" i="39"/>
  <c r="J371" i="39" s="1"/>
  <c r="H472" i="38"/>
  <c r="G473" i="38"/>
  <c r="G180" i="38"/>
  <c r="G124" i="39"/>
  <c r="J124" i="39" s="1"/>
  <c r="H179" i="38"/>
  <c r="H317" i="38"/>
  <c r="G318" i="38"/>
  <c r="G249" i="39"/>
  <c r="J249" i="39" s="1"/>
  <c r="R21" i="38"/>
  <c r="G348" i="38"/>
  <c r="G279" i="39"/>
  <c r="J279" i="39" s="1"/>
  <c r="H347" i="38"/>
  <c r="G118" i="39"/>
  <c r="J118" i="39" s="1"/>
  <c r="H173" i="38"/>
  <c r="G174" i="38"/>
  <c r="H404" i="38"/>
  <c r="G325" i="39"/>
  <c r="J325" i="39" s="1"/>
  <c r="H484" i="38"/>
  <c r="G383" i="39"/>
  <c r="J383" i="39" s="1"/>
  <c r="G485" i="38"/>
  <c r="G220" i="39"/>
  <c r="J220" i="39" s="1"/>
  <c r="G276" i="38"/>
  <c r="H275" i="38"/>
  <c r="G367" i="38"/>
  <c r="G298" i="39"/>
  <c r="J298" i="39" s="1"/>
  <c r="H366" i="38"/>
  <c r="H59" i="38"/>
  <c r="G60" i="38"/>
  <c r="G28" i="39"/>
  <c r="J28" i="39" s="1"/>
  <c r="S13" i="38"/>
  <c r="H46" i="38"/>
  <c r="H13" i="38" s="1"/>
  <c r="G360" i="38"/>
  <c r="H359" i="38"/>
  <c r="G291" i="39"/>
  <c r="J291" i="39" s="1"/>
  <c r="G397" i="39"/>
  <c r="J397" i="39" s="1"/>
  <c r="H498" i="38"/>
  <c r="G499" i="38"/>
  <c r="H505" i="38"/>
  <c r="G506" i="38"/>
  <c r="G404" i="39"/>
  <c r="J404" i="39" s="1"/>
  <c r="G288" i="38"/>
  <c r="G232" i="39"/>
  <c r="J232" i="39" s="1"/>
  <c r="H287" i="38"/>
  <c r="G101" i="38"/>
  <c r="G69" i="39"/>
  <c r="J69" i="39" s="1"/>
  <c r="H100" i="38"/>
  <c r="G51" i="39"/>
  <c r="J51" i="39" s="1"/>
  <c r="H82" i="38"/>
  <c r="G83" i="38"/>
  <c r="H209" i="38"/>
  <c r="G210" i="38"/>
  <c r="G154" i="39"/>
  <c r="J154" i="39" s="1"/>
  <c r="G268" i="39"/>
  <c r="J268" i="39" s="1"/>
  <c r="H336" i="38"/>
  <c r="G337" i="38"/>
  <c r="H514" i="38"/>
  <c r="G515" i="38"/>
  <c r="G413" i="39"/>
  <c r="J413" i="39" s="1"/>
  <c r="T20" i="38"/>
  <c r="T18" i="38"/>
  <c r="T17" i="38"/>
  <c r="G197" i="39" l="1"/>
  <c r="J197" i="39" s="1"/>
  <c r="H252" i="38"/>
  <c r="G253" i="38"/>
  <c r="G90" i="38"/>
  <c r="H89" i="38"/>
  <c r="G58" i="39"/>
  <c r="J58" i="39" s="1"/>
  <c r="H204" i="38"/>
  <c r="G205" i="38"/>
  <c r="G149" i="39"/>
  <c r="J149" i="39" s="1"/>
  <c r="H246" i="38"/>
  <c r="G247" i="38"/>
  <c r="G191" i="39"/>
  <c r="J191" i="39" s="1"/>
  <c r="G493" i="38"/>
  <c r="H492" i="38"/>
  <c r="G391" i="39"/>
  <c r="J391" i="39" s="1"/>
  <c r="G395" i="38"/>
  <c r="G315" i="39"/>
  <c r="J315" i="39" s="1"/>
  <c r="H394" i="38"/>
  <c r="H77" i="38"/>
  <c r="G46" i="39"/>
  <c r="J46" i="39" s="1"/>
  <c r="G78" i="38"/>
  <c r="G401" i="38"/>
  <c r="G321" i="39"/>
  <c r="J321" i="39" s="1"/>
  <c r="H400" i="38"/>
  <c r="G143" i="39"/>
  <c r="J143" i="39" s="1"/>
  <c r="H198" i="38"/>
  <c r="G199" i="38"/>
  <c r="G414" i="39"/>
  <c r="J414" i="39" s="1"/>
  <c r="G516" i="38"/>
  <c r="H515" i="38"/>
  <c r="G52" i="39"/>
  <c r="J52" i="39" s="1"/>
  <c r="H83" i="38"/>
  <c r="G84" i="38"/>
  <c r="G233" i="39"/>
  <c r="J233" i="39" s="1"/>
  <c r="G289" i="38"/>
  <c r="H288" i="38"/>
  <c r="G398" i="39"/>
  <c r="J398" i="39" s="1"/>
  <c r="H499" i="38"/>
  <c r="G500" i="38"/>
  <c r="G203" i="39"/>
  <c r="J203" i="39" s="1"/>
  <c r="H258" i="38"/>
  <c r="G259" i="38"/>
  <c r="G271" i="38"/>
  <c r="G215" i="39"/>
  <c r="J215" i="39" s="1"/>
  <c r="H270" i="38"/>
  <c r="G274" i="39"/>
  <c r="J274" i="39" s="1"/>
  <c r="H342" i="38"/>
  <c r="G343" i="38"/>
  <c r="G113" i="39"/>
  <c r="J113" i="39" s="1"/>
  <c r="H168" i="38"/>
  <c r="G169" i="38"/>
  <c r="G131" i="39"/>
  <c r="J131" i="39" s="1"/>
  <c r="H186" i="38"/>
  <c r="G187" i="38"/>
  <c r="G22" i="39"/>
  <c r="J22" i="39" s="1"/>
  <c r="H53" i="38"/>
  <c r="G54" i="38"/>
  <c r="G286" i="39"/>
  <c r="J286" i="39" s="1"/>
  <c r="G355" i="38"/>
  <c r="H354" i="38"/>
  <c r="R13" i="38"/>
  <c r="G372" i="39"/>
  <c r="J372" i="39" s="1"/>
  <c r="G474" i="38"/>
  <c r="H473" i="38"/>
  <c r="G102" i="38"/>
  <c r="G70" i="39"/>
  <c r="J70" i="39" s="1"/>
  <c r="H101" i="38"/>
  <c r="G361" i="38"/>
  <c r="G292" i="39"/>
  <c r="J292" i="39" s="1"/>
  <c r="H360" i="38"/>
  <c r="G29" i="39"/>
  <c r="J29" i="39" s="1"/>
  <c r="H60" i="38"/>
  <c r="G61" i="38"/>
  <c r="G299" i="39"/>
  <c r="J299" i="39" s="1"/>
  <c r="H367" i="38"/>
  <c r="G368" i="38"/>
  <c r="G384" i="39"/>
  <c r="J384" i="39" s="1"/>
  <c r="H485" i="38"/>
  <c r="G241" i="38"/>
  <c r="H240" i="38"/>
  <c r="G185" i="39"/>
  <c r="J185" i="39" s="1"/>
  <c r="G469" i="38"/>
  <c r="G367" i="39"/>
  <c r="J367" i="39" s="1"/>
  <c r="H468" i="38"/>
  <c r="G265" i="38"/>
  <c r="H264" i="38"/>
  <c r="G209" i="39"/>
  <c r="J209" i="39" s="1"/>
  <c r="H216" i="38"/>
  <c r="G217" i="38"/>
  <c r="G161" i="39"/>
  <c r="J161" i="39" s="1"/>
  <c r="H65" i="38"/>
  <c r="G34" i="39"/>
  <c r="J34" i="39" s="1"/>
  <c r="G66" i="38"/>
  <c r="G283" i="38"/>
  <c r="H282" i="38"/>
  <c r="G227" i="39"/>
  <c r="J227" i="39" s="1"/>
  <c r="G277" i="38"/>
  <c r="H276" i="38"/>
  <c r="G221" i="39"/>
  <c r="J221" i="39" s="1"/>
  <c r="H348" i="38"/>
  <c r="G349" i="38"/>
  <c r="G280" i="39"/>
  <c r="J280" i="39" s="1"/>
  <c r="G64" i="39"/>
  <c r="J64" i="39" s="1"/>
  <c r="H95" i="38"/>
  <c r="G96" i="38"/>
  <c r="G338" i="38"/>
  <c r="G269" i="39"/>
  <c r="J269" i="39" s="1"/>
  <c r="H337" i="38"/>
  <c r="G155" i="39"/>
  <c r="J155" i="39" s="1"/>
  <c r="H210" i="38"/>
  <c r="G211" i="38"/>
  <c r="G507" i="38"/>
  <c r="G405" i="39"/>
  <c r="J405" i="39" s="1"/>
  <c r="H506" i="38"/>
  <c r="G119" i="39"/>
  <c r="J119" i="39" s="1"/>
  <c r="H174" i="38"/>
  <c r="G175" i="38"/>
  <c r="H318" i="38"/>
  <c r="G319" i="38"/>
  <c r="G250" i="39"/>
  <c r="J250" i="39" s="1"/>
  <c r="H180" i="38"/>
  <c r="G181" i="38"/>
  <c r="G125" i="39"/>
  <c r="J125" i="39" s="1"/>
  <c r="G40" i="39"/>
  <c r="J40" i="39" s="1"/>
  <c r="G72" i="38"/>
  <c r="H71" i="38"/>
  <c r="H330" i="38"/>
  <c r="G331" i="38"/>
  <c r="G262" i="39"/>
  <c r="J262" i="39" s="1"/>
  <c r="H193" i="38"/>
  <c r="G194" i="38"/>
  <c r="G138" i="39"/>
  <c r="J138" i="39" s="1"/>
  <c r="G256" i="39"/>
  <c r="J256" i="39" s="1"/>
  <c r="H324" i="38"/>
  <c r="G325" i="38"/>
  <c r="T16" i="38"/>
  <c r="T22" i="38" s="1"/>
  <c r="G41" i="39" l="1"/>
  <c r="J41" i="39" s="1"/>
  <c r="H72" i="38"/>
  <c r="G73" i="38"/>
  <c r="G162" i="39"/>
  <c r="J162" i="39" s="1"/>
  <c r="H217" i="38"/>
  <c r="G218" i="38"/>
  <c r="G103" i="38"/>
  <c r="G71" i="39"/>
  <c r="J71" i="39" s="1"/>
  <c r="H102" i="38"/>
  <c r="G126" i="39"/>
  <c r="J126" i="39" s="1"/>
  <c r="H181" i="38"/>
  <c r="G182" i="38"/>
  <c r="G270" i="39"/>
  <c r="J270" i="39" s="1"/>
  <c r="H338" i="38"/>
  <c r="G284" i="38"/>
  <c r="G228" i="39"/>
  <c r="J228" i="39" s="1"/>
  <c r="H283" i="38"/>
  <c r="G368" i="39"/>
  <c r="J368" i="39" s="1"/>
  <c r="H469" i="38"/>
  <c r="H355" i="38"/>
  <c r="G356" i="38"/>
  <c r="G287" i="39"/>
  <c r="J287" i="39" s="1"/>
  <c r="G114" i="39"/>
  <c r="J114" i="39" s="1"/>
  <c r="H169" i="38"/>
  <c r="G170" i="38"/>
  <c r="G216" i="39"/>
  <c r="J216" i="39" s="1"/>
  <c r="H271" i="38"/>
  <c r="G272" i="38"/>
  <c r="G501" i="38"/>
  <c r="G399" i="39"/>
  <c r="J399" i="39" s="1"/>
  <c r="H500" i="38"/>
  <c r="H289" i="38"/>
  <c r="G290" i="38"/>
  <c r="G234" i="39"/>
  <c r="J234" i="39" s="1"/>
  <c r="G144" i="39"/>
  <c r="J144" i="39" s="1"/>
  <c r="H199" i="38"/>
  <c r="G200" i="38"/>
  <c r="H247" i="38"/>
  <c r="G248" i="38"/>
  <c r="G192" i="39"/>
  <c r="J192" i="39" s="1"/>
  <c r="H253" i="38"/>
  <c r="G254" i="38"/>
  <c r="G198" i="39"/>
  <c r="J198" i="39" s="1"/>
  <c r="G350" i="38"/>
  <c r="G281" i="39"/>
  <c r="J281" i="39" s="1"/>
  <c r="H349" i="38"/>
  <c r="G67" i="38"/>
  <c r="G35" i="39"/>
  <c r="J35" i="39" s="1"/>
  <c r="H66" i="38"/>
  <c r="H61" i="38"/>
  <c r="G30" i="39"/>
  <c r="J30" i="39" s="1"/>
  <c r="H187" i="38"/>
  <c r="G188" i="38"/>
  <c r="G132" i="39"/>
  <c r="J132" i="39" s="1"/>
  <c r="H259" i="38"/>
  <c r="G260" i="38"/>
  <c r="G204" i="39"/>
  <c r="J204" i="39" s="1"/>
  <c r="H401" i="38"/>
  <c r="G322" i="39"/>
  <c r="J322" i="39" s="1"/>
  <c r="G263" i="39"/>
  <c r="J263" i="39" s="1"/>
  <c r="H331" i="38"/>
  <c r="G332" i="38"/>
  <c r="G508" i="38"/>
  <c r="G406" i="39"/>
  <c r="J406" i="39" s="1"/>
  <c r="H507" i="38"/>
  <c r="G300" i="39"/>
  <c r="J300" i="39" s="1"/>
  <c r="H368" i="38"/>
  <c r="H361" i="38"/>
  <c r="G362" i="38"/>
  <c r="G293" i="39"/>
  <c r="J293" i="39" s="1"/>
  <c r="G23" i="39"/>
  <c r="J23" i="39" s="1"/>
  <c r="H54" i="38"/>
  <c r="G55" i="38"/>
  <c r="H84" i="38"/>
  <c r="G85" i="38"/>
  <c r="G53" i="39"/>
  <c r="J53" i="39" s="1"/>
  <c r="H516" i="38"/>
  <c r="G517" i="38"/>
  <c r="G415" i="39"/>
  <c r="J415" i="39" s="1"/>
  <c r="H78" i="38"/>
  <c r="G79" i="38"/>
  <c r="G47" i="39"/>
  <c r="J47" i="39" s="1"/>
  <c r="H493" i="38"/>
  <c r="G494" i="38"/>
  <c r="G392" i="39"/>
  <c r="J392" i="39" s="1"/>
  <c r="G120" i="39"/>
  <c r="J120" i="39" s="1"/>
  <c r="H175" i="38"/>
  <c r="G176" i="38"/>
  <c r="H96" i="38"/>
  <c r="G97" i="38"/>
  <c r="G65" i="39"/>
  <c r="J65" i="39" s="1"/>
  <c r="G278" i="38"/>
  <c r="G222" i="39"/>
  <c r="J222" i="39" s="1"/>
  <c r="H277" i="38"/>
  <c r="H265" i="38"/>
  <c r="G266" i="38"/>
  <c r="G210" i="39"/>
  <c r="J210" i="39" s="1"/>
  <c r="G257" i="39"/>
  <c r="J257" i="39" s="1"/>
  <c r="H325" i="38"/>
  <c r="G326" i="38"/>
  <c r="G139" i="39"/>
  <c r="J139" i="39" s="1"/>
  <c r="H194" i="38"/>
  <c r="G251" i="39"/>
  <c r="J251" i="39" s="1"/>
  <c r="H319" i="38"/>
  <c r="G320" i="38"/>
  <c r="H211" i="38"/>
  <c r="G212" i="38"/>
  <c r="G156" i="39"/>
  <c r="J156" i="39" s="1"/>
  <c r="H241" i="38"/>
  <c r="G242" i="38"/>
  <c r="G186" i="39"/>
  <c r="J186" i="39" s="1"/>
  <c r="G373" i="39"/>
  <c r="J373" i="39" s="1"/>
  <c r="H474" i="38"/>
  <c r="G344" i="38"/>
  <c r="G275" i="39"/>
  <c r="J275" i="39" s="1"/>
  <c r="H343" i="38"/>
  <c r="G316" i="39"/>
  <c r="J316" i="39" s="1"/>
  <c r="H395" i="38"/>
  <c r="H414" i="38" s="1"/>
  <c r="G206" i="38"/>
  <c r="G150" i="39"/>
  <c r="J150" i="39" s="1"/>
  <c r="H205" i="38"/>
  <c r="G91" i="38"/>
  <c r="G59" i="39"/>
  <c r="J59" i="39" s="1"/>
  <c r="H90" i="38"/>
  <c r="S18" i="38" l="1"/>
  <c r="R18" i="38" s="1"/>
  <c r="H420" i="38"/>
  <c r="H18" i="38" s="1"/>
  <c r="G187" i="39"/>
  <c r="J187" i="39" s="1"/>
  <c r="H242" i="38"/>
  <c r="H97" i="38"/>
  <c r="G66" i="39"/>
  <c r="J66" i="39" s="1"/>
  <c r="G264" i="39"/>
  <c r="J264" i="39" s="1"/>
  <c r="H332" i="38"/>
  <c r="H254" i="38"/>
  <c r="G199" i="39"/>
  <c r="J199" i="39" s="1"/>
  <c r="G163" i="39"/>
  <c r="J163" i="39" s="1"/>
  <c r="H218" i="38"/>
  <c r="G252" i="39"/>
  <c r="J252" i="39" s="1"/>
  <c r="H320" i="38"/>
  <c r="H79" i="38"/>
  <c r="G48" i="39"/>
  <c r="J48" i="39" s="1"/>
  <c r="H55" i="38"/>
  <c r="G24" i="39"/>
  <c r="J24" i="39" s="1"/>
  <c r="G294" i="39"/>
  <c r="J294" i="39" s="1"/>
  <c r="H362" i="38"/>
  <c r="H188" i="38"/>
  <c r="G133" i="39"/>
  <c r="J133" i="39" s="1"/>
  <c r="G145" i="39"/>
  <c r="J145" i="39" s="1"/>
  <c r="H200" i="38"/>
  <c r="G235" i="39"/>
  <c r="J235" i="39" s="1"/>
  <c r="H290" i="38"/>
  <c r="G400" i="39"/>
  <c r="J400" i="39" s="1"/>
  <c r="H501" i="38"/>
  <c r="G115" i="39"/>
  <c r="J115" i="39" s="1"/>
  <c r="H170" i="38"/>
  <c r="G288" i="39"/>
  <c r="J288" i="39" s="1"/>
  <c r="H356" i="38"/>
  <c r="H91" i="38"/>
  <c r="G60" i="39"/>
  <c r="J60" i="39" s="1"/>
  <c r="G276" i="39"/>
  <c r="J276" i="39" s="1"/>
  <c r="H344" i="38"/>
  <c r="G518" i="38"/>
  <c r="H517" i="38"/>
  <c r="G416" i="39"/>
  <c r="J416" i="39" s="1"/>
  <c r="G258" i="39"/>
  <c r="J258" i="39" s="1"/>
  <c r="H326" i="38"/>
  <c r="G211" i="39"/>
  <c r="J211" i="39" s="1"/>
  <c r="H266" i="38"/>
  <c r="H278" i="38"/>
  <c r="G223" i="39"/>
  <c r="J223" i="39" s="1"/>
  <c r="G121" i="39"/>
  <c r="J121" i="39" s="1"/>
  <c r="H176" i="38"/>
  <c r="H494" i="38"/>
  <c r="G393" i="39"/>
  <c r="J393" i="39" s="1"/>
  <c r="G205" i="39"/>
  <c r="J205" i="39" s="1"/>
  <c r="H260" i="38"/>
  <c r="H350" i="38"/>
  <c r="G282" i="39"/>
  <c r="J282" i="39" s="1"/>
  <c r="G217" i="39"/>
  <c r="J217" i="39" s="1"/>
  <c r="H272" i="38"/>
  <c r="G127" i="39"/>
  <c r="J127" i="39" s="1"/>
  <c r="H182" i="38"/>
  <c r="G151" i="39"/>
  <c r="J151" i="39" s="1"/>
  <c r="H206" i="38"/>
  <c r="G157" i="39"/>
  <c r="J157" i="39" s="1"/>
  <c r="H212" i="38"/>
  <c r="G54" i="39"/>
  <c r="J54" i="39" s="1"/>
  <c r="H85" i="38"/>
  <c r="G407" i="39"/>
  <c r="J407" i="39" s="1"/>
  <c r="G509" i="38"/>
  <c r="H508" i="38"/>
  <c r="G36" i="39"/>
  <c r="J36" i="39" s="1"/>
  <c r="H67" i="38"/>
  <c r="G193" i="39"/>
  <c r="J193" i="39" s="1"/>
  <c r="H248" i="38"/>
  <c r="H284" i="38"/>
  <c r="G229" i="39"/>
  <c r="J229" i="39" s="1"/>
  <c r="H103" i="38"/>
  <c r="G72" i="39"/>
  <c r="J72" i="39" s="1"/>
  <c r="G42" i="39"/>
  <c r="J42" i="39" s="1"/>
  <c r="H73" i="38"/>
  <c r="H369" i="38" l="1"/>
  <c r="H375" i="38" s="1"/>
  <c r="H17" i="38" s="1"/>
  <c r="H291" i="38"/>
  <c r="H108" i="38"/>
  <c r="H509" i="38"/>
  <c r="G408" i="39"/>
  <c r="J408" i="39" s="1"/>
  <c r="G417" i="39"/>
  <c r="J417" i="39" s="1"/>
  <c r="H518" i="38"/>
  <c r="G519" i="38"/>
  <c r="S17" i="38" l="1"/>
  <c r="R17" i="38" s="1"/>
  <c r="H114" i="38"/>
  <c r="H14" i="38" s="1"/>
  <c r="S14" i="38"/>
  <c r="S16" i="38"/>
  <c r="R16" i="38" s="1"/>
  <c r="H297" i="38"/>
  <c r="H16" i="38" s="1"/>
  <c r="H519" i="38"/>
  <c r="G520" i="38"/>
  <c r="G418" i="39"/>
  <c r="J418" i="39" s="1"/>
  <c r="G521" i="38" l="1"/>
  <c r="H520" i="38"/>
  <c r="G419" i="39"/>
  <c r="J419" i="39" s="1"/>
  <c r="R14" i="38"/>
  <c r="G522" i="38" l="1"/>
  <c r="G420" i="39"/>
  <c r="J420" i="39" s="1"/>
  <c r="H521" i="38"/>
  <c r="H522" i="38" l="1"/>
  <c r="G523" i="38"/>
  <c r="G421" i="39"/>
  <c r="J421" i="39" s="1"/>
  <c r="G422" i="39" l="1"/>
  <c r="J422" i="39" s="1"/>
  <c r="H523" i="38"/>
  <c r="H526" i="38" s="1"/>
  <c r="H532" i="38" l="1"/>
  <c r="H20" i="38" s="1"/>
  <c r="H22" i="38" s="1"/>
  <c r="N42" i="1" s="1"/>
  <c r="S20" i="38"/>
  <c r="S42" i="1" l="1"/>
  <c r="P42" i="1"/>
  <c r="N44" i="1"/>
  <c r="R20" i="38"/>
  <c r="R22" i="38" s="1"/>
  <c r="S22" i="38"/>
  <c r="Q42" i="1" l="1"/>
  <c r="P44" i="1"/>
  <c r="V42" i="1"/>
  <c r="S44" i="1"/>
  <c r="N48" i="1"/>
  <c r="S48" i="1" s="1"/>
  <c r="Q44" i="1" l="1"/>
  <c r="P48" i="1"/>
  <c r="Q48" i="1" s="1"/>
  <c r="V44" i="1"/>
  <c r="V48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<sst xmlns="http://schemas.openxmlformats.org/spreadsheetml/2006/main" count="2275" uniqueCount="1019">
  <si>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</si>
  <si>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</si>
  <si>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</si>
  <si>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</si>
  <si>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</si>
  <si>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</si>
  <si>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</si>
  <si>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</si>
  <si>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</si>
  <si>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</si>
  <si>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</si>
  <si>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</si>
  <si>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</si>
  <si>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</si>
  <si>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</si>
  <si>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</si>
  <si>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</si>
  <si>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</si>
  <si>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</si>
  <si>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</si>
  <si>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</si>
  <si>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</si>
  <si>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</si>
  <si>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</si>
  <si>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</si>
  <si>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</si>
  <si>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</si>
  <si>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</si>
  <si>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</si>
  <si>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</si>
  <si>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</si>
  <si>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</si>
  <si>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</si>
  <si>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</si>
  <si>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</si>
  <si>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</si>
  <si>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</si>
  <si>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</si>
  <si>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</si>
  <si>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</si>
  <si>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</si>
  <si>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</si>
  <si>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</si>
  <si>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</si>
  <si>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</si>
  <si>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</si>
  <si>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</si>
  <si>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</si>
  <si>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</si>
  <si>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</si>
  <si>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</si>
  <si>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</si>
  <si>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</si>
  <si>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</si>
  <si>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</si>
  <si>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</si>
  <si>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</si>
  <si>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</si>
  <si>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</si>
  <si>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</si>
  <si>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</si>
  <si>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</si>
  <si>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</si>
  <si>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</si>
  <si>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</si>
  <si>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</si>
  <si>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</si>
  <si>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</si>
  <si>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</si>
  <si>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</si>
  <si>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</si>
  <si>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</si>
  <si>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</si>
  <si>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</si>
  <si>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</si>
  <si>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</si>
  <si>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</si>
  <si>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</si>
  <si>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</si>
  <si>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</si>
  <si>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</si>
  <si>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</si>
  <si>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</si>
  <si>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</si>
  <si>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</si>
  <si>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</si>
  <si>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</si>
  <si>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</si>
  <si>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</si>
  <si>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</si>
  <si>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</si>
  <si>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</si>
  <si>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</si>
  <si>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</si>
  <si>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</si>
  <si>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</si>
  <si>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</si>
  <si>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</si>
  <si>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</si>
  <si>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</si>
  <si>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</si>
  <si>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</si>
  <si>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</si>
  <si>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</si>
  <si>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</si>
  <si>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</si>
  <si>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</si>
  <si>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</si>
  <si>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</si>
  <si>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</si>
  <si>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</si>
  <si>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</si>
  <si>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</si>
  <si>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</si>
  <si>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</si>
  <si>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</si>
  <si>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</si>
  <si>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</si>
  <si>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</si>
  <si>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</si>
  <si>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</si>
  <si>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</si>
  <si>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</si>
  <si>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</si>
  <si>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</si>
  <si>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</si>
  <si>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</si>
  <si>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</si>
  <si>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</si>
  <si>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</si>
  <si>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</si>
  <si>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</si>
  <si>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</si>
  <si>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</si>
  <si>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</si>
  <si>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</si>
  <si>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</si>
  <si>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</si>
  <si>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</si>
  <si>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</si>
  <si>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</si>
  <si>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</si>
  <si>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</si>
  <si>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</si>
  <si>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</si>
  <si>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</si>
  <si>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</si>
  <si>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</si>
  <si>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</si>
  <si>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</si>
  <si>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</si>
  <si>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</si>
  <si>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>Temperature Adjustment - Secondary Voltage</t>
  </si>
  <si>
    <t>Temperature Adjustment - Primary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</si>
  <si>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</si>
  <si>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</si>
  <si>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</si>
  <si>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</si>
  <si>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</si>
  <si>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</si>
  <si>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</si>
  <si>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</si>
  <si>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</si>
  <si>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</si>
  <si>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</si>
  <si>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</si>
  <si>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</si>
  <si>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</si>
  <si>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</si>
  <si>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</si>
  <si>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</si>
  <si>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</si>
  <si>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</si>
  <si>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</si>
  <si>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</si>
  <si>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</si>
  <si>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Direct Assignment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</si>
  <si>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</si>
  <si>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</si>
  <si>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</si>
  <si>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</si>
  <si>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</si>
  <si>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</si>
  <si>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</si>
  <si>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</si>
  <si>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</si>
  <si>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</si>
  <si>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</si>
  <si>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</si>
  <si>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</si>
  <si>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</si>
  <si>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</si>
  <si>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</si>
  <si>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</si>
  <si>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</si>
  <si>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Primary Voltage Demand Charge (kVa)</t>
  </si>
  <si>
    <t>High Voltage Demand Charge (kVa)</t>
  </si>
  <si>
    <t>OATT Charges</t>
  </si>
  <si>
    <t>Set to Zero</t>
  </si>
  <si>
    <t>Current</t>
  </si>
  <si>
    <t>Transportation &amp; Wholesale for Resale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</si>
  <si>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</si>
  <si>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</si>
  <si>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</si>
  <si>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</si>
  <si>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</si>
  <si>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</si>
  <si>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</si>
  <si>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</si>
  <si>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</si>
  <si>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</si>
  <si>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</si>
  <si>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</si>
  <si>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</si>
  <si>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</si>
  <si>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</si>
  <si>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</si>
  <si>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</si>
  <si>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</si>
  <si>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</si>
  <si>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</si>
  <si>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</si>
  <si>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</si>
  <si>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</si>
  <si>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</si>
  <si>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</si>
  <si>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</si>
  <si>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</si>
  <si>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</si>
  <si>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</si>
  <si>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</si>
  <si>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</si>
  <si>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</si>
  <si>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</si>
  <si>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</si>
  <si>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</si>
  <si>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</si>
  <si>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</si>
  <si>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</si>
  <si>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</si>
  <si>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</si>
  <si>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</si>
  <si>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</si>
  <si>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</si>
  <si>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</si>
  <si>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</si>
  <si>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</si>
  <si>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</si>
  <si>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</si>
  <si>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</si>
  <si>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</si>
  <si>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</si>
  <si>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</si>
  <si>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</si>
  <si>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</si>
  <si>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</si>
  <si>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</si>
  <si>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</si>
  <si>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</si>
  <si>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</si>
  <si>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</si>
  <si>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</si>
  <si>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</si>
  <si>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</si>
  <si>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</si>
  <si>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</si>
  <si>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</si>
  <si>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</si>
  <si>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</si>
  <si>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</si>
  <si>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</si>
  <si>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</si>
  <si>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</si>
  <si>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</si>
  <si>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</si>
  <si>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</si>
  <si>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</si>
  <si>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</si>
  <si>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</si>
  <si>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</si>
  <si>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</si>
  <si>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</si>
  <si>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</si>
  <si>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</si>
  <si>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</si>
  <si>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</si>
  <si>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</si>
  <si>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</si>
  <si>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</si>
  <si>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</si>
  <si>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</si>
  <si>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</si>
  <si>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</si>
  <si>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</si>
  <si>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</si>
  <si>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</si>
  <si>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</si>
  <si>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</si>
  <si>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</si>
  <si>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</si>
  <si>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</si>
  <si>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</si>
  <si>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</si>
  <si>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</si>
  <si>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</si>
  <si>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</si>
  <si>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</si>
  <si>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</si>
  <si>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</si>
  <si>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</si>
  <si>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</si>
  <si>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</si>
  <si>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</si>
  <si>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</si>
  <si>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</si>
  <si>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</si>
  <si>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</si>
  <si>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</si>
  <si>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</si>
  <si>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</si>
  <si>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</si>
  <si>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</si>
  <si>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</si>
  <si>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</si>
  <si>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</si>
  <si>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</si>
  <si>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</si>
  <si>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</si>
  <si>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</si>
  <si>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</si>
  <si>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</si>
  <si>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</si>
  <si>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</si>
  <si>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</si>
  <si>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</si>
  <si>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</si>
  <si>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</si>
  <si>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Twelve Months ended September 2016</t>
  </si>
  <si>
    <t>Effective December 2017</t>
  </si>
  <si>
    <t>12 MONTHS ENDED SEPTEMBER 2016</t>
  </si>
  <si>
    <t>Proposed Effective December 2017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</si>
  <si>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</si>
  <si>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</si>
  <si>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</si>
  <si>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</si>
  <si>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</si>
  <si>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</si>
  <si>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</si>
  <si>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</si>
  <si>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Summary of Proposed Rate Design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</si>
  <si>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</si>
  <si>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</si>
  <si>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</si>
  <si>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</si>
  <si>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</si>
  <si>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</si>
  <si>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</si>
  <si>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</si>
  <si>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</si>
  <si>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</si>
  <si>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</si>
  <si>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</si>
  <si>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</si>
  <si>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</si>
  <si>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</si>
  <si>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</si>
  <si>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</si>
  <si>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</si>
  <si>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</si>
  <si>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</si>
  <si>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</si>
  <si>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</si>
  <si>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</si>
  <si>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</si>
  <si>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</si>
  <si>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</si>
  <si>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</si>
  <si>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</si>
  <si>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</si>
  <si>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</si>
  <si>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</si>
  <si>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</si>
  <si>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</si>
  <si>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</si>
  <si>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</si>
  <si>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</si>
  <si>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</si>
  <si>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</si>
  <si>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</si>
  <si>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</si>
  <si>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</si>
  <si>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</si>
  <si>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</si>
  <si>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</si>
  <si>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</si>
  <si>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</si>
  <si>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</si>
  <si>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</si>
  <si>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</si>
  <si>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</si>
  <si>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</si>
  <si>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</si>
  <si>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</si>
  <si>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</si>
  <si>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</si>
  <si>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</si>
  <si>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</si>
  <si>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</si>
  <si>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</si>
  <si>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</si>
  <si>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</si>
  <si>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</si>
  <si>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</si>
  <si>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Increase by 48% per Settlement Stipulation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</si>
  <si>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</si>
  <si>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</si>
  <si>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</si>
  <si>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</si>
  <si>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</si>
  <si>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</si>
  <si>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</si>
  <si>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</si>
  <si>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</si>
  <si>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Change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</si>
  <si>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</si>
  <si>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</si>
  <si>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</si>
  <si>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</si>
  <si>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</si>
  <si>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</si>
  <si>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</si>
  <si>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</si>
  <si>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</si>
  <si>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</si>
  <si>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</si>
  <si>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</si>
  <si>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</si>
  <si>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</si>
  <si>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</si>
  <si>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</si>
  <si>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</si>
  <si>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</si>
  <si>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</si>
  <si>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</si>
  <si>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</si>
  <si>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</si>
  <si>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</si>
  <si>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</si>
  <si>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</si>
  <si>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</si>
  <si>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</si>
  <si>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</si>
  <si>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</si>
  <si>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</si>
  <si>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</si>
  <si>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</si>
  <si>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</si>
  <si>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</si>
  <si>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</si>
  <si>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</si>
  <si>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</si>
  <si>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</si>
  <si>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</si>
  <si>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</si>
  <si>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</si>
  <si>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</si>
  <si>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</si>
  <si>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</si>
  <si>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</si>
  <si>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</si>
  <si>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</si>
  <si>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</si>
  <si>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</si>
  <si>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</si>
  <si>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</si>
  <si>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</si>
  <si>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</si>
  <si>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</si>
  <si>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</si>
  <si>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</si>
  <si>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</si>
  <si>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</si>
  <si>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</si>
  <si>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</si>
  <si>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</si>
  <si>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</si>
  <si>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</si>
  <si>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</si>
  <si>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</si>
  <si>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</si>
  <si>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</si>
  <si>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</si>
  <si>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</si>
  <si>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</si>
  <si>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</si>
  <si>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</si>
  <si>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</si>
  <si>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</si>
  <si>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</si>
  <si>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</si>
  <si>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</si>
  <si>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</si>
  <si>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</si>
  <si>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</si>
  <si>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</si>
  <si>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</si>
  <si>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</si>
  <si>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</si>
  <si>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</si>
  <si>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</si>
  <si>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</si>
  <si>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</si>
  <si>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</si>
  <si>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</si>
  <si>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</si>
  <si>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</si>
  <si>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</si>
  <si>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</si>
  <si>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</si>
  <si>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</si>
  <si>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</si>
  <si>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</si>
  <si>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</si>
  <si>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</si>
  <si>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</si>
  <si>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</si>
  <si>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</si>
  <si>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</si>
  <si>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</si>
  <si>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</si>
  <si>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</si>
  <si>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</si>
  <si>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</si>
  <si>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</si>
  <si>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</si>
  <si>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</si>
  <si>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</si>
  <si>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</si>
  <si>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</si>
  <si>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</si>
  <si>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</si>
  <si>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</si>
  <si>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</si>
  <si>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</si>
  <si>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</si>
  <si>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</si>
  <si>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</si>
  <si>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</si>
  <si>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</si>
  <si>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</si>
  <si>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</si>
  <si>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</si>
  <si>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</si>
  <si>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</si>
  <si>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</si>
  <si>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</si>
  <si>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</si>
  <si>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</si>
  <si>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</si>
  <si>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</si>
  <si>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</si>
  <si>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</si>
  <si>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</si>
  <si>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</si>
  <si>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</si>
  <si>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</si>
  <si>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</si>
  <si>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</si>
  <si>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</si>
  <si>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</si>
  <si>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</si>
  <si>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</si>
  <si>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</si>
  <si>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</si>
  <si>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</si>
  <si>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</si>
  <si>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</si>
  <si>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</si>
  <si>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</si>
  <si>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</si>
  <si>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</si>
  <si>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</si>
  <si>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</si>
  <si>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</si>
  <si>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</si>
  <si>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</si>
  <si>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</si>
  <si>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</si>
  <si>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</si>
  <si>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</si>
  <si>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</si>
  <si>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</si>
  <si>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</si>
  <si>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</si>
  <si>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</si>
  <si>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</si>
  <si>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</si>
  <si>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</si>
  <si>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</si>
  <si>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</si>
  <si>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</si>
  <si>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</si>
  <si>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</si>
  <si>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</si>
  <si>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</si>
  <si>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</si>
  <si>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</si>
  <si>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</si>
  <si>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</si>
  <si>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</si>
  <si>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</si>
  <si>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</si>
  <si>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</si>
  <si>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</si>
  <si>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</si>
  <si>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</si>
  <si>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</si>
  <si>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</si>
  <si>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</si>
  <si>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</si>
  <si>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</si>
  <si>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</si>
  <si>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</si>
  <si>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</si>
  <si>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</si>
  <si>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</si>
  <si>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</si>
  <si>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</si>
  <si>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</si>
  <si>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</si>
  <si>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</si>
  <si>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</si>
  <si>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</si>
  <si>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</si>
  <si>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</si>
  <si>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</si>
  <si>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</si>
  <si>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</si>
  <si>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</si>
  <si>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</si>
  <si>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</si>
  <si>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</si>
  <si>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</si>
  <si>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</si>
  <si>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</si>
  <si>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</si>
  <si>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</si>
  <si>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</si>
  <si>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</si>
  <si>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</si>
  <si>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</si>
  <si>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</si>
  <si>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</si>
  <si>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</si>
  <si>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</si>
  <si>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</si>
  <si>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</si>
  <si>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</si>
  <si>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</si>
  <si>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</si>
  <si>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</si>
  <si>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</si>
  <si>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</si>
  <si>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</si>
  <si>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</si>
  <si>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</si>
  <si>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</si>
  <si>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</si>
  <si>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</si>
  <si>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</si>
  <si>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</si>
  <si>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</si>
  <si>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</si>
  <si>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</si>
  <si>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</si>
  <si>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</si>
  <si>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</si>
  <si>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</si>
  <si>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</si>
  <si>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</si>
  <si>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</si>
  <si>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</si>
  <si>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</si>
  <si>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</si>
  <si>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</si>
  <si>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</si>
  <si>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</si>
  <si>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</si>
  <si>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</si>
  <si>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</si>
  <si>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</si>
  <si>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</si>
  <si>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</si>
  <si>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</si>
  <si>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</si>
  <si>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</si>
  <si>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</si>
  <si>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</si>
  <si>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</si>
  <si>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</si>
  <si>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</si>
  <si>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</si>
  <si>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</si>
  <si>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</si>
  <si>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</si>
  <si>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</si>
  <si>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</si>
  <si>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</si>
  <si>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</si>
  <si>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</si>
  <si>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</si>
  <si>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</si>
  <si>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</si>
  <si>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</si>
  <si>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</si>
  <si>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</si>
  <si>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</si>
  <si>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</si>
  <si>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</si>
  <si>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</si>
  <si>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</si>
  <si>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</si>
  <si>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</si>
  <si>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</si>
  <si>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</si>
  <si>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</si>
  <si>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</si>
  <si>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</si>
  <si>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</si>
  <si>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</si>
  <si>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</si>
  <si>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</si>
  <si>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</si>
  <si>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</si>
  <si>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</si>
  <si>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</si>
  <si>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</si>
  <si>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</si>
  <si>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</si>
  <si>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</si>
  <si>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</si>
  <si>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</si>
  <si>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</si>
  <si>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</si>
  <si>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</si>
  <si>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</si>
  <si>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Minimum Charge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</si>
  <si>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</si>
  <si>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</si>
  <si>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</si>
  <si>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</si>
  <si>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</si>
  <si>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</si>
  <si>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</si>
  <si>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</si>
  <si>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</si>
  <si>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</si>
  <si>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</si>
  <si>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</si>
  <si>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</si>
  <si>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</si>
  <si>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</si>
  <si>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</si>
  <si>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</si>
  <si>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</si>
  <si>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</si>
  <si>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</si>
  <si>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</si>
  <si>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</si>
  <si>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</si>
  <si>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</si>
  <si>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</si>
  <si>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</si>
  <si>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</si>
  <si>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</si>
  <si>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</si>
  <si>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</si>
  <si>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</si>
  <si>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</si>
  <si>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</si>
  <si>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</si>
  <si>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</si>
  <si>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</si>
  <si>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</si>
  <si>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</si>
  <si>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</si>
  <si>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</si>
  <si>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</si>
  <si>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</si>
  <si>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</si>
  <si>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</si>
  <si>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</si>
  <si>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</si>
  <si>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</si>
  <si>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</si>
  <si>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</si>
  <si>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</si>
  <si>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</si>
  <si>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</si>
  <si>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</si>
  <si>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</si>
  <si>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</si>
  <si>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</si>
  <si>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</si>
  <si>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</si>
  <si>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</si>
  <si>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</si>
  <si>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</si>
  <si>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</si>
  <si>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</si>
  <si>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</si>
  <si>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</si>
  <si>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</si>
  <si>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</si>
  <si>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</si>
  <si>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</si>
  <si>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Settlement Increase 48%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</si>
  <si>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</si>
  <si>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</si>
  <si>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</si>
  <si>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</si>
  <si>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</si>
  <si>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</si>
  <si>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</si>
  <si>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</si>
  <si>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</si>
  <si>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</si>
  <si>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</si>
  <si>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</si>
  <si>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</si>
  <si>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</si>
  <si>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</si>
  <si>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30-35 Watts</t>
  </si>
  <si>
    <t>35.01-40 Watts</t>
  </si>
  <si>
    <t>40.01-45 Watts</t>
  </si>
  <si>
    <t>45.01-50 Watts</t>
  </si>
  <si>
    <t>50.01-55 Watts</t>
  </si>
  <si>
    <t>55.01-60 Watts</t>
  </si>
  <si>
    <t>60.01-65 Watts</t>
  </si>
  <si>
    <t>65.01-70 Watts</t>
  </si>
  <si>
    <t>70.01-75 Watts</t>
  </si>
  <si>
    <t>75.01-80 Watts</t>
  </si>
  <si>
    <t>80.01-85 Watts</t>
  </si>
  <si>
    <t>85.01-90 Watts</t>
  </si>
  <si>
    <t>90.01-95 Watts</t>
  </si>
  <si>
    <t>95.01-100 Watts</t>
  </si>
  <si>
    <t>100.01-105 Watts</t>
  </si>
  <si>
    <t>105.01-110 Watts</t>
  </si>
  <si>
    <t>110.1-115 Watts</t>
  </si>
  <si>
    <t>115.01-120 Watts</t>
  </si>
  <si>
    <t>120.01-125 Watts</t>
  </si>
  <si>
    <t>125.01-130 Watts</t>
  </si>
  <si>
    <t>130.01-135 Watts</t>
  </si>
  <si>
    <t>135.01-140 Watts</t>
  </si>
  <si>
    <t>140.01-145 Watts</t>
  </si>
  <si>
    <t>145.01-150 Watts</t>
  </si>
  <si>
    <t>150.01-155 Watts</t>
  </si>
  <si>
    <t>155.01-160 Watts</t>
  </si>
  <si>
    <t>160.01-165 Watts</t>
  </si>
  <si>
    <t>165.01-170 Watts</t>
  </si>
  <si>
    <t>170.01-175 Watts</t>
  </si>
  <si>
    <t>175.01-180 Watts</t>
  </si>
  <si>
    <t>180.01-185 Watts</t>
  </si>
  <si>
    <t>185.01-190 Watts</t>
  </si>
  <si>
    <t>190.01-195 Watts</t>
  </si>
  <si>
    <t>195.01-200 Watts</t>
  </si>
  <si>
    <t>200.01-205 Watts</t>
  </si>
  <si>
    <t>201.05-210 Watts</t>
  </si>
  <si>
    <t>210.01-215 Watts</t>
  </si>
  <si>
    <t>215.01-220 Watts</t>
  </si>
  <si>
    <t>220.01-225 Watts</t>
  </si>
  <si>
    <t>225.01-230 Watts</t>
  </si>
  <si>
    <t>230.01-235 Watts</t>
  </si>
  <si>
    <t>235.01-240 Watts</t>
  </si>
  <si>
    <t>240.01-245 Watts</t>
  </si>
  <si>
    <t>245.01-250 Watts</t>
  </si>
  <si>
    <t>250.01-255 Watts</t>
  </si>
  <si>
    <t>255.01-260 Watts</t>
  </si>
  <si>
    <t>260.01-265 Watts</t>
  </si>
  <si>
    <t>265.01-270 Watts</t>
  </si>
  <si>
    <t>270.01-275 Watts</t>
  </si>
  <si>
    <t>275.01-280 Watts</t>
  </si>
  <si>
    <t>280.01-285 Watts</t>
  </si>
  <si>
    <t>285.01-290 Watts</t>
  </si>
  <si>
    <t>290.01-295 Watts</t>
  </si>
  <si>
    <t>295.01-300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</si>
  <si>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</si>
  <si>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</si>
  <si>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</si>
  <si>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</si>
  <si>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</si>
  <si>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</si>
  <si>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</si>
  <si>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</si>
  <si>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</si>
  <si>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</si>
  <si>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</si>
  <si>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</si>
  <si>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</si>
  <si>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</si>
  <si>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</si>
  <si>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</si>
  <si>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</si>
  <si>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</si>
  <si>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</si>
  <si>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</si>
  <si>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</si>
  <si>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100.01-120 Watts</t>
  </si>
  <si>
    <t>n/a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</si>
  <si>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</si>
  <si>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</si>
  <si>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</si>
  <si>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</si>
  <si>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</si>
  <si>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</si>
  <si>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</si>
  <si>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</si>
  <si>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</si>
  <si>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</si>
  <si>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</si>
  <si>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</si>
  <si>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</si>
  <si>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</si>
  <si>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</si>
  <si>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</si>
  <si>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</si>
  <si>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30-50 Watts</t>
  </si>
  <si>
    <t>90.01-100 Watts</t>
  </si>
  <si>
    <t>130.01-150 Watts</t>
  </si>
  <si>
    <t>160.01-180 Watts</t>
  </si>
  <si>
    <t>180.01-190 Watts</t>
  </si>
  <si>
    <t>205.01-210 Watts</t>
  </si>
  <si>
    <t>220.01-240 Watts</t>
  </si>
  <si>
    <t>300.01-305 Watts</t>
  </si>
  <si>
    <t>305.01-310 Watts</t>
  </si>
  <si>
    <t>310.01-315 Watts</t>
  </si>
  <si>
    <t>315.01-320 Watts</t>
  </si>
  <si>
    <t>320.01-325 Watts</t>
  </si>
  <si>
    <t>325.01-400 Watts</t>
  </si>
  <si>
    <t>400.01-500 Watts</t>
  </si>
  <si>
    <t>500.01-505 Watts</t>
  </si>
  <si>
    <t>505.01-510 Watts</t>
  </si>
  <si>
    <t>510.01-515 Watts</t>
  </si>
  <si>
    <t>515.01-520 Watts</t>
  </si>
  <si>
    <t>520.01-525 Watts</t>
  </si>
  <si>
    <t>525.01-530 Watts</t>
  </si>
  <si>
    <t>530.01-600 Watts</t>
  </si>
  <si>
    <t>600.01-700 Watts</t>
  </si>
  <si>
    <t>700.01-800 Watts</t>
  </si>
  <si>
    <t>800.01-830 Watts</t>
  </si>
  <si>
    <t>830.01-835 Watts</t>
  </si>
  <si>
    <t>835.01-840 Watts</t>
  </si>
  <si>
    <t>840.01-845 Watts</t>
  </si>
  <si>
    <t>845.01-850 Watts</t>
  </si>
  <si>
    <t>850.01-855 Watts</t>
  </si>
  <si>
    <t>855.01-860 Watts</t>
  </si>
  <si>
    <t>860.01-865 Watts</t>
  </si>
  <si>
    <t>865.01-870 Watts</t>
  </si>
  <si>
    <t>870.01-875 Watts</t>
  </si>
  <si>
    <t>875.01-880 Watts</t>
  </si>
  <si>
    <t>880.01-900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</si>
  <si>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</si>
  <si>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</si>
  <si>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</si>
  <si>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</si>
  <si>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</si>
  <si>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</si>
  <si>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</si>
  <si>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</si>
  <si>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</si>
  <si>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</si>
  <si>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</si>
  <si>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</si>
  <si>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</si>
  <si>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</si>
  <si>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</si>
  <si>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</si>
  <si>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</si>
  <si>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</si>
  <si>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</si>
  <si>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</si>
  <si>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</si>
  <si>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</si>
  <si>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</si>
  <si>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</si>
  <si>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</si>
  <si>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</si>
  <si>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</si>
  <si>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</si>
  <si>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</si>
  <si>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</si>
  <si>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</si>
  <si>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</si>
  <si>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</si>
  <si>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</si>
  <si>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</si>
  <si>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</si>
  <si>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</si>
  <si>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</si>
  <si>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</si>
  <si>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</si>
  <si>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</si>
  <si>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</si>
  <si>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</si>
  <si>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All Voltage</t>
  </si>
  <si>
    <t>Pri Volt</t>
  </si>
  <si>
    <t>Sec Volt</t>
  </si>
  <si>
    <t>Customer Coincident Distribution Charge - (Billed Charge))</t>
  </si>
  <si>
    <t>Proposed
Rates
Effective
May 2017</t>
  </si>
  <si>
    <t>Rate Change</t>
  </si>
  <si>
    <t>E = C - D</t>
  </si>
  <si>
    <t>Rates
Effective
Dec 19, 2017</t>
  </si>
  <si>
    <t>Rates Eff 12-19-17</t>
  </si>
  <si>
    <t>Prop Rates Eff 5/18</t>
  </si>
  <si>
    <t>Docket No. UE-170033</t>
  </si>
  <si>
    <t>HV Energy</t>
  </si>
  <si>
    <t>PV Energy</t>
  </si>
  <si>
    <t>SV Energy</t>
  </si>
  <si>
    <t>Proposed
Rates
Effective
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</si>
</sst>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32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1"/>
      <color indexed="8"/>
      <name val="TimesNewRomanPS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quotePrefix="1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5" fontId="1" fillId="0" borderId="0" xfId="0" applyNumberFormat="1" applyFont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5" fontId="1" fillId="0" borderId="5" xfId="0" quotePrefix="1" applyNumberFormat="1" applyFont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center"/>
    </xf>
    <xf numFmtId="37" fontId="1" fillId="0" borderId="0" xfId="0" applyNumberFormat="1" applyFont="1" applyFill="1" applyProtection="1"/>
    <xf numFmtId="10" fontId="4" fillId="0" borderId="0" xfId="0" applyNumberFormat="1" applyFont="1" applyFill="1" applyProtection="1">
      <protection locked="0"/>
    </xf>
    <xf numFmtId="164" fontId="1" fillId="0" borderId="0" xfId="0" applyNumberFormat="1" applyFont="1" applyFill="1" applyProtection="1"/>
    <xf numFmtId="0" fontId="1" fillId="0" borderId="0" xfId="0" applyFont="1" applyFill="1" applyBorder="1"/>
    <xf numFmtId="10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10" fontId="1" fillId="0" borderId="0" xfId="0" applyNumberFormat="1" applyFont="1" applyFill="1"/>
    <xf numFmtId="0" fontId="9" fillId="0" borderId="0" xfId="0" applyFont="1" applyFill="1" applyAlignment="1">
      <alignment horizontal="center"/>
    </xf>
    <xf numFmtId="37" fontId="1" fillId="0" borderId="0" xfId="0" applyNumberFormat="1" applyFont="1" applyFill="1"/>
    <xf numFmtId="166" fontId="1" fillId="0" borderId="0" xfId="0" applyNumberFormat="1" applyFont="1" applyFill="1"/>
    <xf numFmtId="0" fontId="9" fillId="0" borderId="0" xfId="0" applyFont="1" applyFill="1"/>
    <xf numFmtId="37" fontId="1" fillId="0" borderId="8" xfId="0" applyNumberFormat="1" applyFont="1" applyFill="1" applyBorder="1"/>
    <xf numFmtId="5" fontId="1" fillId="0" borderId="0" xfId="0" applyNumberFormat="1" applyFont="1" applyFill="1" applyBorder="1"/>
    <xf numFmtId="165" fontId="0" fillId="0" borderId="8" xfId="0" applyNumberFormat="1" applyFill="1" applyBorder="1" applyProtection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66" fontId="4" fillId="0" borderId="0" xfId="0" applyNumberFormat="1" applyFont="1" applyFill="1" applyBorder="1" applyProtection="1">
      <protection locked="0"/>
    </xf>
    <xf numFmtId="43" fontId="1" fillId="0" borderId="0" xfId="0" applyNumberFormat="1" applyFont="1" applyFill="1"/>
    <xf numFmtId="10" fontId="1" fillId="0" borderId="0" xfId="0" applyNumberFormat="1" applyFont="1" applyFill="1"/>
    <xf numFmtId="167" fontId="12" fillId="0" borderId="0" xfId="0" applyNumberFormat="1" applyFont="1" applyFill="1"/>
    <xf numFmtId="166" fontId="12" fillId="0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166" fontId="1" fillId="0" borderId="0" xfId="0" applyNumberFormat="1" applyFont="1" applyFill="1" applyBorder="1"/>
    <xf numFmtId="1" fontId="12" fillId="0" borderId="0" xfId="0" applyNumberFormat="1" applyFont="1" applyFill="1"/>
    <xf numFmtId="166" fontId="12" fillId="0" borderId="0" xfId="0" applyNumberFormat="1" applyFont="1" applyFill="1"/>
    <xf numFmtId="168" fontId="1" fillId="0" borderId="0" xfId="0" applyNumberFormat="1" applyFont="1" applyFill="1"/>
    <xf numFmtId="166" fontId="1" fillId="0" borderId="0" xfId="0" applyNumberFormat="1" applyFont="1" applyFill="1"/>
    <xf numFmtId="166" fontId="13" fillId="0" borderId="0" xfId="0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/>
    <xf numFmtId="5" fontId="4" fillId="0" borderId="0" xfId="0" applyNumberFormat="1" applyFont="1" applyFill="1" applyProtection="1"/>
    <xf numFmtId="5" fontId="0" fillId="0" borderId="0" xfId="0" applyNumberFormat="1" applyFill="1"/>
    <xf numFmtId="0" fontId="1" fillId="0" borderId="0" xfId="0" applyFont="1" applyFill="1"/>
    <xf numFmtId="5" fontId="4" fillId="0" borderId="0" xfId="0" applyNumberFormat="1" applyFont="1" applyFill="1" applyBorder="1" applyProtection="1"/>
    <xf numFmtId="0" fontId="0" fillId="0" borderId="0" xfId="0" applyFill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5" fontId="0" fillId="0" borderId="2" xfId="0" applyNumberFormat="1" applyFill="1" applyBorder="1"/>
    <xf numFmtId="10" fontId="0" fillId="0" borderId="3" xfId="0" applyNumberFormat="1" applyFont="1" applyFill="1" applyBorder="1"/>
    <xf numFmtId="37" fontId="0" fillId="0" borderId="0" xfId="0" applyNumberFormat="1" applyFont="1" applyFill="1" applyBorder="1" applyProtection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7" fontId="17" fillId="0" borderId="0" xfId="0" applyNumberFormat="1" applyFont="1" applyFill="1" applyBorder="1"/>
    <xf numFmtId="10" fontId="18" fillId="0" borderId="0" xfId="0" applyNumberFormat="1" applyFont="1" applyFill="1" applyBorder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167" fontId="1" fillId="0" borderId="0" xfId="0" applyNumberFormat="1" applyFont="1" applyFill="1"/>
    <xf numFmtId="7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5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170" fontId="4" fillId="0" borderId="0" xfId="0" applyNumberFormat="1" applyFont="1" applyFill="1" applyProtection="1"/>
    <xf numFmtId="167" fontId="4" fillId="0" borderId="0" xfId="0" applyNumberFormat="1" applyFont="1" applyFill="1" applyProtection="1"/>
    <xf numFmtId="9" fontId="1" fillId="0" borderId="0" xfId="0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172" fontId="13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7" fontId="13" fillId="0" borderId="0" xfId="0" applyNumberFormat="1" applyFont="1" applyFill="1" applyProtection="1"/>
    <xf numFmtId="37" fontId="0" fillId="0" borderId="5" xfId="0" applyNumberFormat="1" applyFont="1" applyFill="1" applyBorder="1" applyProtection="1"/>
    <xf numFmtId="5" fontId="0" fillId="0" borderId="12" xfId="0" applyNumberFormat="1" applyFont="1" applyFill="1" applyBorder="1" applyProtection="1"/>
    <xf numFmtId="10" fontId="1" fillId="0" borderId="0" xfId="0" applyNumberFormat="1" applyFont="1" applyFill="1" applyBorder="1"/>
    <xf numFmtId="169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9" fontId="1" fillId="0" borderId="0" xfId="0" applyNumberFormat="1" applyFont="1" applyFill="1" applyBorder="1" applyProtection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74" fontId="0" fillId="0" borderId="0" xfId="0" applyNumberFormat="1" applyFont="1" applyFill="1" applyProtection="1"/>
    <xf numFmtId="37" fontId="4" fillId="0" borderId="0" xfId="0" applyNumberFormat="1" applyFont="1" applyFill="1" applyBorder="1" applyProtection="1"/>
    <xf numFmtId="171" fontId="1" fillId="0" borderId="6" xfId="0" applyNumberFormat="1" applyFont="1" applyFill="1" applyBorder="1"/>
    <xf numFmtId="5" fontId="4" fillId="0" borderId="5" xfId="0" applyNumberFormat="1" applyFont="1" applyFill="1" applyBorder="1" applyProtection="1"/>
    <xf numFmtId="5" fontId="4" fillId="0" borderId="14" xfId="0" applyNumberFormat="1" applyFont="1" applyFill="1" applyBorder="1" applyProtection="1"/>
    <xf numFmtId="5" fontId="4" fillId="0" borderId="1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37" fontId="1" fillId="0" borderId="10" xfId="0" applyNumberFormat="1" applyFont="1" applyFill="1" applyBorder="1" applyProtection="1"/>
    <xf numFmtId="164" fontId="1" fillId="0" borderId="10" xfId="0" applyNumberFormat="1" applyFont="1" applyFill="1" applyBorder="1" applyProtection="1"/>
    <xf numFmtId="0" fontId="7" fillId="0" borderId="0" xfId="0" quotePrefix="1" applyFont="1" applyFill="1" applyAlignment="1">
      <alignment horizontal="left" indent="1"/>
    </xf>
    <xf numFmtId="0" fontId="1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left"/>
    </xf>
    <xf numFmtId="0" fontId="16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4" fillId="0" borderId="0" xfId="0" quotePrefix="1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2"/>
    </xf>
    <xf numFmtId="44" fontId="13" fillId="0" borderId="0" xfId="0" applyNumberFormat="1" applyFont="1" applyFill="1" applyProtection="1">
      <protection locked="0"/>
    </xf>
    <xf numFmtId="175" fontId="13" fillId="0" borderId="0" xfId="0" applyNumberFormat="1" applyFont="1" applyFill="1" applyProtection="1">
      <protection locked="0"/>
    </xf>
    <xf numFmtId="37" fontId="4" fillId="0" borderId="10" xfId="0" applyNumberFormat="1" applyFont="1" applyFill="1" applyBorder="1" applyProtection="1"/>
    <xf numFmtId="37" fontId="4" fillId="0" borderId="14" xfId="0" applyNumberFormat="1" applyFont="1" applyFill="1" applyBorder="1" applyProtection="1"/>
    <xf numFmtId="44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37" fontId="0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2" fillId="0" borderId="0" xfId="0" quotePrefix="1" applyFont="1" applyFill="1" applyAlignment="1">
      <alignment horizontal="left"/>
    </xf>
    <xf numFmtId="0" fontId="0" fillId="0" borderId="1" xfId="0" quotePrefix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8" fillId="0" borderId="0" xfId="0" applyFont="1" applyFill="1"/>
    <xf numFmtId="0" fontId="4" fillId="0" borderId="0" xfId="0" quotePrefix="1" applyFont="1" applyFill="1" applyAlignment="1" applyProtection="1">
      <alignment horizontal="left" indent="2"/>
    </xf>
    <xf numFmtId="0" fontId="4" fillId="0" borderId="0" xfId="0" quotePrefix="1" applyFont="1" applyFill="1" applyAlignment="1" applyProtection="1">
      <alignment horizontal="left" indent="3"/>
    </xf>
    <xf numFmtId="10" fontId="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 indent="4"/>
    </xf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10" fontId="8" fillId="0" borderId="0" xfId="0" applyNumberFormat="1" applyFont="1" applyFill="1"/>
    <xf numFmtId="0" fontId="8" fillId="0" borderId="0" xfId="0" quotePrefix="1" applyFont="1" applyFill="1" applyBorder="1" applyAlignment="1">
      <alignment horizontal="left" indent="1"/>
    </xf>
    <xf numFmtId="0" fontId="0" fillId="0" borderId="0" xfId="0" quotePrefix="1" applyFill="1" applyAlignment="1">
      <alignment horizontal="left"/>
    </xf>
    <xf numFmtId="175" fontId="0" fillId="0" borderId="0" xfId="0" applyNumberFormat="1" applyFont="1" applyFill="1"/>
    <xf numFmtId="37" fontId="20" fillId="0" borderId="0" xfId="0" quotePrefix="1" applyNumberFormat="1" applyFont="1" applyFill="1" applyAlignment="1" applyProtection="1">
      <alignment horizontal="center"/>
    </xf>
    <xf numFmtId="0" fontId="20" fillId="0" borderId="0" xfId="0" applyFont="1" applyFill="1"/>
    <xf numFmtId="0" fontId="20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17" xfId="0" applyFill="1" applyBorder="1"/>
    <xf numFmtId="3" fontId="0" fillId="0" borderId="18" xfId="0" applyNumberFormat="1" applyFill="1" applyBorder="1"/>
    <xf numFmtId="0" fontId="0" fillId="0" borderId="22" xfId="0" applyFill="1" applyBorder="1"/>
    <xf numFmtId="3" fontId="0" fillId="0" borderId="20" xfId="0" applyNumberFormat="1" applyFill="1" applyBorder="1"/>
    <xf numFmtId="9" fontId="8" fillId="0" borderId="0" xfId="0" applyNumberFormat="1" applyFont="1" applyFill="1"/>
    <xf numFmtId="175" fontId="8" fillId="0" borderId="0" xfId="0" applyNumberFormat="1" applyFont="1" applyFill="1"/>
    <xf numFmtId="44" fontId="8" fillId="0" borderId="0" xfId="0" applyNumberFormat="1" applyFont="1" applyFill="1"/>
    <xf numFmtId="176" fontId="13" fillId="0" borderId="0" xfId="0" applyNumberFormat="1" applyFont="1" applyFill="1" applyProtection="1">
      <protection locked="0"/>
    </xf>
    <xf numFmtId="177" fontId="13" fillId="0" borderId="0" xfId="0" applyNumberFormat="1" applyFont="1" applyFill="1" applyProtection="1">
      <protection locked="0"/>
    </xf>
    <xf numFmtId="178" fontId="1" fillId="0" borderId="8" xfId="0" applyNumberFormat="1" applyFont="1" applyFill="1" applyBorder="1"/>
    <xf numFmtId="178" fontId="0" fillId="0" borderId="2" xfId="0" applyNumberFormat="1" applyFill="1" applyBorder="1"/>
    <xf numFmtId="169" fontId="4" fillId="0" borderId="14" xfId="0" applyNumberFormat="1" applyFont="1" applyFill="1" applyBorder="1" applyProtection="1"/>
    <xf numFmtId="167" fontId="1" fillId="0" borderId="0" xfId="0" applyNumberFormat="1" applyFont="1" applyFill="1" applyAlignment="1">
      <alignment horizontal="right"/>
    </xf>
    <xf numFmtId="0" fontId="19" fillId="0" borderId="0" xfId="0" quotePrefix="1" applyFont="1" applyFill="1" applyBorder="1" applyAlignment="1">
      <alignment horizontal="left"/>
    </xf>
    <xf numFmtId="178" fontId="4" fillId="0" borderId="0" xfId="0" applyNumberFormat="1" applyFont="1" applyFill="1" applyProtection="1">
      <protection locked="0"/>
    </xf>
    <xf numFmtId="178" fontId="4" fillId="0" borderId="0" xfId="0" applyNumberFormat="1" applyFont="1" applyFill="1" applyProtection="1">
      <protection locked="0"/>
    </xf>
    <xf numFmtId="178" fontId="4" fillId="0" borderId="10" xfId="0" applyNumberFormat="1" applyFont="1" applyFill="1" applyBorder="1" applyProtection="1">
      <protection locked="0"/>
    </xf>
    <xf numFmtId="178" fontId="1" fillId="0" borderId="0" xfId="0" applyNumberFormat="1" applyFont="1" applyFill="1"/>
    <xf numFmtId="178" fontId="4" fillId="0" borderId="0" xfId="0" applyNumberFormat="1" applyFont="1" applyFill="1" applyBorder="1" applyProtection="1">
      <protection locked="0"/>
    </xf>
    <xf numFmtId="178" fontId="1" fillId="0" borderId="0" xfId="0" applyNumberFormat="1" applyFont="1" applyFill="1" applyBorder="1"/>
    <xf numFmtId="0" fontId="0" fillId="0" borderId="0" xfId="0" applyFill="1" applyAlignment="1">
      <alignment horizontal="left" wrapText="1"/>
    </xf>
    <xf numFmtId="0" fontId="25" fillId="0" borderId="0" xfId="0" applyFont="1" applyFill="1"/>
    <xf numFmtId="0" fontId="25" fillId="0" borderId="0" xfId="0" applyFont="1" applyFill="1" applyAlignment="1">
      <alignment horizontal="centerContinuous"/>
    </xf>
    <xf numFmtId="0" fontId="25" fillId="0" borderId="5" xfId="0" applyFont="1" applyFill="1" applyBorder="1" applyAlignment="1">
      <alignment horizontal="center" wrapText="1"/>
    </xf>
    <xf numFmtId="0" fontId="25" fillId="0" borderId="5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169" fontId="25" fillId="0" borderId="10" xfId="0" applyNumberFormat="1" applyFont="1" applyFill="1" applyBorder="1"/>
    <xf numFmtId="167" fontId="25" fillId="0" borderId="10" xfId="0" applyNumberFormat="1" applyFont="1" applyFill="1" applyBorder="1"/>
    <xf numFmtId="10" fontId="25" fillId="0" borderId="0" xfId="0" applyNumberFormat="1" applyFont="1" applyFill="1" applyBorder="1"/>
    <xf numFmtId="9" fontId="25" fillId="0" borderId="0" xfId="0" applyNumberFormat="1" applyFont="1" applyFill="1"/>
    <xf numFmtId="10" fontId="25" fillId="0" borderId="0" xfId="0" applyNumberFormat="1" applyFont="1" applyFill="1"/>
    <xf numFmtId="169" fontId="25" fillId="0" borderId="0" xfId="0" applyNumberFormat="1" applyFont="1" applyFill="1" applyBorder="1"/>
    <xf numFmtId="167" fontId="25" fillId="0" borderId="0" xfId="0" applyNumberFormat="1" applyFont="1" applyFill="1" applyBorder="1"/>
    <xf numFmtId="10" fontId="25" fillId="0" borderId="0" xfId="0" applyNumberFormat="1" applyFont="1" applyFill="1" applyBorder="1"/>
    <xf numFmtId="0" fontId="25" fillId="0" borderId="0" xfId="0" quotePrefix="1" applyFont="1" applyFill="1" applyAlignment="1">
      <alignment horizontal="left" indent="1"/>
    </xf>
    <xf numFmtId="0" fontId="25" fillId="0" borderId="0" xfId="0" quotePrefix="1" applyFont="1" applyFill="1" applyAlignment="1">
      <alignment horizontal="center"/>
    </xf>
    <xf numFmtId="3" fontId="25" fillId="0" borderId="0" xfId="0" applyNumberFormat="1" applyFont="1" applyFill="1" applyBorder="1"/>
    <xf numFmtId="0" fontId="25" fillId="0" borderId="0" xfId="0" quotePrefix="1" applyFont="1" applyFill="1" applyAlignment="1">
      <alignment horizontal="left"/>
    </xf>
    <xf numFmtId="3" fontId="25" fillId="0" borderId="10" xfId="0" applyNumberFormat="1" applyFont="1" applyFill="1" applyBorder="1"/>
    <xf numFmtId="3" fontId="25" fillId="0" borderId="0" xfId="0" applyNumberFormat="1" applyFont="1" applyFill="1" applyBorder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167" fontId="25" fillId="0" borderId="0" xfId="0" applyNumberFormat="1" applyFont="1" applyFill="1"/>
    <xf numFmtId="10" fontId="25" fillId="0" borderId="0" xfId="0" applyNumberFormat="1" applyFont="1" applyFill="1"/>
    <xf numFmtId="3" fontId="25" fillId="0" borderId="10" xfId="0" applyNumberFormat="1" applyFont="1" applyFill="1" applyBorder="1"/>
    <xf numFmtId="0" fontId="25" fillId="0" borderId="0" xfId="0" applyFont="1" applyFill="1" applyBorder="1"/>
    <xf numFmtId="169" fontId="25" fillId="0" borderId="0" xfId="0" applyNumberFormat="1" applyFont="1" applyFill="1"/>
    <xf numFmtId="169" fontId="25" fillId="0" borderId="14" xfId="0" applyNumberFormat="1" applyFont="1" applyFill="1" applyBorder="1"/>
    <xf numFmtId="167" fontId="25" fillId="0" borderId="14" xfId="0" applyNumberFormat="1" applyFont="1" applyFill="1" applyBorder="1"/>
    <xf numFmtId="10" fontId="25" fillId="0" borderId="14" xfId="0" applyNumberFormat="1" applyFont="1" applyFill="1" applyBorder="1"/>
    <xf numFmtId="10" fontId="25" fillId="0" borderId="0" xfId="0" applyNumberFormat="1" applyFont="1" applyFill="1" applyBorder="1"/>
    <xf numFmtId="44" fontId="25" fillId="0" borderId="0" xfId="0" applyNumberFormat="1" applyFont="1" applyFill="1" applyBorder="1"/>
    <xf numFmtId="167" fontId="25" fillId="0" borderId="0" xfId="0" applyNumberFormat="1" applyFont="1" applyFill="1"/>
    <xf numFmtId="9" fontId="26" fillId="0" borderId="21" xfId="0" applyNumberFormat="1" applyFont="1" applyFill="1" applyBorder="1"/>
    <xf numFmtId="0" fontId="25" fillId="0" borderId="21" xfId="0" applyFont="1" applyFill="1" applyBorder="1"/>
    <xf numFmtId="0" fontId="25" fillId="0" borderId="18" xfId="0" applyFont="1" applyFill="1" applyBorder="1"/>
    <xf numFmtId="0" fontId="25" fillId="0" borderId="22" xfId="0" applyFont="1" applyFill="1" applyBorder="1"/>
    <xf numFmtId="0" fontId="26" fillId="0" borderId="0" xfId="0" quotePrefix="1" applyFont="1" applyFill="1" applyAlignment="1">
      <alignment wrapText="1"/>
    </xf>
    <xf numFmtId="178" fontId="0" fillId="0" borderId="5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0" quotePrefix="1" applyNumberFormat="1" applyFont="1" applyFill="1" applyAlignment="1"/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0" fontId="1" fillId="0" borderId="0" xfId="0" applyFont="1" applyFill="1" applyAlignment="1">
      <alignment horizontal="left"/>
    </xf>
    <xf numFmtId="37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5" fontId="1" fillId="0" borderId="0" xfId="0" applyNumberFormat="1" applyFont="1" applyFill="1" applyProtection="1"/>
    <xf numFmtId="37" fontId="1" fillId="0" borderId="10" xfId="0" applyNumberFormat="1" applyFont="1" applyFill="1" applyBorder="1" applyProtection="1"/>
    <xf numFmtId="0" fontId="24" fillId="0" borderId="0" xfId="0" quotePrefix="1" applyFont="1" applyFill="1" applyAlignment="1">
      <alignment horizontal="left"/>
    </xf>
    <xf numFmtId="10" fontId="12" fillId="0" borderId="0" xfId="0" applyNumberFormat="1" applyFont="1" applyFill="1" applyBorder="1"/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0" fontId="19" fillId="0" borderId="0" xfId="0" applyNumberFormat="1" applyFont="1" applyBorder="1"/>
    <xf numFmtId="173" fontId="19" fillId="0" borderId="0" xfId="0" applyNumberFormat="1" applyFont="1" applyBorder="1"/>
    <xf numFmtId="9" fontId="19" fillId="0" borderId="0" xfId="0" applyNumberFormat="1" applyFont="1" applyFill="1" applyBorder="1"/>
    <xf numFmtId="175" fontId="19" fillId="0" borderId="0" xfId="0" applyNumberFormat="1" applyFont="1" applyFill="1" applyBorder="1"/>
    <xf numFmtId="0" fontId="9" fillId="0" borderId="17" xfId="0" quotePrefix="1" applyFont="1" applyFill="1" applyBorder="1" applyAlignment="1">
      <alignment horizontal="left"/>
    </xf>
    <xf numFmtId="44" fontId="9" fillId="0" borderId="0" xfId="0" applyNumberFormat="1" applyFont="1" applyFill="1" applyBorder="1"/>
    <xf numFmtId="0" fontId="9" fillId="0" borderId="18" xfId="0" applyFont="1" applyFill="1" applyBorder="1"/>
    <xf numFmtId="10" fontId="9" fillId="2" borderId="0" xfId="0" applyNumberFormat="1" applyFont="1" applyFill="1" applyBorder="1"/>
    <xf numFmtId="44" fontId="9" fillId="0" borderId="18" xfId="0" applyNumberFormat="1" applyFont="1" applyFill="1" applyBorder="1"/>
    <xf numFmtId="10" fontId="9" fillId="0" borderId="0" xfId="0" applyNumberFormat="1" applyFont="1" applyBorder="1"/>
    <xf numFmtId="175" fontId="9" fillId="0" borderId="18" xfId="0" applyNumberFormat="1" applyFont="1" applyFill="1" applyBorder="1"/>
    <xf numFmtId="0" fontId="9" fillId="0" borderId="19" xfId="0" quotePrefix="1" applyFont="1" applyFill="1" applyBorder="1" applyAlignment="1">
      <alignment horizontal="left"/>
    </xf>
    <xf numFmtId="10" fontId="9" fillId="0" borderId="22" xfId="0" applyNumberFormat="1" applyFont="1" applyBorder="1"/>
    <xf numFmtId="176" fontId="9" fillId="0" borderId="20" xfId="0" applyNumberFormat="1" applyFont="1" applyFill="1" applyBorder="1"/>
    <xf numFmtId="10" fontId="25" fillId="0" borderId="16" xfId="0" applyNumberFormat="1" applyFont="1" applyFill="1" applyBorder="1"/>
    <xf numFmtId="10" fontId="25" fillId="0" borderId="18" xfId="0" applyNumberFormat="1" applyFont="1" applyFill="1" applyBorder="1"/>
    <xf numFmtId="10" fontId="26" fillId="0" borderId="20" xfId="0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Continuous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quotePrefix="1" applyFont="1" applyFill="1" applyAlignment="1">
      <alignment horizontal="left" indent="1"/>
    </xf>
    <xf numFmtId="44" fontId="19" fillId="0" borderId="0" xfId="0" applyNumberFormat="1" applyFont="1" applyFill="1"/>
    <xf numFmtId="14" fontId="19" fillId="0" borderId="0" xfId="0" quotePrefix="1" applyNumberFormat="1" applyFont="1" applyFill="1" applyAlignment="1">
      <alignment horizontal="left" indent="1"/>
    </xf>
    <xf numFmtId="44" fontId="19" fillId="0" borderId="0" xfId="0" applyNumberFormat="1" applyFont="1" applyFill="1"/>
    <xf numFmtId="17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left" indent="2"/>
    </xf>
    <xf numFmtId="176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1"/>
    </xf>
    <xf numFmtId="14" fontId="19" fillId="0" borderId="0" xfId="0" quotePrefix="1" applyNumberFormat="1" applyFont="1" applyFill="1" applyBorder="1" applyAlignment="1">
      <alignment horizontal="left" indent="1"/>
    </xf>
    <xf numFmtId="44" fontId="19" fillId="0" borderId="0" xfId="0" applyNumberFormat="1" applyFont="1" applyFill="1" applyBorder="1"/>
    <xf numFmtId="44" fontId="19" fillId="0" borderId="0" xfId="0" applyNumberFormat="1" applyFont="1" applyFill="1" applyBorder="1"/>
    <xf numFmtId="176" fontId="19" fillId="0" borderId="0" xfId="0" applyNumberFormat="1" applyFont="1" applyFill="1" applyBorder="1"/>
    <xf numFmtId="171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quotePrefix="1" applyFont="1" applyFill="1" applyAlignment="1">
      <alignment horizontal="left" indent="2"/>
    </xf>
    <xf numFmtId="177" fontId="19" fillId="0" borderId="0" xfId="0" applyNumberFormat="1" applyFont="1" applyFill="1"/>
    <xf numFmtId="177" fontId="19" fillId="0" borderId="0" xfId="0" applyNumberFormat="1" applyFont="1" applyFill="1"/>
    <xf numFmtId="44" fontId="0" fillId="0" borderId="0" xfId="0" applyNumberFormat="1" applyFont="1" applyFill="1" applyBorder="1" applyProtection="1"/>
    <xf numFmtId="0" fontId="0" fillId="3" borderId="0" xfId="0" applyFill="1"/>
    <xf numFmtId="0" fontId="19" fillId="0" borderId="0" xfId="0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0" fontId="0" fillId="4" borderId="0" xfId="0" applyFill="1"/>
    <xf numFmtId="10" fontId="19" fillId="0" borderId="0" xfId="0" applyNumberFormat="1" applyFont="1" applyFill="1"/>
    <xf numFmtId="169" fontId="0" fillId="0" borderId="0" xfId="0" applyNumberFormat="1" applyFont="1" applyFill="1"/>
    <xf numFmtId="169" fontId="0" fillId="0" borderId="0" xfId="0" applyNumberFormat="1" applyFont="1" applyFill="1" applyBorder="1"/>
    <xf numFmtId="175" fontId="0" fillId="0" borderId="0" xfId="0" applyNumberFormat="1" applyFill="1"/>
    <xf numFmtId="9" fontId="0" fillId="0" borderId="0" xfId="0" applyNumberFormat="1" applyFont="1" applyFill="1" applyProtection="1"/>
    <xf numFmtId="0" fontId="11" fillId="0" borderId="0" xfId="0" applyFont="1" applyFill="1" applyBorder="1" applyAlignment="1" applyProtection="1">
      <alignment wrapText="1"/>
    </xf>
    <xf numFmtId="0" fontId="19" fillId="0" borderId="0" xfId="0" applyFont="1" applyFill="1" applyAlignment="1">
      <alignment horizontal="center"/>
    </xf>
    <xf numFmtId="175" fontId="27" fillId="0" borderId="0" xfId="0" applyNumberFormat="1" applyFont="1" applyFill="1" applyProtection="1">
      <protection locked="0"/>
    </xf>
    <xf numFmtId="9" fontId="19" fillId="0" borderId="0" xfId="0" applyNumberFormat="1" applyFont="1" applyFill="1" applyBorder="1"/>
    <xf numFmtId="9" fontId="19" fillId="0" borderId="0" xfId="0" applyNumberFormat="1" applyFont="1" applyFill="1" applyBorder="1"/>
    <xf numFmtId="0" fontId="19" fillId="0" borderId="0" xfId="0" applyFont="1" applyFill="1"/>
    <xf numFmtId="0" fontId="19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6" fontId="19" fillId="0" borderId="31" xfId="0" quotePrefix="1" applyNumberFormat="1" applyFont="1" applyFill="1" applyBorder="1" applyAlignment="1">
      <alignment horizontal="center" vertical="center" wrapText="1"/>
    </xf>
    <xf numFmtId="6" fontId="19" fillId="0" borderId="3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0" fillId="0" borderId="0" xfId="0" quotePrefix="1" applyFill="1" applyAlignment="1">
      <alignment wrapText="1"/>
    </xf>
    <xf numFmtId="0" fontId="0" fillId="0" borderId="19" xfId="0" quotePrefix="1" applyFill="1" applyBorder="1" applyAlignment="1">
      <alignment horizontal="left"/>
    </xf>
    <xf numFmtId="5" fontId="0" fillId="0" borderId="1" xfId="0" applyNumberFormat="1" applyFill="1" applyBorder="1"/>
    <xf numFmtId="0" fontId="0" fillId="0" borderId="2" xfId="0" applyFill="1" applyBorder="1"/>
    <xf numFmtId="5" fontId="0" fillId="0" borderId="13" xfId="0" applyNumberFormat="1" applyFill="1" applyBorder="1"/>
    <xf numFmtId="10" fontId="0" fillId="0" borderId="4" xfId="0" applyNumberFormat="1" applyFont="1" applyFill="1" applyBorder="1"/>
    <xf numFmtId="0" fontId="0" fillId="0" borderId="5" xfId="0" quotePrefix="1" applyFill="1" applyBorder="1" applyAlignment="1">
      <alignment horizontal="left" wrapText="1"/>
    </xf>
    <xf numFmtId="3" fontId="0" fillId="0" borderId="5" xfId="0" applyNumberFormat="1" applyFill="1" applyBorder="1"/>
    <xf numFmtId="10" fontId="0" fillId="0" borderId="0" xfId="0" applyNumberFormat="1" applyFont="1" applyFill="1" applyBorder="1"/>
    <xf numFmtId="37" fontId="11" fillId="0" borderId="15" xfId="0" applyNumberFormat="1" applyFont="1" applyFill="1" applyBorder="1" applyAlignment="1" applyProtection="1">
      <alignment horizontal="center" wrapText="1"/>
    </xf>
    <xf numFmtId="0" fontId="20" fillId="0" borderId="21" xfId="0" applyFont="1" applyFill="1" applyBorder="1" applyAlignment="1">
      <alignment horizontal="center" wrapText="1"/>
    </xf>
    <xf numFmtId="37" fontId="11" fillId="0" borderId="21" xfId="0" applyNumberFormat="1" applyFont="1" applyFill="1" applyBorder="1" applyAlignment="1" applyProtection="1">
      <alignment horizontal="center" wrapText="1"/>
    </xf>
    <xf numFmtId="37" fontId="11" fillId="0" borderId="21" xfId="0" quotePrefix="1" applyNumberFormat="1" applyFont="1" applyFill="1" applyBorder="1" applyAlignment="1" applyProtection="1">
      <alignment horizontal="center" wrapText="1"/>
    </xf>
    <xf numFmtId="0" fontId="0" fillId="0" borderId="21" xfId="0" applyFill="1" applyBorder="1" applyAlignment="1">
      <alignment wrapText="1"/>
    </xf>
    <xf numFmtId="37" fontId="11" fillId="0" borderId="16" xfId="0" quotePrefix="1" applyNumberFormat="1" applyFont="1" applyFill="1" applyBorder="1" applyAlignment="1" applyProtection="1">
      <alignment horizontal="center" wrapText="1"/>
    </xf>
    <xf numFmtId="166" fontId="4" fillId="0" borderId="0" xfId="0" applyNumberFormat="1" applyFont="1" applyFill="1" applyProtection="1">
      <protection locked="0"/>
    </xf>
    <xf numFmtId="166" fontId="4" fillId="0" borderId="10" xfId="0" applyNumberFormat="1" applyFont="1" applyFill="1" applyBorder="1" applyProtection="1">
      <protection locked="0"/>
    </xf>
    <xf numFmtId="166" fontId="4" fillId="0" borderId="8" xfId="0" applyNumberFormat="1" applyFont="1" applyFill="1" applyBorder="1" applyProtection="1">
      <protection locked="0"/>
    </xf>
    <xf numFmtId="167" fontId="4" fillId="0" borderId="10" xfId="0" applyNumberFormat="1" applyFont="1" applyFill="1" applyBorder="1" applyProtection="1">
      <protection locked="0"/>
    </xf>
    <xf numFmtId="175" fontId="28" fillId="0" borderId="0" xfId="0" applyNumberFormat="1" applyFont="1" applyFill="1" applyProtection="1">
      <protection locked="0"/>
    </xf>
    <xf numFmtId="0" fontId="19" fillId="0" borderId="0" xfId="0" applyFont="1" applyAlignment="1">
      <alignment horizontal="right"/>
    </xf>
    <xf numFmtId="0" fontId="28" fillId="0" borderId="0" xfId="0" applyFont="1" applyFill="1"/>
    <xf numFmtId="3" fontId="28" fillId="0" borderId="0" xfId="0" applyNumberFormat="1" applyFont="1" applyFill="1"/>
    <xf numFmtId="0" fontId="0" fillId="0" borderId="0" xfId="0" quotePrefix="1" applyAlignment="1">
      <alignment horizontal="left"/>
    </xf>
    <xf numFmtId="167" fontId="28" fillId="0" borderId="0" xfId="0" applyNumberFormat="1" applyFont="1" applyFill="1"/>
    <xf numFmtId="9" fontId="28" fillId="0" borderId="0" xfId="0" applyNumberFormat="1" applyFont="1" applyFill="1"/>
    <xf numFmtId="3" fontId="28" fillId="0" borderId="0" xfId="0" applyNumberFormat="1" applyFont="1" applyFill="1" applyBorder="1"/>
    <xf numFmtId="0" fontId="28" fillId="0" borderId="0" xfId="0" applyFont="1" applyFill="1" applyBorder="1"/>
    <xf numFmtId="175" fontId="28" fillId="0" borderId="0" xfId="0" applyNumberFormat="1" applyFont="1" applyFill="1" applyBorder="1"/>
    <xf numFmtId="167" fontId="28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left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166" fontId="28" fillId="0" borderId="0" xfId="0" applyNumberFormat="1" applyFont="1" applyFill="1"/>
    <xf numFmtId="3" fontId="29" fillId="0" borderId="5" xfId="0" quotePrefix="1" applyNumberFormat="1" applyFont="1" applyFill="1" applyBorder="1" applyAlignment="1"/>
    <xf numFmtId="3" fontId="29" fillId="0" borderId="5" xfId="0" applyNumberFormat="1" applyFont="1" applyFill="1" applyBorder="1" applyAlignment="1"/>
    <xf numFmtId="0" fontId="0" fillId="0" borderId="4" xfId="0" quotePrefix="1" applyFill="1" applyBorder="1" applyAlignment="1">
      <alignment horizontal="left"/>
    </xf>
    <xf numFmtId="0" fontId="0" fillId="0" borderId="13" xfId="0" applyFill="1" applyBorder="1"/>
    <xf numFmtId="5" fontId="0" fillId="0" borderId="0" xfId="0" applyNumberFormat="1" applyFill="1" applyBorder="1"/>
    <xf numFmtId="0" fontId="0" fillId="0" borderId="35" xfId="0" applyFill="1" applyBorder="1"/>
    <xf numFmtId="10" fontId="0" fillId="0" borderId="35" xfId="0" applyNumberFormat="1" applyFont="1" applyFill="1" applyBorder="1"/>
    <xf numFmtId="0" fontId="0" fillId="0" borderId="13" xfId="0" quotePrefix="1" applyFill="1" applyBorder="1" applyAlignment="1">
      <alignment horizontal="left"/>
    </xf>
    <xf numFmtId="175" fontId="13" fillId="0" borderId="0" xfId="0" quotePrefix="1" applyNumberFormat="1" applyFont="1" applyFill="1" applyAlignment="1" applyProtection="1">
      <alignment horizontal="left"/>
      <protection locked="0"/>
    </xf>
    <xf numFmtId="3" fontId="0" fillId="0" borderId="35" xfId="0" applyNumberFormat="1" applyFill="1" applyBorder="1"/>
    <xf numFmtId="44" fontId="0" fillId="0" borderId="0" xfId="0" applyNumberFormat="1" applyFont="1" applyFill="1"/>
    <xf numFmtId="167" fontId="1" fillId="0" borderId="0" xfId="0" applyNumberFormat="1" applyFont="1" applyFill="1"/>
    <xf numFmtId="0" fontId="19" fillId="0" borderId="0" xfId="0" quotePrefix="1" applyFont="1" applyAlignment="1">
      <alignment horizontal="right"/>
    </xf>
    <xf numFmtId="0" fontId="0" fillId="0" borderId="0" xfId="0" quotePrefix="1" applyFill="1" applyAlignment="1">
      <alignment horizontal="left"/>
    </xf>
    <xf numFmtId="42" fontId="4" fillId="0" borderId="14" xfId="0" applyNumberFormat="1" applyFont="1" applyFill="1" applyBorder="1" applyProtection="1"/>
    <xf numFmtId="42" fontId="0" fillId="0" borderId="0" xfId="0" applyNumberFormat="1" applyFill="1"/>
    <xf numFmtId="0" fontId="0" fillId="0" borderId="0" xfId="0" quotePrefix="1" applyFill="1" applyAlignment="1">
      <alignment horizontal="left" indent="1"/>
    </xf>
    <xf numFmtId="44" fontId="13" fillId="0" borderId="0" xfId="0" applyNumberFormat="1" applyFont="1" applyFill="1"/>
    <xf numFmtId="0" fontId="0" fillId="0" borderId="0" xfId="0" applyFill="1" applyAlignment="1">
      <alignment horizontal="left" indent="1"/>
    </xf>
    <xf numFmtId="7" fontId="13" fillId="0" borderId="0" xfId="0" applyNumberFormat="1" applyFont="1" applyFill="1"/>
    <xf numFmtId="0" fontId="0" fillId="0" borderId="0" xfId="0" quotePrefix="1" applyFill="1" applyAlignment="1">
      <alignment horizontal="left" indent="2"/>
    </xf>
    <xf numFmtId="169" fontId="0" fillId="0" borderId="2" xfId="0" applyNumberFormat="1" applyFont="1" applyFill="1" applyBorder="1"/>
    <xf numFmtId="44" fontId="8" fillId="0" borderId="0" xfId="0" applyNumberFormat="1" applyFont="1" applyFill="1"/>
    <xf numFmtId="169" fontId="0" fillId="0" borderId="0" xfId="0" applyNumberFormat="1" applyFont="1" applyFill="1" applyProtection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4" fillId="0" borderId="0" xfId="0" applyNumberFormat="1" applyFont="1" applyFill="1" applyProtection="1"/>
    <xf numFmtId="5" fontId="1" fillId="0" borderId="0" xfId="0" applyNumberFormat="1" applyFont="1" applyFill="1" applyProtection="1"/>
    <xf numFmtId="5" fontId="1" fillId="0" borderId="0" xfId="0" applyNumberFormat="1" applyFont="1" applyFill="1"/>
    <xf numFmtId="179" fontId="13" fillId="0" borderId="0" xfId="0" applyNumberFormat="1" applyFont="1" applyFill="1" applyBorder="1"/>
    <xf numFmtId="44" fontId="17" fillId="0" borderId="0" xfId="0" applyNumberFormat="1" applyFont="1" applyFill="1" applyBorder="1"/>
    <xf numFmtId="169" fontId="0" fillId="0" borderId="36" xfId="0" applyNumberFormat="1" applyFont="1" applyFill="1" applyBorder="1" applyProtection="1"/>
    <xf numFmtId="5" fontId="4" fillId="0" borderId="36" xfId="0" applyNumberFormat="1" applyFont="1" applyFill="1" applyBorder="1" applyProtection="1"/>
    <xf numFmtId="0" fontId="0" fillId="0" borderId="0" xfId="0" quotePrefix="1" applyFont="1" applyFill="1"/>
    <xf numFmtId="180" fontId="13" fillId="0" borderId="0" xfId="0" applyNumberFormat="1" applyFont="1" applyFill="1" applyProtection="1"/>
    <xf numFmtId="173" fontId="13" fillId="0" borderId="0" xfId="0" applyNumberFormat="1" applyFont="1" applyFill="1"/>
    <xf numFmtId="173" fontId="8" fillId="0" borderId="0" xfId="0" applyNumberFormat="1" applyFont="1" applyFill="1"/>
    <xf numFmtId="37" fontId="0" fillId="0" borderId="2" xfId="0" applyNumberFormat="1" applyFill="1" applyBorder="1"/>
    <xf numFmtId="5" fontId="4" fillId="0" borderId="2" xfId="0" applyNumberFormat="1" applyFont="1" applyFill="1" applyBorder="1" applyProtection="1"/>
    <xf numFmtId="37" fontId="1" fillId="0" borderId="0" xfId="0" applyNumberFormat="1" applyFont="1" applyFill="1"/>
    <xf numFmtId="37" fontId="0" fillId="0" borderId="36" xfId="0" applyNumberFormat="1" applyFont="1" applyFill="1" applyBorder="1" applyProtection="1"/>
    <xf numFmtId="165" fontId="4" fillId="0" borderId="0" xfId="0" applyNumberFormat="1" applyFont="1" applyFill="1" applyProtection="1"/>
    <xf numFmtId="37" fontId="0" fillId="0" borderId="0" xfId="0" applyNumberFormat="1" applyFill="1" applyBorder="1"/>
    <xf numFmtId="178" fontId="0" fillId="0" borderId="0" xfId="0" applyNumberFormat="1" applyFill="1" applyBorder="1"/>
    <xf numFmtId="5" fontId="0" fillId="0" borderId="0" xfId="0" applyNumberFormat="1" applyFill="1" applyBorder="1" applyProtection="1"/>
    <xf numFmtId="0" fontId="4" fillId="0" borderId="0" xfId="0" quotePrefix="1" applyFont="1" applyFill="1" applyProtection="1"/>
    <xf numFmtId="165" fontId="4" fillId="0" borderId="0" xfId="0" applyNumberFormat="1" applyFont="1" applyFill="1" applyBorder="1" applyProtection="1"/>
    <xf numFmtId="176" fontId="1" fillId="0" borderId="0" xfId="0" applyNumberFormat="1" applyFont="1" applyFill="1"/>
    <xf numFmtId="176" fontId="13" fillId="0" borderId="0" xfId="0" applyNumberFormat="1" applyFont="1" applyFill="1"/>
    <xf numFmtId="167" fontId="0" fillId="0" borderId="0" xfId="0" applyNumberFormat="1" applyFont="1" applyFill="1"/>
    <xf numFmtId="167" fontId="0" fillId="0" borderId="0" xfId="0" applyNumberFormat="1" applyFont="1"/>
    <xf numFmtId="167" fontId="0" fillId="0" borderId="0" xfId="0" applyNumberFormat="1"/>
    <xf numFmtId="0" fontId="19" fillId="0" borderId="0" xfId="0" applyFont="1" applyFill="1" applyAlignment="1">
      <alignment horizontal="center"/>
    </xf>
    <xf numFmtId="175" fontId="1" fillId="0" borderId="0" xfId="0" applyNumberFormat="1" applyFont="1" applyFill="1" applyProtection="1"/>
    <xf numFmtId="44" fontId="28" fillId="0" borderId="0" xfId="0" applyNumberFormat="1" applyFont="1" applyFill="1" applyBorder="1"/>
    <xf numFmtId="44" fontId="27" fillId="0" borderId="0" xfId="0" applyNumberFormat="1" applyFont="1" applyFill="1" applyProtection="1">
      <protection locked="0"/>
    </xf>
    <xf numFmtId="167" fontId="0" fillId="0" borderId="1" xfId="0" applyNumberFormat="1" applyFont="1" applyFill="1" applyBorder="1"/>
    <xf numFmtId="167" fontId="0" fillId="0" borderId="13" xfId="0" applyNumberFormat="1" applyFont="1" applyFill="1" applyBorder="1"/>
    <xf numFmtId="167" fontId="0" fillId="0" borderId="4" xfId="0" applyNumberFormat="1" applyFill="1" applyBorder="1"/>
    <xf numFmtId="173" fontId="19" fillId="0" borderId="0" xfId="0" applyNumberFormat="1" applyFont="1" applyFill="1"/>
    <xf numFmtId="176" fontId="19" fillId="0" borderId="0" xfId="0" quotePrefix="1" applyNumberFormat="1" applyFont="1" applyFill="1" applyAlignment="1">
      <alignment horizontal="left"/>
    </xf>
    <xf numFmtId="0" fontId="1" fillId="0" borderId="0" xfId="0" quotePrefix="1" applyFont="1" applyFill="1" applyAlignment="1" applyProtection="1">
      <alignment horizontal="left" indent="1"/>
    </xf>
    <xf numFmtId="44" fontId="13" fillId="0" borderId="0" xfId="0" applyNumberFormat="1" applyFont="1" applyFill="1" applyAlignment="1">
      <alignment horizontal="right"/>
    </xf>
    <xf numFmtId="167" fontId="4" fillId="0" borderId="0" xfId="0" applyNumberFormat="1" applyFont="1" applyFill="1" applyProtection="1">
      <protection locked="0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44" fontId="13" fillId="5" borderId="0" xfId="0" applyNumberFormat="1" applyFont="1" applyFill="1"/>
    <xf numFmtId="0" fontId="0" fillId="0" borderId="0" xfId="0" applyFill="1" applyAlignment="1"/>
    <xf numFmtId="44" fontId="0" fillId="0" borderId="0" xfId="0" applyNumberFormat="1" applyFill="1" applyBorder="1"/>
    <xf numFmtId="9" fontId="0" fillId="0" borderId="0" xfId="0" applyNumberFormat="1" applyFont="1" applyFill="1" applyBorder="1" applyProtection="1"/>
    <xf numFmtId="0" fontId="0" fillId="0" borderId="15" xfId="0" applyFill="1" applyBorder="1"/>
    <xf numFmtId="0" fontId="0" fillId="0" borderId="21" xfId="0" applyFill="1" applyBorder="1"/>
    <xf numFmtId="44" fontId="0" fillId="0" borderId="21" xfId="0" applyNumberFormat="1" applyFill="1" applyBorder="1"/>
    <xf numFmtId="9" fontId="0" fillId="0" borderId="21" xfId="0" applyNumberFormat="1" applyFont="1" applyFill="1" applyBorder="1" applyProtection="1"/>
    <xf numFmtId="44" fontId="0" fillId="0" borderId="16" xfId="0" applyNumberFormat="1" applyFill="1" applyBorder="1"/>
    <xf numFmtId="44" fontId="0" fillId="0" borderId="18" xfId="0" applyNumberFormat="1" applyFill="1" applyBorder="1"/>
    <xf numFmtId="0" fontId="0" fillId="0" borderId="17" xfId="0" quotePrefix="1" applyFill="1" applyBorder="1" applyAlignment="1">
      <alignment horizontal="left"/>
    </xf>
    <xf numFmtId="42" fontId="4" fillId="0" borderId="0" xfId="0" applyNumberFormat="1" applyFont="1" applyFill="1" applyProtection="1"/>
    <xf numFmtId="44" fontId="0" fillId="0" borderId="17" xfId="0" applyNumberFormat="1" applyFont="1" applyFill="1" applyBorder="1"/>
    <xf numFmtId="0" fontId="0" fillId="0" borderId="18" xfId="0" applyFill="1" applyBorder="1"/>
    <xf numFmtId="3" fontId="0" fillId="0" borderId="17" xfId="0" applyNumberFormat="1" applyFill="1" applyBorder="1"/>
    <xf numFmtId="3" fontId="0" fillId="0" borderId="19" xfId="0" applyNumberFormat="1" applyFill="1" applyBorder="1"/>
    <xf numFmtId="0" fontId="0" fillId="0" borderId="20" xfId="0" applyFill="1" applyBorder="1"/>
    <xf numFmtId="37" fontId="11" fillId="0" borderId="23" xfId="0" applyNumberFormat="1" applyFont="1" applyFill="1" applyBorder="1" applyAlignment="1" applyProtection="1">
      <alignment horizontal="center" wrapText="1"/>
    </xf>
    <xf numFmtId="37" fontId="11" fillId="0" borderId="24" xfId="0" applyNumberFormat="1" applyFont="1" applyFill="1" applyBorder="1" applyAlignment="1" applyProtection="1">
      <alignment horizontal="center" wrapText="1"/>
    </xf>
    <xf numFmtId="37" fontId="11" fillId="0" borderId="25" xfId="0" applyNumberFormat="1" applyFont="1" applyFill="1" applyBorder="1" applyAlignment="1" applyProtection="1">
      <alignment horizontal="center" wrapText="1"/>
    </xf>
    <xf numFmtId="0" fontId="19" fillId="0" borderId="0" xfId="0" quotePrefix="1" applyFont="1" applyFill="1" applyBorder="1" applyAlignment="1">
      <alignment vertical="top"/>
    </xf>
    <xf numFmtId="176" fontId="31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19" xfId="0" quotePrefix="1" applyFont="1" applyFill="1" applyBorder="1" applyAlignment="1">
      <alignment horizontal="left"/>
    </xf>
    <xf numFmtId="0" fontId="25" fillId="0" borderId="22" xfId="0" quotePrefix="1" applyFont="1" applyFill="1" applyBorder="1" applyAlignment="1">
      <alignment horizontal="left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left"/>
    </xf>
    <xf numFmtId="0" fontId="25" fillId="0" borderId="21" xfId="0" quotePrefix="1" applyFont="1" applyFill="1" applyBorder="1" applyAlignment="1">
      <alignment horizontal="left"/>
    </xf>
    <xf numFmtId="0" fontId="25" fillId="0" borderId="17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0" borderId="9" xfId="0" quotePrefix="1" applyFont="1" applyFill="1" applyBorder="1" applyAlignment="1" applyProtection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37" fontId="11" fillId="0" borderId="23" xfId="0" quotePrefix="1" applyNumberFormat="1" applyFont="1" applyFill="1" applyBorder="1" applyAlignment="1" applyProtection="1">
      <alignment horizontal="center" wrapText="1"/>
    </xf>
    <xf numFmtId="37" fontId="11" fillId="0" borderId="24" xfId="0" quotePrefix="1" applyNumberFormat="1" applyFont="1" applyFill="1" applyBorder="1" applyAlignment="1" applyProtection="1">
      <alignment horizontal="center" wrapText="1"/>
    </xf>
    <xf numFmtId="37" fontId="11" fillId="0" borderId="25" xfId="0" quotePrefix="1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0" fontId="11" fillId="0" borderId="10" xfId="0" quotePrefix="1" applyFont="1" applyFill="1" applyBorder="1" applyAlignment="1" applyProtection="1">
      <alignment horizontal="center"/>
    </xf>
    <xf numFmtId="0" fontId="11" fillId="0" borderId="11" xfId="0" quotePrefix="1" applyFont="1" applyFill="1" applyBorder="1" applyAlignment="1" applyProtection="1">
      <alignment horizontal="center"/>
    </xf>
    <xf numFmtId="3" fontId="0" fillId="0" borderId="2" xfId="0" quotePrefix="1" applyNumberFormat="1" applyFill="1" applyBorder="1" applyAlignment="1">
      <alignment horizontal="left"/>
    </xf>
    <xf numFmtId="3" fontId="0" fillId="0" borderId="3" xfId="0" quotePrefix="1" applyNumberFormat="1" applyFill="1" applyBorder="1" applyAlignment="1">
      <alignment horizontal="left"/>
    </xf>
    <xf numFmtId="3" fontId="0" fillId="0" borderId="0" xfId="0" quotePrefix="1" applyNumberFormat="1" applyFill="1" applyBorder="1" applyAlignment="1">
      <alignment horizontal="left"/>
    </xf>
    <xf numFmtId="3" fontId="0" fillId="0" borderId="3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6" xfId="0" quotePrefix="1" applyNumberFormat="1" applyFill="1" applyBorder="1" applyAlignment="1">
      <alignment horizontal="left"/>
    </xf>
    <xf numFmtId="0" fontId="23" fillId="0" borderId="0" xfId="0" quotePrefix="1" applyFont="1" applyFill="1" applyAlignment="1" applyProtection="1">
      <alignment horizontal="left"/>
    </xf>
    <xf numFmtId="0" fontId="26" fillId="0" borderId="9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6" fillId="0" borderId="9" xfId="0" quotePrefix="1" applyFont="1" applyFill="1" applyBorder="1" applyAlignment="1" applyProtection="1">
      <alignment horizontal="center"/>
    </xf>
    <xf numFmtId="0" fontId="11" fillId="0" borderId="13" xfId="0" quotePrefix="1" applyFont="1" applyFill="1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23</xdr:col>
      <xdr:colOff>107213</xdr:colOff>
      <xdr:row>30</xdr:row>
      <xdr:rowOff>137569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3760" y="609600"/>
          <a:ext cx="6142253" cy="471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203200</xdr:colOff>
      <xdr:row>2</xdr:row>
      <xdr:rowOff>30480</xdr:rowOff>
    </xdr:from>
    <xdr:to>
      <xdr:col>32</xdr:col>
      <xdr:colOff>308421</xdr:colOff>
      <xdr:row>28</xdr:row>
      <xdr:rowOff>58881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8560" y="477520"/>
          <a:ext cx="12459781" cy="5311601"/>
        </a:xfrm>
        <a:prstGeom prst="rect">
          <a:avLst/>
        </a:prstGeom>
      </xdr:spPr>
    </xdr:pic>
    <xdr:clientData/>
  </xdr:twoCellAnchor>
  <xdr:twoCellAnchor editAs="oneCell">
    <xdr:from>
      <xdr:col>14</xdr:col>
      <xdr:colOff>314960</xdr:colOff>
      <xdr:row>31</xdr:row>
      <xdr:rowOff>111760</xdr:rowOff>
    </xdr:from>
    <xdr:to>
      <xdr:col>33</xdr:col>
      <xdr:colOff>740269</xdr:colOff>
      <xdr:row>62</xdr:row>
      <xdr:rowOff>145329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6451600"/>
          <a:ext cx="13023709" cy="6332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Lighting)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  <cell r="K39">
            <v>1963503474.8012619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9">
          <cell r="C19">
            <v>7.49</v>
          </cell>
        </row>
        <row r="20">
          <cell r="C20">
            <v>17.989999999999998</v>
          </cell>
        </row>
        <row r="26">
          <cell r="C26">
            <v>8.5578000000000001E-2</v>
          </cell>
        </row>
        <row r="27">
          <cell r="C27">
            <v>0.104157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3">
          <cell r="C23">
            <v>9.66</v>
          </cell>
        </row>
        <row r="24">
          <cell r="C24">
            <v>24.55</v>
          </cell>
        </row>
        <row r="30">
          <cell r="C30">
            <v>8.9456999999999995E-2</v>
          </cell>
        </row>
        <row r="31">
          <cell r="C31">
            <v>8.6359000000000005E-2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33">
          <cell r="C33">
            <v>51.67</v>
          </cell>
        </row>
        <row r="38">
          <cell r="C38">
            <v>8.9582999999999996E-2</v>
          </cell>
        </row>
        <row r="39">
          <cell r="C39">
            <v>8.1430000000000002E-2</v>
          </cell>
        </row>
        <row r="44">
          <cell r="C44">
            <v>6.4072000000000004E-2</v>
          </cell>
        </row>
        <row r="45">
          <cell r="D45">
            <v>0</v>
          </cell>
        </row>
        <row r="46">
          <cell r="D46">
            <v>2643147</v>
          </cell>
        </row>
        <row r="51">
          <cell r="C51">
            <v>9.01</v>
          </cell>
        </row>
        <row r="52">
          <cell r="C52">
            <v>6.01</v>
          </cell>
        </row>
        <row r="57">
          <cell r="C57">
            <v>2.8300000000000001E-3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  <row r="38">
          <cell r="C38">
            <v>104.46</v>
          </cell>
        </row>
        <row r="43">
          <cell r="C43">
            <v>5.6732999999999999E-2</v>
          </cell>
        </row>
        <row r="53">
          <cell r="C53">
            <v>11.65</v>
          </cell>
        </row>
        <row r="54">
          <cell r="C54">
            <v>7.76</v>
          </cell>
        </row>
        <row r="60">
          <cell r="C60">
            <v>1.24E-3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  <row r="24">
          <cell r="C24">
            <v>235.05</v>
          </cell>
        </row>
        <row r="30">
          <cell r="C30">
            <v>-1.957E-3</v>
          </cell>
        </row>
        <row r="39">
          <cell r="C39">
            <v>-0.35</v>
          </cell>
        </row>
        <row r="47">
          <cell r="C47">
            <v>-4.0000000000000003E-5</v>
          </cell>
        </row>
        <row r="49">
          <cell r="C49">
            <v>3.4500000000000003E-2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  <row r="29">
          <cell r="C29">
            <v>9.56</v>
          </cell>
        </row>
        <row r="30">
          <cell r="C30">
            <v>24.28</v>
          </cell>
        </row>
        <row r="36">
          <cell r="C36">
            <v>8.9582999999999996E-2</v>
          </cell>
        </row>
        <row r="37">
          <cell r="C37">
            <v>6.8035999999999999E-2</v>
          </cell>
        </row>
        <row r="38">
          <cell r="C38">
            <v>6.2075999999999999E-2</v>
          </cell>
        </row>
        <row r="48">
          <cell r="C48">
            <v>5.3189E-2</v>
          </cell>
        </row>
        <row r="52">
          <cell r="C52">
            <v>8.83</v>
          </cell>
        </row>
        <row r="53">
          <cell r="C53">
            <v>4.3499999999999996</v>
          </cell>
        </row>
        <row r="56">
          <cell r="C56">
            <v>2.81E-3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  <row r="29">
          <cell r="C29">
            <v>339.51</v>
          </cell>
        </row>
        <row r="34">
          <cell r="C34">
            <v>5.4346999999999999E-2</v>
          </cell>
        </row>
        <row r="43">
          <cell r="C43">
            <v>11.32</v>
          </cell>
        </row>
        <row r="44">
          <cell r="C44">
            <v>7.55</v>
          </cell>
        </row>
        <row r="50">
          <cell r="C50">
            <v>1.06E-3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  <row r="22">
          <cell r="C22">
            <v>339.51</v>
          </cell>
        </row>
        <row r="27">
          <cell r="C27">
            <v>4.8598000000000002E-2</v>
          </cell>
        </row>
        <row r="36">
          <cell r="C36">
            <v>4.49</v>
          </cell>
        </row>
        <row r="37">
          <cell r="C37">
            <v>2.99</v>
          </cell>
        </row>
        <row r="40">
          <cell r="C40">
            <v>1.08E-3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4">
          <cell r="D14">
            <v>604733</v>
          </cell>
        </row>
        <row r="16">
          <cell r="D16">
            <v>49257775</v>
          </cell>
        </row>
        <row r="19">
          <cell r="C19">
            <v>339.51</v>
          </cell>
        </row>
        <row r="24">
          <cell r="C24">
            <v>5.5893999999999999E-2</v>
          </cell>
        </row>
        <row r="33">
          <cell r="C33">
            <v>4.75</v>
          </cell>
        </row>
        <row r="34">
          <cell r="C34">
            <v>3.89</v>
          </cell>
        </row>
        <row r="38">
          <cell r="C38">
            <v>3.0000000000000001E-3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70">
          <cell r="C70">
            <v>51.67</v>
          </cell>
        </row>
        <row r="71">
          <cell r="C71">
            <v>104.46</v>
          </cell>
        </row>
        <row r="72">
          <cell r="C72">
            <v>339.51</v>
          </cell>
        </row>
        <row r="79">
          <cell r="C79">
            <v>5.6638000000000001E-2</v>
          </cell>
        </row>
        <row r="80">
          <cell r="C80">
            <v>5.5190999999999997E-2</v>
          </cell>
        </row>
        <row r="84">
          <cell r="D84">
            <v>64497</v>
          </cell>
        </row>
        <row r="85">
          <cell r="D85">
            <v>-570722</v>
          </cell>
        </row>
        <row r="91">
          <cell r="C91">
            <v>4.2</v>
          </cell>
        </row>
        <row r="92">
          <cell r="C92">
            <v>4.1100000000000003</v>
          </cell>
        </row>
        <row r="93">
          <cell r="C93">
            <v>4.0199999999999996</v>
          </cell>
        </row>
        <row r="104">
          <cell r="C104">
            <v>1.08E-3</v>
          </cell>
        </row>
        <row r="111">
          <cell r="D111">
            <v>3441161.8012620001</v>
          </cell>
        </row>
        <row r="182">
          <cell r="C182">
            <v>1.6131E-2</v>
          </cell>
        </row>
        <row r="183">
          <cell r="C183">
            <v>1.1511E-2</v>
          </cell>
        </row>
        <row r="184">
          <cell r="C184">
            <v>1.6376999999999999E-2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4">
          <cell r="D14">
            <v>334461</v>
          </cell>
        </row>
        <row r="18">
          <cell r="C18">
            <v>5.4413000000000003E-2</v>
          </cell>
        </row>
        <row r="28">
          <cell r="C28">
            <v>2.09</v>
          </cell>
        </row>
        <row r="30">
          <cell r="C30">
            <v>4.8972000000000002E-2</v>
          </cell>
        </row>
        <row r="31">
          <cell r="C31">
            <v>25.08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2">
          <cell r="D12">
            <v>1412545</v>
          </cell>
        </row>
        <row r="16">
          <cell r="C16">
            <v>5.4413000000000003E-2</v>
          </cell>
        </row>
        <row r="24">
          <cell r="C24">
            <v>3.7</v>
          </cell>
        </row>
      </sheetData>
      <sheetData sheetId="17">
        <row r="6">
          <cell r="D6">
            <v>240</v>
          </cell>
        </row>
        <row r="9">
          <cell r="D9">
            <v>2109984905.4339998</v>
          </cell>
        </row>
        <row r="10">
          <cell r="D10">
            <v>-11881268.808000008</v>
          </cell>
        </row>
        <row r="11">
          <cell r="D11">
            <v>0</v>
          </cell>
        </row>
        <row r="15">
          <cell r="D15">
            <v>183378</v>
          </cell>
        </row>
        <row r="16">
          <cell r="D16">
            <v>3462662</v>
          </cell>
        </row>
        <row r="20">
          <cell r="C20">
            <v>995</v>
          </cell>
        </row>
        <row r="31">
          <cell r="C31">
            <v>1.298</v>
          </cell>
        </row>
        <row r="32">
          <cell r="C32">
            <v>-0.12</v>
          </cell>
        </row>
        <row r="37">
          <cell r="D37">
            <v>7494526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  <row r="8">
          <cell r="D8">
            <v>-13230</v>
          </cell>
        </row>
        <row r="9">
          <cell r="D9">
            <v>145693.42218082873</v>
          </cell>
        </row>
        <row r="12">
          <cell r="D12">
            <v>13806</v>
          </cell>
        </row>
        <row r="14">
          <cell r="D14">
            <v>2144520</v>
          </cell>
        </row>
        <row r="18">
          <cell r="C18">
            <v>3.5139999999999998E-2</v>
          </cell>
        </row>
        <row r="23">
          <cell r="C23">
            <v>5.25</v>
          </cell>
        </row>
        <row r="25">
          <cell r="C25">
            <v>2.5000000000000001E-4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9">
          <cell r="F9">
            <v>17.989999999999998</v>
          </cell>
        </row>
        <row r="11">
          <cell r="F11">
            <v>9.1361999999999999E-2</v>
          </cell>
        </row>
        <row r="12">
          <cell r="F12">
            <v>0.111197</v>
          </cell>
        </row>
        <row r="15">
          <cell r="F15">
            <v>10.11</v>
          </cell>
        </row>
        <row r="16">
          <cell r="F16">
            <v>25.69</v>
          </cell>
        </row>
        <row r="18">
          <cell r="F18">
            <v>9.3608999999999998E-2</v>
          </cell>
        </row>
        <row r="19">
          <cell r="F19">
            <v>9.0369000000000005E-2</v>
          </cell>
        </row>
        <row r="22">
          <cell r="F22">
            <v>53.75</v>
          </cell>
        </row>
        <row r="24">
          <cell r="F24">
            <v>9.3432000000000001E-2</v>
          </cell>
        </row>
        <row r="25">
          <cell r="F25">
            <v>8.4047999999999998E-2</v>
          </cell>
        </row>
        <row r="26">
          <cell r="F26">
            <v>6.4072000000000004E-2</v>
          </cell>
        </row>
        <row r="28">
          <cell r="F28">
            <v>0</v>
          </cell>
        </row>
        <row r="29">
          <cell r="F29">
            <v>10.37</v>
          </cell>
        </row>
        <row r="30">
          <cell r="F30">
            <v>6.92</v>
          </cell>
        </row>
        <row r="32">
          <cell r="F32">
            <v>3.2599999999999999E-3</v>
          </cell>
        </row>
        <row r="35">
          <cell r="F35">
            <v>108.66</v>
          </cell>
        </row>
        <row r="37">
          <cell r="F37">
            <v>5.8765000000000005E-2</v>
          </cell>
        </row>
        <row r="39">
          <cell r="F39">
            <v>12.24</v>
          </cell>
        </row>
        <row r="40">
          <cell r="F40">
            <v>8.16</v>
          </cell>
        </row>
        <row r="42">
          <cell r="F42">
            <v>1.2899999999999999E-3</v>
          </cell>
        </row>
        <row r="45">
          <cell r="F45">
            <v>244.51000000000002</v>
          </cell>
        </row>
        <row r="46">
          <cell r="F46">
            <v>-0.4</v>
          </cell>
        </row>
        <row r="47">
          <cell r="F47">
            <v>3.9399999999999998E-2</v>
          </cell>
        </row>
        <row r="48">
          <cell r="F48">
            <v>353.17</v>
          </cell>
        </row>
        <row r="49">
          <cell r="F49">
            <v>11.84</v>
          </cell>
        </row>
        <row r="50">
          <cell r="F50">
            <v>7.76</v>
          </cell>
        </row>
        <row r="51">
          <cell r="F51">
            <v>5.6450000000000007E-2</v>
          </cell>
        </row>
        <row r="52">
          <cell r="F52">
            <v>1.24E-3</v>
          </cell>
        </row>
        <row r="55">
          <cell r="F55">
            <v>9.94</v>
          </cell>
        </row>
        <row r="56">
          <cell r="F56">
            <v>25.26</v>
          </cell>
        </row>
        <row r="58">
          <cell r="F58">
            <v>9.3187999999999993E-2</v>
          </cell>
        </row>
        <row r="59">
          <cell r="F59">
            <v>7.0774000000000004E-2</v>
          </cell>
        </row>
        <row r="60">
          <cell r="F60">
            <v>6.4574000000000006E-2</v>
          </cell>
        </row>
        <row r="61">
          <cell r="F61">
            <v>5.5329000000000003E-2</v>
          </cell>
        </row>
        <row r="63">
          <cell r="F63">
            <v>0</v>
          </cell>
        </row>
        <row r="64">
          <cell r="F64">
            <v>9.19</v>
          </cell>
        </row>
        <row r="65">
          <cell r="F65">
            <v>4.53</v>
          </cell>
        </row>
        <row r="67">
          <cell r="F67">
            <v>2.9199999999999999E-3</v>
          </cell>
        </row>
        <row r="70">
          <cell r="F70">
            <v>353.17</v>
          </cell>
        </row>
        <row r="72">
          <cell r="F72">
            <v>5.6535000000000002E-2</v>
          </cell>
        </row>
        <row r="74">
          <cell r="F74">
            <v>11.78</v>
          </cell>
        </row>
        <row r="75">
          <cell r="F75">
            <v>7.85</v>
          </cell>
        </row>
        <row r="77">
          <cell r="F77">
            <v>1.1000000000000001E-3</v>
          </cell>
        </row>
        <row r="80">
          <cell r="F80">
            <v>353.17</v>
          </cell>
        </row>
        <row r="82">
          <cell r="F82">
            <v>5.3155000000000001E-2</v>
          </cell>
        </row>
        <row r="84">
          <cell r="F84">
            <v>4.91</v>
          </cell>
        </row>
        <row r="85">
          <cell r="F85">
            <v>3.27</v>
          </cell>
        </row>
        <row r="87">
          <cell r="F87">
            <v>1.1800000000000001E-3</v>
          </cell>
        </row>
        <row r="90">
          <cell r="F90">
            <v>353.17</v>
          </cell>
        </row>
        <row r="92">
          <cell r="F92">
            <v>6.0020999999999998E-2</v>
          </cell>
        </row>
        <row r="94">
          <cell r="F94">
            <v>4.9400000000000004</v>
          </cell>
        </row>
        <row r="96">
          <cell r="F96">
            <v>6.84</v>
          </cell>
        </row>
        <row r="98">
          <cell r="F98">
            <v>3.1199999999999999E-3</v>
          </cell>
        </row>
        <row r="103">
          <cell r="F103">
            <v>53.75</v>
          </cell>
        </row>
        <row r="104">
          <cell r="F104">
            <v>108.66</v>
          </cell>
        </row>
        <row r="105">
          <cell r="F105">
            <v>353.17</v>
          </cell>
        </row>
        <row r="108">
          <cell r="F108">
            <v>5.5745999999999997E-2</v>
          </cell>
        </row>
        <row r="109">
          <cell r="F109">
            <v>5.5745999999999997E-2</v>
          </cell>
        </row>
        <row r="110">
          <cell r="F110">
            <v>5.3552000000000002E-2</v>
          </cell>
        </row>
        <row r="111">
          <cell r="F111">
            <v>5.2526999999999997E-2</v>
          </cell>
        </row>
        <row r="114">
          <cell r="F114">
            <v>6.13</v>
          </cell>
        </row>
        <row r="115">
          <cell r="F115">
            <v>5.88</v>
          </cell>
        </row>
        <row r="116">
          <cell r="F116">
            <v>5.77</v>
          </cell>
        </row>
        <row r="119">
          <cell r="F119">
            <v>1.2899999999999999E-3</v>
          </cell>
        </row>
        <row r="120">
          <cell r="F120">
            <v>1.1000000000000001E-3</v>
          </cell>
        </row>
        <row r="122">
          <cell r="F122">
            <v>9.2299999999999993E-2</v>
          </cell>
        </row>
        <row r="123">
          <cell r="F123">
            <v>0.44</v>
          </cell>
        </row>
        <row r="124">
          <cell r="F124">
            <v>4.0612000000000002E-2</v>
          </cell>
        </row>
        <row r="125">
          <cell r="F125">
            <v>0.2185</v>
          </cell>
        </row>
        <row r="126">
          <cell r="F126">
            <v>4.7399999999999998E-2</v>
          </cell>
        </row>
        <row r="128">
          <cell r="F128">
            <v>0.10456302504101002</v>
          </cell>
        </row>
        <row r="131">
          <cell r="F131">
            <v>1.1672E-2</v>
          </cell>
        </row>
        <row r="132">
          <cell r="F132">
            <v>9.8650000000000005E-3</v>
          </cell>
        </row>
        <row r="133">
          <cell r="F133">
            <v>1.5011999999999999E-2</v>
          </cell>
        </row>
        <row r="154">
          <cell r="F154">
            <v>5.2526999999999997E-2</v>
          </cell>
        </row>
        <row r="156">
          <cell r="F156">
            <v>2.95</v>
          </cell>
        </row>
        <row r="158">
          <cell r="F158">
            <v>35.4</v>
          </cell>
        </row>
        <row r="159">
          <cell r="F159">
            <v>4.7273999999999997E-2</v>
          </cell>
        </row>
        <row r="162">
          <cell r="F162">
            <v>5.2526999999999997E-2</v>
          </cell>
        </row>
        <row r="164">
          <cell r="F164">
            <v>5.48</v>
          </cell>
        </row>
        <row r="168">
          <cell r="F168">
            <v>2155</v>
          </cell>
        </row>
        <row r="169">
          <cell r="F169">
            <v>0</v>
          </cell>
        </row>
        <row r="171">
          <cell r="F171">
            <v>2155</v>
          </cell>
        </row>
        <row r="172">
          <cell r="F172">
            <v>0</v>
          </cell>
        </row>
        <row r="176">
          <cell r="F176">
            <v>2155</v>
          </cell>
        </row>
        <row r="177">
          <cell r="F177">
            <v>0</v>
          </cell>
        </row>
        <row r="179">
          <cell r="F179">
            <v>2155</v>
          </cell>
        </row>
        <row r="180">
          <cell r="F180">
            <v>0</v>
          </cell>
        </row>
      </sheetData>
      <sheetData sheetId="2">
        <row r="6">
          <cell r="G6">
            <v>0.71</v>
          </cell>
        </row>
        <row r="7">
          <cell r="G7">
            <v>5.55</v>
          </cell>
        </row>
        <row r="8">
          <cell r="G8">
            <v>7.98</v>
          </cell>
        </row>
        <row r="9">
          <cell r="G9">
            <v>15.26</v>
          </cell>
        </row>
        <row r="11">
          <cell r="G11">
            <v>3.24</v>
          </cell>
        </row>
        <row r="12">
          <cell r="G12">
            <v>5.66</v>
          </cell>
        </row>
        <row r="13">
          <cell r="G13">
            <v>12.95</v>
          </cell>
        </row>
        <row r="14">
          <cell r="G14">
            <v>22.65</v>
          </cell>
        </row>
        <row r="16">
          <cell r="G16">
            <v>1.525E-2</v>
          </cell>
        </row>
        <row r="17">
          <cell r="G17">
            <v>2.32E-3</v>
          </cell>
        </row>
        <row r="19">
          <cell r="G19">
            <v>1.46</v>
          </cell>
        </row>
        <row r="20">
          <cell r="G20">
            <v>1.46</v>
          </cell>
        </row>
        <row r="21">
          <cell r="G21">
            <v>1.46</v>
          </cell>
        </row>
        <row r="22">
          <cell r="G22">
            <v>1.46</v>
          </cell>
        </row>
        <row r="23">
          <cell r="G23">
            <v>1.46</v>
          </cell>
        </row>
        <row r="24">
          <cell r="G24">
            <v>1.46</v>
          </cell>
        </row>
        <row r="25">
          <cell r="G25">
            <v>2.4300000000000002</v>
          </cell>
        </row>
        <row r="26">
          <cell r="G26">
            <v>2.4300000000000002</v>
          </cell>
        </row>
        <row r="27">
          <cell r="G27">
            <v>2.4300000000000002</v>
          </cell>
        </row>
        <row r="28">
          <cell r="G28">
            <v>2.4300000000000002</v>
          </cell>
        </row>
        <row r="29">
          <cell r="G29">
            <v>2.4300000000000002</v>
          </cell>
        </row>
        <row r="30">
          <cell r="G30">
            <v>2.4300000000000002</v>
          </cell>
        </row>
        <row r="31">
          <cell r="G31">
            <v>3.4</v>
          </cell>
        </row>
        <row r="32">
          <cell r="G32">
            <v>3.4</v>
          </cell>
        </row>
        <row r="33">
          <cell r="G33">
            <v>3.4</v>
          </cell>
        </row>
        <row r="34">
          <cell r="G34">
            <v>3.4</v>
          </cell>
        </row>
        <row r="35">
          <cell r="G35">
            <v>3.4</v>
          </cell>
        </row>
        <row r="36">
          <cell r="G36">
            <v>3.4</v>
          </cell>
        </row>
        <row r="37">
          <cell r="G37">
            <v>4.37</v>
          </cell>
        </row>
        <row r="38">
          <cell r="G38">
            <v>4.37</v>
          </cell>
        </row>
        <row r="39">
          <cell r="G39">
            <v>4.37</v>
          </cell>
        </row>
        <row r="40">
          <cell r="G40">
            <v>4.37</v>
          </cell>
        </row>
        <row r="41">
          <cell r="G41">
            <v>4.37</v>
          </cell>
        </row>
        <row r="42">
          <cell r="G42">
            <v>4.37</v>
          </cell>
        </row>
        <row r="43">
          <cell r="G43">
            <v>5.34</v>
          </cell>
        </row>
        <row r="44">
          <cell r="G44">
            <v>5.34</v>
          </cell>
        </row>
        <row r="45">
          <cell r="G45">
            <v>5.34</v>
          </cell>
        </row>
        <row r="46">
          <cell r="G46">
            <v>5.34</v>
          </cell>
        </row>
        <row r="47">
          <cell r="G47">
            <v>5.34</v>
          </cell>
        </row>
        <row r="48">
          <cell r="G48">
            <v>5.34</v>
          </cell>
        </row>
        <row r="49">
          <cell r="G49">
            <v>6.31</v>
          </cell>
        </row>
        <row r="50">
          <cell r="G50">
            <v>6.31</v>
          </cell>
        </row>
        <row r="51">
          <cell r="G51">
            <v>6.31</v>
          </cell>
        </row>
        <row r="52">
          <cell r="G52">
            <v>6.31</v>
          </cell>
        </row>
        <row r="53">
          <cell r="G53">
            <v>6.31</v>
          </cell>
        </row>
        <row r="54">
          <cell r="G54">
            <v>6.31</v>
          </cell>
        </row>
        <row r="55">
          <cell r="G55">
            <v>7.28</v>
          </cell>
        </row>
        <row r="56">
          <cell r="G56">
            <v>7.28</v>
          </cell>
        </row>
        <row r="57">
          <cell r="G57">
            <v>7.28</v>
          </cell>
        </row>
        <row r="58">
          <cell r="G58">
            <v>7.28</v>
          </cell>
        </row>
        <row r="59">
          <cell r="G59">
            <v>7.28</v>
          </cell>
        </row>
        <row r="60">
          <cell r="G60">
            <v>7.28</v>
          </cell>
        </row>
        <row r="61">
          <cell r="G61">
            <v>8.25</v>
          </cell>
        </row>
        <row r="62">
          <cell r="G62">
            <v>8.25</v>
          </cell>
        </row>
        <row r="63">
          <cell r="G63">
            <v>8.25</v>
          </cell>
        </row>
        <row r="64">
          <cell r="G64">
            <v>8.25</v>
          </cell>
        </row>
        <row r="65">
          <cell r="G65">
            <v>8.25</v>
          </cell>
        </row>
        <row r="66">
          <cell r="G66">
            <v>8.25</v>
          </cell>
        </row>
        <row r="67">
          <cell r="G67">
            <v>9.2200000000000006</v>
          </cell>
        </row>
        <row r="68">
          <cell r="G68">
            <v>9.2200000000000006</v>
          </cell>
        </row>
        <row r="69">
          <cell r="G69">
            <v>9.2200000000000006</v>
          </cell>
        </row>
        <row r="70">
          <cell r="G70">
            <v>9.2200000000000006</v>
          </cell>
        </row>
        <row r="71">
          <cell r="G71">
            <v>9.2200000000000006</v>
          </cell>
        </row>
        <row r="72">
          <cell r="G72">
            <v>9.2200000000000006</v>
          </cell>
        </row>
        <row r="74">
          <cell r="G74">
            <v>1.525E-2</v>
          </cell>
        </row>
        <row r="75">
          <cell r="G75">
            <v>2.32E-3</v>
          </cell>
        </row>
        <row r="77">
          <cell r="G77">
            <v>1.62</v>
          </cell>
        </row>
        <row r="78">
          <cell r="G78">
            <v>2.27</v>
          </cell>
        </row>
        <row r="79">
          <cell r="G79">
            <v>3.24</v>
          </cell>
        </row>
        <row r="80">
          <cell r="G80">
            <v>4.8499999999999996</v>
          </cell>
        </row>
        <row r="81">
          <cell r="G81">
            <v>6.47</v>
          </cell>
        </row>
        <row r="82">
          <cell r="G82">
            <v>8.09</v>
          </cell>
        </row>
        <row r="83">
          <cell r="G83">
            <v>10.029999999999999</v>
          </cell>
        </row>
        <row r="84">
          <cell r="G84">
            <v>12.95</v>
          </cell>
        </row>
        <row r="86">
          <cell r="G86">
            <v>2.27</v>
          </cell>
        </row>
        <row r="87">
          <cell r="G87">
            <v>3.24</v>
          </cell>
        </row>
        <row r="88">
          <cell r="G88">
            <v>4.8499999999999996</v>
          </cell>
        </row>
        <row r="89">
          <cell r="G89">
            <v>5.66</v>
          </cell>
        </row>
        <row r="90">
          <cell r="G90">
            <v>8.09</v>
          </cell>
        </row>
        <row r="91">
          <cell r="G91">
            <v>12.95</v>
          </cell>
        </row>
        <row r="92">
          <cell r="G92">
            <v>32.36</v>
          </cell>
        </row>
        <row r="94">
          <cell r="G94">
            <v>10.93</v>
          </cell>
        </row>
        <row r="95">
          <cell r="G95">
            <v>11.74</v>
          </cell>
        </row>
        <row r="96">
          <cell r="G96">
            <v>12.96</v>
          </cell>
        </row>
        <row r="97">
          <cell r="G97">
            <v>14.99</v>
          </cell>
        </row>
        <row r="98">
          <cell r="G98">
            <v>17.03</v>
          </cell>
        </row>
        <row r="99">
          <cell r="G99">
            <v>19.059999999999999</v>
          </cell>
        </row>
        <row r="100">
          <cell r="G100">
            <v>21.5</v>
          </cell>
        </row>
        <row r="101">
          <cell r="G101">
            <v>25.16</v>
          </cell>
        </row>
        <row r="102">
          <cell r="G102">
            <v>49.57</v>
          </cell>
        </row>
        <row r="104">
          <cell r="G104">
            <v>14.63</v>
          </cell>
        </row>
        <row r="105">
          <cell r="G105">
            <v>15.92</v>
          </cell>
        </row>
        <row r="106">
          <cell r="G106">
            <v>18.079999999999998</v>
          </cell>
        </row>
        <row r="107">
          <cell r="G107">
            <v>22.39</v>
          </cell>
        </row>
        <row r="108">
          <cell r="G108">
            <v>28.85</v>
          </cell>
        </row>
        <row r="110">
          <cell r="G110">
            <v>12.28</v>
          </cell>
        </row>
        <row r="111">
          <cell r="G111">
            <v>12.28</v>
          </cell>
        </row>
        <row r="112">
          <cell r="G112">
            <v>12.28</v>
          </cell>
        </row>
        <row r="113">
          <cell r="G113">
            <v>12.28</v>
          </cell>
        </row>
        <row r="114">
          <cell r="G114">
            <v>12.28</v>
          </cell>
        </row>
        <row r="115">
          <cell r="G115">
            <v>12.28</v>
          </cell>
        </row>
        <row r="116">
          <cell r="G116">
            <v>13.43</v>
          </cell>
        </row>
        <row r="117">
          <cell r="G117">
            <v>13.43</v>
          </cell>
        </row>
        <row r="118">
          <cell r="G118">
            <v>13.43</v>
          </cell>
        </row>
        <row r="119">
          <cell r="G119">
            <v>13.43</v>
          </cell>
        </row>
        <row r="120">
          <cell r="G120">
            <v>13.43</v>
          </cell>
        </row>
        <row r="121">
          <cell r="G121">
            <v>13.43</v>
          </cell>
        </row>
        <row r="122">
          <cell r="G122">
            <v>14.57</v>
          </cell>
        </row>
        <row r="123">
          <cell r="G123">
            <v>14.57</v>
          </cell>
        </row>
        <row r="124">
          <cell r="G124">
            <v>14.57</v>
          </cell>
        </row>
        <row r="125">
          <cell r="G125">
            <v>14.57</v>
          </cell>
        </row>
        <row r="126">
          <cell r="G126">
            <v>14.57</v>
          </cell>
        </row>
        <row r="127">
          <cell r="G127">
            <v>14.57</v>
          </cell>
        </row>
        <row r="128">
          <cell r="G128">
            <v>15.72</v>
          </cell>
        </row>
        <row r="129">
          <cell r="G129">
            <v>15.72</v>
          </cell>
        </row>
        <row r="130">
          <cell r="G130">
            <v>15.72</v>
          </cell>
        </row>
        <row r="131">
          <cell r="G131">
            <v>15.72</v>
          </cell>
        </row>
        <row r="132">
          <cell r="G132">
            <v>15.72</v>
          </cell>
        </row>
        <row r="133">
          <cell r="G133">
            <v>15.72</v>
          </cell>
        </row>
        <row r="134">
          <cell r="G134">
            <v>16.87</v>
          </cell>
        </row>
        <row r="135">
          <cell r="G135">
            <v>16.87</v>
          </cell>
        </row>
        <row r="136">
          <cell r="G136">
            <v>16.87</v>
          </cell>
        </row>
        <row r="137">
          <cell r="G137">
            <v>16.87</v>
          </cell>
        </row>
        <row r="138">
          <cell r="G138">
            <v>16.87</v>
          </cell>
        </row>
        <row r="139">
          <cell r="G139">
            <v>16.87</v>
          </cell>
        </row>
        <row r="140">
          <cell r="G140">
            <v>18.010000000000002</v>
          </cell>
        </row>
        <row r="141">
          <cell r="G141">
            <v>18.010000000000002</v>
          </cell>
        </row>
        <row r="142">
          <cell r="G142">
            <v>18.010000000000002</v>
          </cell>
        </row>
        <row r="143">
          <cell r="G143">
            <v>18.010000000000002</v>
          </cell>
        </row>
        <row r="144">
          <cell r="G144">
            <v>18.010000000000002</v>
          </cell>
        </row>
        <row r="145">
          <cell r="G145">
            <v>18.010000000000002</v>
          </cell>
        </row>
        <row r="146">
          <cell r="G146">
            <v>19.16</v>
          </cell>
        </row>
        <row r="147">
          <cell r="G147">
            <v>19.16</v>
          </cell>
        </row>
        <row r="148">
          <cell r="G148">
            <v>19.16</v>
          </cell>
        </row>
        <row r="149">
          <cell r="G149">
            <v>19.16</v>
          </cell>
        </row>
        <row r="150">
          <cell r="G150">
            <v>19.16</v>
          </cell>
        </row>
        <row r="151">
          <cell r="G151">
            <v>19.16</v>
          </cell>
        </row>
        <row r="152">
          <cell r="G152">
            <v>20.309999999999999</v>
          </cell>
        </row>
        <row r="153">
          <cell r="G153">
            <v>20.309999999999999</v>
          </cell>
        </row>
        <row r="154">
          <cell r="G154">
            <v>20.309999999999999</v>
          </cell>
        </row>
        <row r="155">
          <cell r="G155">
            <v>20.309999999999999</v>
          </cell>
        </row>
        <row r="156">
          <cell r="G156">
            <v>20.309999999999999</v>
          </cell>
        </row>
        <row r="157">
          <cell r="G157">
            <v>20.309999999999999</v>
          </cell>
        </row>
        <row r="158">
          <cell r="G158">
            <v>21.46</v>
          </cell>
        </row>
        <row r="159">
          <cell r="G159">
            <v>21.46</v>
          </cell>
        </row>
        <row r="160">
          <cell r="G160">
            <v>21.46</v>
          </cell>
        </row>
        <row r="161">
          <cell r="G161">
            <v>21.46</v>
          </cell>
        </row>
        <row r="162">
          <cell r="G162">
            <v>21.46</v>
          </cell>
        </row>
        <row r="163">
          <cell r="G163">
            <v>21.46</v>
          </cell>
        </row>
        <row r="165">
          <cell r="G165">
            <v>3.93</v>
          </cell>
        </row>
        <row r="166">
          <cell r="G166">
            <v>4.58</v>
          </cell>
        </row>
        <row r="167">
          <cell r="G167">
            <v>5.55</v>
          </cell>
        </row>
        <row r="168">
          <cell r="G168">
            <v>7.17</v>
          </cell>
        </row>
        <row r="169">
          <cell r="G169">
            <v>8.7799999999999994</v>
          </cell>
        </row>
        <row r="170">
          <cell r="G170">
            <v>10.4</v>
          </cell>
        </row>
        <row r="171">
          <cell r="G171">
            <v>12.34</v>
          </cell>
        </row>
        <row r="172">
          <cell r="G172">
            <v>15.26</v>
          </cell>
        </row>
        <row r="173">
          <cell r="G173">
            <v>34.68</v>
          </cell>
        </row>
        <row r="175">
          <cell r="G175">
            <v>6.89</v>
          </cell>
        </row>
        <row r="176">
          <cell r="G176">
            <v>7.86</v>
          </cell>
        </row>
        <row r="177">
          <cell r="G177">
            <v>9.48</v>
          </cell>
        </row>
        <row r="178">
          <cell r="G178">
            <v>10.29</v>
          </cell>
        </row>
        <row r="179">
          <cell r="G179">
            <v>12.71</v>
          </cell>
        </row>
        <row r="180">
          <cell r="G180">
            <v>17.57</v>
          </cell>
        </row>
        <row r="182">
          <cell r="G182">
            <v>1.92</v>
          </cell>
        </row>
        <row r="183">
          <cell r="G183">
            <v>1.92</v>
          </cell>
        </row>
        <row r="184">
          <cell r="G184">
            <v>1.92</v>
          </cell>
        </row>
        <row r="185">
          <cell r="G185">
            <v>1.92</v>
          </cell>
        </row>
        <row r="186">
          <cell r="G186">
            <v>1.92</v>
          </cell>
        </row>
        <row r="187">
          <cell r="G187">
            <v>1.92</v>
          </cell>
        </row>
        <row r="188">
          <cell r="G188">
            <v>2.89</v>
          </cell>
        </row>
        <row r="189">
          <cell r="G189">
            <v>2.89</v>
          </cell>
        </row>
        <row r="190">
          <cell r="G190">
            <v>2.89</v>
          </cell>
        </row>
        <row r="191">
          <cell r="G191">
            <v>2.89</v>
          </cell>
        </row>
        <row r="192">
          <cell r="G192">
            <v>2.89</v>
          </cell>
        </row>
        <row r="193">
          <cell r="G193">
            <v>2.89</v>
          </cell>
        </row>
        <row r="194">
          <cell r="G194">
            <v>3.86</v>
          </cell>
        </row>
        <row r="195">
          <cell r="G195">
            <v>3.86</v>
          </cell>
        </row>
        <row r="196">
          <cell r="G196">
            <v>3.86</v>
          </cell>
        </row>
        <row r="197">
          <cell r="G197">
            <v>3.86</v>
          </cell>
        </row>
        <row r="198">
          <cell r="G198">
            <v>3.86</v>
          </cell>
        </row>
        <row r="199">
          <cell r="G199">
            <v>3.86</v>
          </cell>
        </row>
        <row r="200">
          <cell r="G200">
            <v>4.83</v>
          </cell>
        </row>
        <row r="201">
          <cell r="G201">
            <v>4.83</v>
          </cell>
        </row>
        <row r="202">
          <cell r="G202">
            <v>4.83</v>
          </cell>
        </row>
        <row r="203">
          <cell r="G203">
            <v>4.83</v>
          </cell>
        </row>
        <row r="204">
          <cell r="G204">
            <v>4.83</v>
          </cell>
        </row>
        <row r="205">
          <cell r="G205">
            <v>4.83</v>
          </cell>
        </row>
        <row r="206">
          <cell r="G206">
            <v>5.8</v>
          </cell>
        </row>
        <row r="207">
          <cell r="G207">
            <v>5.8</v>
          </cell>
        </row>
        <row r="208">
          <cell r="G208">
            <v>5.8</v>
          </cell>
        </row>
        <row r="209">
          <cell r="G209">
            <v>5.8</v>
          </cell>
        </row>
        <row r="210">
          <cell r="G210">
            <v>5.8</v>
          </cell>
        </row>
        <row r="211">
          <cell r="G211">
            <v>5.8</v>
          </cell>
        </row>
        <row r="212">
          <cell r="G212">
            <v>6.77</v>
          </cell>
        </row>
        <row r="213">
          <cell r="G213">
            <v>6.77</v>
          </cell>
        </row>
        <row r="214">
          <cell r="G214">
            <v>6.77</v>
          </cell>
        </row>
        <row r="215">
          <cell r="G215">
            <v>6.77</v>
          </cell>
        </row>
        <row r="216">
          <cell r="G216">
            <v>6.77</v>
          </cell>
        </row>
        <row r="217">
          <cell r="G217">
            <v>6.77</v>
          </cell>
        </row>
        <row r="218">
          <cell r="G218">
            <v>7.74</v>
          </cell>
        </row>
        <row r="219">
          <cell r="G219">
            <v>7.74</v>
          </cell>
        </row>
        <row r="220">
          <cell r="G220">
            <v>7.74</v>
          </cell>
        </row>
        <row r="221">
          <cell r="G221">
            <v>7.74</v>
          </cell>
        </row>
        <row r="222">
          <cell r="G222">
            <v>7.74</v>
          </cell>
        </row>
        <row r="223">
          <cell r="G223">
            <v>7.74</v>
          </cell>
        </row>
        <row r="224">
          <cell r="G224">
            <v>8.7200000000000006</v>
          </cell>
        </row>
        <row r="225">
          <cell r="G225">
            <v>8.7200000000000006</v>
          </cell>
        </row>
        <row r="226">
          <cell r="G226">
            <v>8.7200000000000006</v>
          </cell>
        </row>
        <row r="227">
          <cell r="G227">
            <v>8.7200000000000006</v>
          </cell>
        </row>
        <row r="228">
          <cell r="G228">
            <v>8.7200000000000006</v>
          </cell>
        </row>
        <row r="229">
          <cell r="G229">
            <v>8.7200000000000006</v>
          </cell>
        </row>
        <row r="230">
          <cell r="G230">
            <v>9.69</v>
          </cell>
        </row>
        <row r="231">
          <cell r="G231">
            <v>9.69</v>
          </cell>
        </row>
        <row r="232">
          <cell r="G232">
            <v>9.69</v>
          </cell>
        </row>
        <row r="233">
          <cell r="G233">
            <v>9.69</v>
          </cell>
        </row>
        <row r="234">
          <cell r="G234">
            <v>9.69</v>
          </cell>
        </row>
        <row r="235">
          <cell r="G235">
            <v>9.69</v>
          </cell>
        </row>
        <row r="237">
          <cell r="G237">
            <v>1.62</v>
          </cell>
        </row>
        <row r="238">
          <cell r="G238">
            <v>2.27</v>
          </cell>
        </row>
        <row r="239">
          <cell r="G239">
            <v>3.24</v>
          </cell>
        </row>
        <row r="240">
          <cell r="G240">
            <v>4.8499999999999996</v>
          </cell>
        </row>
        <row r="241">
          <cell r="G241">
            <v>6.47</v>
          </cell>
        </row>
        <row r="242">
          <cell r="G242">
            <v>8.09</v>
          </cell>
        </row>
        <row r="243">
          <cell r="G243">
            <v>10.029999999999999</v>
          </cell>
        </row>
        <row r="244">
          <cell r="G244">
            <v>12.95</v>
          </cell>
        </row>
        <row r="245">
          <cell r="G245">
            <v>32.36</v>
          </cell>
        </row>
        <row r="247">
          <cell r="G247">
            <v>1.46</v>
          </cell>
        </row>
        <row r="248">
          <cell r="G248">
            <v>1.46</v>
          </cell>
        </row>
        <row r="249">
          <cell r="G249">
            <v>1.46</v>
          </cell>
        </row>
        <row r="250">
          <cell r="G250">
            <v>1.46</v>
          </cell>
        </row>
        <row r="251">
          <cell r="G251">
            <v>1.46</v>
          </cell>
        </row>
        <row r="252">
          <cell r="G252">
            <v>1.46</v>
          </cell>
        </row>
        <row r="253">
          <cell r="G253">
            <v>2.4300000000000002</v>
          </cell>
        </row>
        <row r="254">
          <cell r="G254">
            <v>2.4300000000000002</v>
          </cell>
        </row>
        <row r="255">
          <cell r="G255">
            <v>2.4300000000000002</v>
          </cell>
        </row>
        <row r="256">
          <cell r="G256">
            <v>2.4300000000000002</v>
          </cell>
        </row>
        <row r="257">
          <cell r="G257">
            <v>2.4300000000000002</v>
          </cell>
        </row>
        <row r="258">
          <cell r="G258">
            <v>2.4300000000000002</v>
          </cell>
        </row>
        <row r="259">
          <cell r="G259">
            <v>3.4</v>
          </cell>
        </row>
        <row r="260">
          <cell r="G260">
            <v>3.4</v>
          </cell>
        </row>
        <row r="261">
          <cell r="G261">
            <v>3.4</v>
          </cell>
        </row>
        <row r="262">
          <cell r="G262">
            <v>3.4</v>
          </cell>
        </row>
        <row r="263">
          <cell r="G263">
            <v>3.4</v>
          </cell>
        </row>
        <row r="264">
          <cell r="G264">
            <v>3.4</v>
          </cell>
        </row>
        <row r="265">
          <cell r="G265">
            <v>4.37</v>
          </cell>
        </row>
        <row r="266">
          <cell r="G266">
            <v>4.37</v>
          </cell>
        </row>
        <row r="267">
          <cell r="G267">
            <v>4.37</v>
          </cell>
        </row>
        <row r="268">
          <cell r="G268">
            <v>4.37</v>
          </cell>
        </row>
        <row r="269">
          <cell r="G269">
            <v>4.37</v>
          </cell>
        </row>
        <row r="270">
          <cell r="G270">
            <v>4.37</v>
          </cell>
        </row>
        <row r="271">
          <cell r="G271">
            <v>5.34</v>
          </cell>
        </row>
        <row r="272">
          <cell r="G272">
            <v>5.34</v>
          </cell>
        </row>
        <row r="273">
          <cell r="G273">
            <v>5.34</v>
          </cell>
        </row>
        <row r="274">
          <cell r="G274">
            <v>5.34</v>
          </cell>
        </row>
        <row r="275">
          <cell r="G275">
            <v>5.34</v>
          </cell>
        </row>
        <row r="276">
          <cell r="G276">
            <v>5.34</v>
          </cell>
        </row>
        <row r="277">
          <cell r="G277">
            <v>6.31</v>
          </cell>
        </row>
        <row r="278">
          <cell r="G278">
            <v>6.31</v>
          </cell>
        </row>
        <row r="279">
          <cell r="G279">
            <v>6.31</v>
          </cell>
        </row>
        <row r="280">
          <cell r="G280">
            <v>6.31</v>
          </cell>
        </row>
        <row r="281">
          <cell r="G281">
            <v>6.31</v>
          </cell>
        </row>
        <row r="282">
          <cell r="G282">
            <v>6.31</v>
          </cell>
        </row>
        <row r="283">
          <cell r="G283">
            <v>7.28</v>
          </cell>
        </row>
        <row r="284">
          <cell r="G284">
            <v>7.28</v>
          </cell>
        </row>
        <row r="285">
          <cell r="G285">
            <v>7.28</v>
          </cell>
        </row>
        <row r="286">
          <cell r="G286">
            <v>7.28</v>
          </cell>
        </row>
        <row r="287">
          <cell r="G287">
            <v>7.28</v>
          </cell>
        </row>
        <row r="288">
          <cell r="G288">
            <v>7.28</v>
          </cell>
        </row>
        <row r="289">
          <cell r="G289">
            <v>8.25</v>
          </cell>
        </row>
        <row r="290">
          <cell r="G290">
            <v>8.25</v>
          </cell>
        </row>
        <row r="291">
          <cell r="G291">
            <v>8.25</v>
          </cell>
        </row>
        <row r="292">
          <cell r="G292">
            <v>8.25</v>
          </cell>
        </row>
        <row r="293">
          <cell r="G293">
            <v>8.25</v>
          </cell>
        </row>
        <row r="294">
          <cell r="G294">
            <v>8.25</v>
          </cell>
        </row>
        <row r="295">
          <cell r="G295">
            <v>9.2200000000000006</v>
          </cell>
        </row>
        <row r="296">
          <cell r="G296">
            <v>9.2200000000000006</v>
          </cell>
        </row>
        <row r="297">
          <cell r="G297">
            <v>9.2200000000000006</v>
          </cell>
        </row>
        <row r="298">
          <cell r="G298">
            <v>9.2200000000000006</v>
          </cell>
        </row>
        <row r="299">
          <cell r="G299">
            <v>9.2200000000000006</v>
          </cell>
        </row>
        <row r="300">
          <cell r="G300">
            <v>9.2200000000000006</v>
          </cell>
        </row>
        <row r="302">
          <cell r="G302">
            <v>11.77</v>
          </cell>
        </row>
        <row r="303">
          <cell r="G303">
            <v>13</v>
          </cell>
        </row>
        <row r="304">
          <cell r="G304">
            <v>15.06</v>
          </cell>
        </row>
        <row r="305">
          <cell r="G305">
            <v>17.11</v>
          </cell>
        </row>
        <row r="306">
          <cell r="G306">
            <v>19.170000000000002</v>
          </cell>
        </row>
        <row r="307">
          <cell r="G307">
            <v>25.34</v>
          </cell>
        </row>
        <row r="309">
          <cell r="G309">
            <v>22.49</v>
          </cell>
        </row>
        <row r="311">
          <cell r="G311">
            <v>12.3</v>
          </cell>
        </row>
        <row r="312">
          <cell r="G312">
            <v>12.3</v>
          </cell>
        </row>
        <row r="313">
          <cell r="G313">
            <v>12.3</v>
          </cell>
        </row>
        <row r="314">
          <cell r="G314">
            <v>12.3</v>
          </cell>
        </row>
        <row r="315">
          <cell r="G315">
            <v>12.3</v>
          </cell>
        </row>
        <row r="316">
          <cell r="G316">
            <v>12.3</v>
          </cell>
        </row>
        <row r="317">
          <cell r="G317">
            <v>13.46</v>
          </cell>
        </row>
        <row r="318">
          <cell r="G318">
            <v>13.46</v>
          </cell>
        </row>
        <row r="319">
          <cell r="G319">
            <v>13.46</v>
          </cell>
        </row>
        <row r="320">
          <cell r="G320">
            <v>13.46</v>
          </cell>
        </row>
        <row r="321">
          <cell r="G321">
            <v>13.46</v>
          </cell>
        </row>
        <row r="322">
          <cell r="G322">
            <v>13.46</v>
          </cell>
        </row>
        <row r="323">
          <cell r="G323">
            <v>14.62</v>
          </cell>
        </row>
        <row r="324">
          <cell r="G324">
            <v>14.62</v>
          </cell>
        </row>
        <row r="325">
          <cell r="G325">
            <v>14.62</v>
          </cell>
        </row>
        <row r="326">
          <cell r="G326">
            <v>15.78</v>
          </cell>
        </row>
        <row r="327">
          <cell r="G327">
            <v>16.940000000000001</v>
          </cell>
        </row>
        <row r="328">
          <cell r="G328">
            <v>18.100000000000001</v>
          </cell>
        </row>
        <row r="329">
          <cell r="G329">
            <v>19.260000000000002</v>
          </cell>
        </row>
        <row r="330">
          <cell r="G330">
            <v>20.420000000000002</v>
          </cell>
        </row>
        <row r="331">
          <cell r="G331">
            <v>21.58</v>
          </cell>
        </row>
        <row r="333">
          <cell r="G333">
            <v>6.24</v>
          </cell>
        </row>
        <row r="334">
          <cell r="G334">
            <v>10.16</v>
          </cell>
        </row>
        <row r="336">
          <cell r="G336">
            <v>4.1309999999999999E-2</v>
          </cell>
        </row>
        <row r="337">
          <cell r="G337" t="str">
            <v>n/a</v>
          </cell>
        </row>
        <row r="339">
          <cell r="G339">
            <v>11.77</v>
          </cell>
        </row>
        <row r="340">
          <cell r="G340">
            <v>13</v>
          </cell>
        </row>
        <row r="341">
          <cell r="G341">
            <v>15.06</v>
          </cell>
        </row>
        <row r="342">
          <cell r="G342">
            <v>17.11</v>
          </cell>
        </row>
        <row r="343">
          <cell r="G343">
            <v>19.170000000000002</v>
          </cell>
        </row>
        <row r="344">
          <cell r="G344">
            <v>25.34</v>
          </cell>
        </row>
        <row r="346">
          <cell r="G346">
            <v>19.23</v>
          </cell>
        </row>
        <row r="347">
          <cell r="G347">
            <v>22.49</v>
          </cell>
        </row>
        <row r="348">
          <cell r="G348">
            <v>29.02</v>
          </cell>
        </row>
        <row r="349">
          <cell r="G349">
            <v>55.14</v>
          </cell>
        </row>
        <row r="351">
          <cell r="G351">
            <v>13</v>
          </cell>
        </row>
        <row r="352">
          <cell r="G352">
            <v>15.06</v>
          </cell>
        </row>
        <row r="353">
          <cell r="G353">
            <v>17.11</v>
          </cell>
        </row>
        <row r="354">
          <cell r="G354">
            <v>19.170000000000002</v>
          </cell>
        </row>
        <row r="355">
          <cell r="G355">
            <v>25.34</v>
          </cell>
        </row>
        <row r="357">
          <cell r="G357">
            <v>22.49</v>
          </cell>
        </row>
        <row r="358">
          <cell r="G358">
            <v>29.02</v>
          </cell>
        </row>
        <row r="360">
          <cell r="G360">
            <v>12.3</v>
          </cell>
        </row>
        <row r="361">
          <cell r="G361">
            <v>12.3</v>
          </cell>
        </row>
        <row r="362">
          <cell r="G362">
            <v>12.3</v>
          </cell>
        </row>
        <row r="363">
          <cell r="G363">
            <v>13.46</v>
          </cell>
        </row>
        <row r="364">
          <cell r="G364">
            <v>13.46</v>
          </cell>
        </row>
        <row r="365">
          <cell r="G365">
            <v>13.46</v>
          </cell>
        </row>
        <row r="366">
          <cell r="G366">
            <v>13.46</v>
          </cell>
        </row>
        <row r="367">
          <cell r="G367">
            <v>13.46</v>
          </cell>
        </row>
        <row r="368">
          <cell r="G368">
            <v>13.46</v>
          </cell>
        </row>
        <row r="369">
          <cell r="G369">
            <v>14.62</v>
          </cell>
        </row>
        <row r="370">
          <cell r="G370">
            <v>14.62</v>
          </cell>
        </row>
        <row r="371">
          <cell r="G371">
            <v>14.62</v>
          </cell>
        </row>
        <row r="372">
          <cell r="G372">
            <v>14.62</v>
          </cell>
        </row>
        <row r="373">
          <cell r="G373">
            <v>14.62</v>
          </cell>
        </row>
        <row r="374">
          <cell r="G374">
            <v>15.78</v>
          </cell>
        </row>
        <row r="375">
          <cell r="G375">
            <v>15.78</v>
          </cell>
        </row>
        <row r="376">
          <cell r="G376">
            <v>15.78</v>
          </cell>
        </row>
        <row r="377">
          <cell r="G377">
            <v>16.940000000000001</v>
          </cell>
        </row>
        <row r="378">
          <cell r="G378">
            <v>16.940000000000001</v>
          </cell>
        </row>
        <row r="379">
          <cell r="G379">
            <v>16.940000000000001</v>
          </cell>
        </row>
        <row r="380">
          <cell r="G380">
            <v>18.100000000000001</v>
          </cell>
        </row>
        <row r="381">
          <cell r="G381">
            <v>18.100000000000001</v>
          </cell>
        </row>
        <row r="382">
          <cell r="G382">
            <v>18.100000000000001</v>
          </cell>
        </row>
        <row r="383">
          <cell r="G383">
            <v>18.100000000000001</v>
          </cell>
        </row>
        <row r="384">
          <cell r="G384">
            <v>18.100000000000001</v>
          </cell>
        </row>
        <row r="385">
          <cell r="G385">
            <v>19.260000000000002</v>
          </cell>
        </row>
        <row r="386">
          <cell r="G386">
            <v>19.260000000000002</v>
          </cell>
        </row>
        <row r="387">
          <cell r="G387">
            <v>19.260000000000002</v>
          </cell>
        </row>
        <row r="388">
          <cell r="G388">
            <v>20.420000000000002</v>
          </cell>
        </row>
        <row r="389">
          <cell r="G389">
            <v>20.420000000000002</v>
          </cell>
        </row>
        <row r="390">
          <cell r="G390">
            <v>20.420000000000002</v>
          </cell>
        </row>
        <row r="391">
          <cell r="G391">
            <v>20.420000000000002</v>
          </cell>
        </row>
        <row r="392">
          <cell r="G392">
            <v>20.420000000000002</v>
          </cell>
        </row>
        <row r="393">
          <cell r="G393">
            <v>20.420000000000002</v>
          </cell>
        </row>
        <row r="394">
          <cell r="G394">
            <v>21.58</v>
          </cell>
        </row>
        <row r="395">
          <cell r="G395">
            <v>24.09</v>
          </cell>
        </row>
        <row r="396">
          <cell r="G396">
            <v>24.09</v>
          </cell>
        </row>
        <row r="397">
          <cell r="G397">
            <v>24.09</v>
          </cell>
        </row>
        <row r="398">
          <cell r="G398">
            <v>24.09</v>
          </cell>
        </row>
        <row r="399">
          <cell r="G399">
            <v>24.09</v>
          </cell>
        </row>
        <row r="400">
          <cell r="G400">
            <v>24.09</v>
          </cell>
        </row>
        <row r="401">
          <cell r="G401">
            <v>27.96</v>
          </cell>
        </row>
        <row r="402">
          <cell r="G402">
            <v>31.82</v>
          </cell>
        </row>
        <row r="403">
          <cell r="G403">
            <v>31.82</v>
          </cell>
        </row>
        <row r="404">
          <cell r="G404">
            <v>31.82</v>
          </cell>
        </row>
        <row r="405">
          <cell r="G405">
            <v>31.82</v>
          </cell>
        </row>
        <row r="406">
          <cell r="G406">
            <v>31.82</v>
          </cell>
        </row>
        <row r="407">
          <cell r="G407">
            <v>31.82</v>
          </cell>
        </row>
        <row r="408">
          <cell r="G408">
            <v>31.82</v>
          </cell>
        </row>
        <row r="409">
          <cell r="G409">
            <v>35.69</v>
          </cell>
        </row>
        <row r="410">
          <cell r="G410">
            <v>39.549999999999997</v>
          </cell>
        </row>
        <row r="411">
          <cell r="G411">
            <v>43.42</v>
          </cell>
        </row>
        <row r="412">
          <cell r="G412">
            <v>43.42</v>
          </cell>
        </row>
        <row r="413">
          <cell r="G413">
            <v>43.42</v>
          </cell>
        </row>
        <row r="414">
          <cell r="G414">
            <v>43.42</v>
          </cell>
        </row>
        <row r="415">
          <cell r="G415">
            <v>43.42</v>
          </cell>
        </row>
        <row r="416">
          <cell r="G416">
            <v>43.42</v>
          </cell>
        </row>
        <row r="417">
          <cell r="G417">
            <v>43.42</v>
          </cell>
        </row>
        <row r="418">
          <cell r="G418">
            <v>43.42</v>
          </cell>
        </row>
        <row r="419">
          <cell r="G419">
            <v>43.42</v>
          </cell>
        </row>
        <row r="420">
          <cell r="G420">
            <v>43.42</v>
          </cell>
        </row>
        <row r="421">
          <cell r="G421">
            <v>43.42</v>
          </cell>
        </row>
        <row r="422">
          <cell r="G422">
            <v>43.42</v>
          </cell>
        </row>
        <row r="424">
          <cell r="G424">
            <v>10.16</v>
          </cell>
        </row>
      </sheetData>
      <sheetData sheetId="3"/>
      <sheetData sheetId="4"/>
      <sheetData sheetId="5"/>
      <sheetData sheetId="6"/>
      <sheetData sheetId="7"/>
      <sheetData sheetId="8">
        <row r="27">
          <cell r="G27">
            <v>9.2145000000000005E-2</v>
          </cell>
        </row>
      </sheetData>
      <sheetData sheetId="9">
        <row r="31">
          <cell r="G31">
            <v>9.76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  <row r="46">
          <cell r="J46">
            <v>1.55</v>
          </cell>
        </row>
        <row r="47">
          <cell r="J47">
            <v>5.28</v>
          </cell>
        </row>
        <row r="48">
          <cell r="J48">
            <v>1.8</v>
          </cell>
        </row>
        <row r="49">
          <cell r="J49">
            <v>0.83</v>
          </cell>
        </row>
        <row r="50">
          <cell r="J50">
            <v>4.04</v>
          </cell>
        </row>
        <row r="51">
          <cell r="J51">
            <v>0.87</v>
          </cell>
        </row>
        <row r="52">
          <cell r="J52">
            <v>1.86</v>
          </cell>
        </row>
        <row r="53">
          <cell r="J53">
            <v>1.68</v>
          </cell>
        </row>
        <row r="54">
          <cell r="J54">
            <v>5.35</v>
          </cell>
        </row>
        <row r="55">
          <cell r="J55">
            <v>1.31</v>
          </cell>
        </row>
        <row r="56">
          <cell r="J56">
            <v>2.09</v>
          </cell>
        </row>
        <row r="57">
          <cell r="J57">
            <v>0.57999999999999996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B4">
            <v>9.1354726579609066E-2</v>
          </cell>
        </row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>
        <row r="29">
          <cell r="E29">
            <v>0.2185</v>
          </cell>
          <cell r="G29">
            <v>4.7399999999999998E-2</v>
          </cell>
        </row>
      </sheetData>
      <sheetData sheetId="14">
        <row r="31">
          <cell r="C31">
            <v>7.5999999999999998E-2</v>
          </cell>
        </row>
      </sheetData>
      <sheetData sheetId="15">
        <row r="21">
          <cell r="C21">
            <v>0.44</v>
          </cell>
        </row>
      </sheetData>
      <sheetData sheetId="16">
        <row r="16">
          <cell r="D16">
            <v>1.4507000000000001E-2</v>
          </cell>
          <cell r="E16">
            <v>9.528E-3</v>
          </cell>
          <cell r="F16">
            <v>1.1266999999999999E-2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</sheetData>
      <sheetData sheetId="2"/>
      <sheetData sheetId="3">
        <row r="5">
          <cell r="D5" t="str">
            <v>PUGET SOUND ENERGY-ELECTRIC</v>
          </cell>
        </row>
        <row r="22">
          <cell r="C22">
            <v>33471288</v>
          </cell>
        </row>
      </sheetData>
      <sheetData sheetId="4">
        <row r="4">
          <cell r="E4" t="str">
            <v>Common Adj 01</v>
          </cell>
        </row>
      </sheetData>
      <sheetData sheetId="5">
        <row r="4">
          <cell r="E4" t="str">
            <v>Electric Adj 01 Pg. 1 of 2</v>
          </cell>
        </row>
      </sheetData>
      <sheetData sheetId="6">
        <row r="9">
          <cell r="N9">
            <v>1</v>
          </cell>
        </row>
      </sheetData>
      <sheetData sheetId="7">
        <row r="1">
          <cell r="A1" t="str">
            <v>Exhibit A-1 Power Cost Baseline Rate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</row>
      </sheetData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6">
          <cell r="P36">
            <v>368045.83817964466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1">
          <cell r="M61">
            <v>2118.555096163197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Base)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JAP-22 Combined Charges"/>
      <sheetName val="JAP-22 Capital Charge"/>
      <sheetName val="JAP-22 O&amp;M Charge"/>
      <sheetName val="JAP-22 Customer Charge"/>
      <sheetName val="JAP-22 Demand Charge"/>
      <sheetName val="JAP-22 Energy Charge"/>
      <sheetName val="JAP-21 Unitized Lighting Costs"/>
      <sheetName val="JAP-20 Classification of Costs"/>
      <sheetName val="WP20 Facilities Charge Calc."/>
      <sheetName val="WP 19 Pole Cost Estimates Calc"/>
      <sheetName val="WP 18 Cost Allocations"/>
      <sheetName val="WP17 Pole Cost Estim. Raw"/>
      <sheetName val="WP16 ECOS AccountAlloc"/>
      <sheetName val="WP12 Accounts"/>
      <sheetName val="WP15 ECOS Summary"/>
      <sheetName val="WP14 ECOS Exp. Detail"/>
      <sheetName val="WP13 ECOS Rtbs Det."/>
      <sheetName val="WP11 Rate Spread Lightin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1 Lighting Invetory"/>
      <sheetName val="WP2 Lighting Rates"/>
      <sheetName val="WP3 Customer Counts"/>
    </sheetNames>
    <sheetDataSet>
      <sheetData sheetId="0">
        <row r="12">
          <cell r="E12">
            <v>481.44000000000005</v>
          </cell>
        </row>
        <row r="13">
          <cell r="E13">
            <v>6334.44</v>
          </cell>
        </row>
        <row r="14">
          <cell r="E14">
            <v>8890.68</v>
          </cell>
        </row>
        <row r="15">
          <cell r="E15">
            <v>40090.439999999988</v>
          </cell>
        </row>
        <row r="16">
          <cell r="E16">
            <v>116567.72255999999</v>
          </cell>
        </row>
        <row r="17">
          <cell r="E17">
            <v>1532800.8278399999</v>
          </cell>
        </row>
        <row r="18">
          <cell r="E18">
            <v>1059332.52</v>
          </cell>
        </row>
        <row r="19">
          <cell r="E19">
            <v>12400187.040000001</v>
          </cell>
        </row>
        <row r="20">
          <cell r="E20">
            <v>716241.8</v>
          </cell>
        </row>
        <row r="21">
          <cell r="E21">
            <v>1012563.8400000001</v>
          </cell>
        </row>
        <row r="22">
          <cell r="E22">
            <v>610635.14819999994</v>
          </cell>
        </row>
        <row r="23">
          <cell r="E23">
            <v>399251.51999999996</v>
          </cell>
        </row>
        <row r="24">
          <cell r="E24">
            <v>50310.12</v>
          </cell>
        </row>
        <row r="25">
          <cell r="E25">
            <v>54171</v>
          </cell>
        </row>
      </sheetData>
      <sheetData sheetId="1"/>
      <sheetData sheetId="2"/>
      <sheetData sheetId="3"/>
      <sheetData sheetId="4"/>
      <sheetData sheetId="5">
        <row r="11">
          <cell r="F11">
            <v>1.486E-2</v>
          </cell>
        </row>
        <row r="12">
          <cell r="F12">
            <v>2.32E-3</v>
          </cell>
        </row>
        <row r="15">
          <cell r="F15">
            <v>1.486E-2</v>
          </cell>
        </row>
        <row r="16">
          <cell r="F16">
            <v>2.32E-3</v>
          </cell>
        </row>
      </sheetData>
      <sheetData sheetId="6"/>
      <sheetData sheetId="7"/>
      <sheetData sheetId="8"/>
      <sheetData sheetId="9">
        <row r="11">
          <cell r="G11">
            <v>3.9269999999999999E-2</v>
          </cell>
        </row>
      </sheetData>
      <sheetData sheetId="10"/>
      <sheetData sheetId="11"/>
      <sheetData sheetId="12">
        <row r="10">
          <cell r="J10">
            <v>0.68</v>
          </cell>
        </row>
        <row r="12">
          <cell r="J12">
            <v>5.19</v>
          </cell>
        </row>
        <row r="13">
          <cell r="J13">
            <v>7.5</v>
          </cell>
        </row>
        <row r="14">
          <cell r="J14">
            <v>14.45</v>
          </cell>
        </row>
        <row r="15">
          <cell r="J15">
            <v>3.09</v>
          </cell>
        </row>
        <row r="16">
          <cell r="J16">
            <v>5.4</v>
          </cell>
        </row>
        <row r="17">
          <cell r="J17">
            <v>12.35</v>
          </cell>
        </row>
        <row r="18">
          <cell r="J18">
            <v>21.61</v>
          </cell>
        </row>
        <row r="21">
          <cell r="J21">
            <v>1.39</v>
          </cell>
        </row>
        <row r="22">
          <cell r="J22">
            <v>2.3199999999999998</v>
          </cell>
        </row>
        <row r="23">
          <cell r="J23">
            <v>3.24</v>
          </cell>
        </row>
        <row r="24">
          <cell r="J24">
            <v>4.17</v>
          </cell>
        </row>
        <row r="25">
          <cell r="J25">
            <v>5.09</v>
          </cell>
        </row>
        <row r="26">
          <cell r="J26">
            <v>6.02</v>
          </cell>
        </row>
        <row r="27">
          <cell r="J27">
            <v>6.95</v>
          </cell>
        </row>
        <row r="28">
          <cell r="J28">
            <v>7.87</v>
          </cell>
        </row>
        <row r="29">
          <cell r="J29">
            <v>8.8000000000000007</v>
          </cell>
        </row>
        <row r="32">
          <cell r="J32">
            <v>1.54</v>
          </cell>
        </row>
        <row r="33">
          <cell r="J33">
            <v>2.16</v>
          </cell>
        </row>
        <row r="34">
          <cell r="J34">
            <v>3.09</v>
          </cell>
        </row>
        <row r="35">
          <cell r="J35">
            <v>4.63</v>
          </cell>
        </row>
        <row r="36">
          <cell r="J36">
            <v>6.17</v>
          </cell>
        </row>
        <row r="37">
          <cell r="J37">
            <v>7.72</v>
          </cell>
        </row>
        <row r="38">
          <cell r="J38">
            <v>9.57</v>
          </cell>
        </row>
        <row r="39">
          <cell r="J39">
            <v>12.35</v>
          </cell>
        </row>
        <row r="41">
          <cell r="J41">
            <v>2.16</v>
          </cell>
        </row>
        <row r="42">
          <cell r="J42">
            <v>3.09</v>
          </cell>
        </row>
        <row r="43">
          <cell r="J43">
            <v>4.63</v>
          </cell>
        </row>
        <row r="44">
          <cell r="J44">
            <v>5.4</v>
          </cell>
        </row>
        <row r="45">
          <cell r="J45">
            <v>7.72</v>
          </cell>
        </row>
        <row r="46">
          <cell r="J46">
            <v>12.35</v>
          </cell>
        </row>
        <row r="47">
          <cell r="J47">
            <v>30.87</v>
          </cell>
        </row>
        <row r="50">
          <cell r="J50">
            <v>10.43</v>
          </cell>
        </row>
        <row r="51">
          <cell r="J51">
            <v>11.21</v>
          </cell>
        </row>
        <row r="52">
          <cell r="J52">
            <v>12.37</v>
          </cell>
        </row>
        <row r="53">
          <cell r="J53">
            <v>14.32</v>
          </cell>
        </row>
        <row r="54">
          <cell r="J54">
            <v>16.27</v>
          </cell>
        </row>
        <row r="55">
          <cell r="J55">
            <v>18.22</v>
          </cell>
        </row>
        <row r="56">
          <cell r="J56">
            <v>20.55</v>
          </cell>
        </row>
        <row r="57">
          <cell r="J57">
            <v>24.06</v>
          </cell>
        </row>
        <row r="58">
          <cell r="J58">
            <v>47.42</v>
          </cell>
        </row>
        <row r="60">
          <cell r="J60">
            <v>13.86</v>
          </cell>
        </row>
        <row r="61">
          <cell r="J61">
            <v>15.1</v>
          </cell>
        </row>
        <row r="62">
          <cell r="J62">
            <v>17.170000000000002</v>
          </cell>
        </row>
        <row r="63">
          <cell r="J63">
            <v>21.3</v>
          </cell>
        </row>
        <row r="64">
          <cell r="J64">
            <v>27.49</v>
          </cell>
        </row>
        <row r="66">
          <cell r="J66">
            <v>11.86</v>
          </cell>
        </row>
        <row r="67">
          <cell r="J67">
            <v>12.96</v>
          </cell>
        </row>
        <row r="68">
          <cell r="J68">
            <v>14.05</v>
          </cell>
        </row>
        <row r="69">
          <cell r="J69">
            <v>15.15</v>
          </cell>
        </row>
        <row r="70">
          <cell r="J70">
            <v>16.25</v>
          </cell>
        </row>
        <row r="71">
          <cell r="J71">
            <v>17.34</v>
          </cell>
        </row>
        <row r="72">
          <cell r="J72">
            <v>18.440000000000001</v>
          </cell>
        </row>
        <row r="73">
          <cell r="J73">
            <v>19.54</v>
          </cell>
        </row>
        <row r="74">
          <cell r="J74">
            <v>20.63</v>
          </cell>
        </row>
        <row r="76">
          <cell r="J76">
            <v>3.64</v>
          </cell>
        </row>
        <row r="77">
          <cell r="J77">
            <v>4.26</v>
          </cell>
        </row>
        <row r="78">
          <cell r="J78">
            <v>5.19</v>
          </cell>
        </row>
        <row r="79">
          <cell r="J79">
            <v>6.73</v>
          </cell>
        </row>
        <row r="80">
          <cell r="J80">
            <v>8.27</v>
          </cell>
        </row>
        <row r="81">
          <cell r="J81">
            <v>9.82</v>
          </cell>
        </row>
        <row r="82">
          <cell r="J82">
            <v>11.67</v>
          </cell>
        </row>
        <row r="83">
          <cell r="J83">
            <v>14.45</v>
          </cell>
        </row>
        <row r="84">
          <cell r="J84">
            <v>32.97</v>
          </cell>
        </row>
        <row r="86">
          <cell r="J86">
            <v>6.36</v>
          </cell>
        </row>
        <row r="87">
          <cell r="J87">
            <v>7.28</v>
          </cell>
        </row>
        <row r="88">
          <cell r="J88">
            <v>8.83</v>
          </cell>
        </row>
        <row r="89">
          <cell r="J89">
            <v>9.6</v>
          </cell>
        </row>
        <row r="90">
          <cell r="J90">
            <v>11.91</v>
          </cell>
        </row>
        <row r="91">
          <cell r="J91">
            <v>16.55</v>
          </cell>
        </row>
        <row r="93">
          <cell r="J93">
            <v>1.81</v>
          </cell>
        </row>
        <row r="94">
          <cell r="J94">
            <v>2.74</v>
          </cell>
        </row>
        <row r="95">
          <cell r="J95">
            <v>3.66</v>
          </cell>
        </row>
        <row r="96">
          <cell r="J96">
            <v>4.59</v>
          </cell>
        </row>
        <row r="97">
          <cell r="J97">
            <v>5.51</v>
          </cell>
        </row>
        <row r="98">
          <cell r="J98">
            <v>6.44</v>
          </cell>
        </row>
        <row r="99">
          <cell r="J99">
            <v>7.37</v>
          </cell>
        </row>
        <row r="100">
          <cell r="J100">
            <v>8.2899999999999991</v>
          </cell>
        </row>
        <row r="101">
          <cell r="J101">
            <v>9.2200000000000006</v>
          </cell>
        </row>
        <row r="104">
          <cell r="J104">
            <v>1.54</v>
          </cell>
        </row>
        <row r="105">
          <cell r="J105">
            <v>2.16</v>
          </cell>
        </row>
        <row r="106">
          <cell r="J106">
            <v>3.09</v>
          </cell>
        </row>
        <row r="107">
          <cell r="J107">
            <v>4.63</v>
          </cell>
        </row>
        <row r="108">
          <cell r="J108">
            <v>6.17</v>
          </cell>
        </row>
        <row r="109">
          <cell r="J109">
            <v>7.72</v>
          </cell>
        </row>
        <row r="110">
          <cell r="J110">
            <v>9.57</v>
          </cell>
        </row>
        <row r="111">
          <cell r="J111">
            <v>12.35</v>
          </cell>
        </row>
        <row r="112">
          <cell r="J112">
            <v>30.87</v>
          </cell>
        </row>
        <row r="115">
          <cell r="J115">
            <v>1.39</v>
          </cell>
        </row>
        <row r="116">
          <cell r="J116">
            <v>2.3199999999999998</v>
          </cell>
        </row>
        <row r="117">
          <cell r="J117">
            <v>3.24</v>
          </cell>
        </row>
        <row r="118">
          <cell r="J118">
            <v>4.17</v>
          </cell>
        </row>
        <row r="119">
          <cell r="J119">
            <v>5.09</v>
          </cell>
        </row>
        <row r="120">
          <cell r="J120">
            <v>6.02</v>
          </cell>
        </row>
        <row r="121">
          <cell r="J121">
            <v>6.95</v>
          </cell>
        </row>
        <row r="122">
          <cell r="J122">
            <v>7.87</v>
          </cell>
        </row>
        <row r="123">
          <cell r="J123">
            <v>8.8000000000000007</v>
          </cell>
        </row>
        <row r="126">
          <cell r="J126">
            <v>11.24</v>
          </cell>
        </row>
        <row r="127">
          <cell r="J127">
            <v>12.42</v>
          </cell>
        </row>
        <row r="128">
          <cell r="J128">
            <v>14.38</v>
          </cell>
        </row>
        <row r="129">
          <cell r="J129">
            <v>16.350000000000001</v>
          </cell>
        </row>
        <row r="130">
          <cell r="J130">
            <v>18.32</v>
          </cell>
        </row>
        <row r="131">
          <cell r="J131">
            <v>24.22</v>
          </cell>
        </row>
        <row r="133">
          <cell r="J133">
            <v>21.4</v>
          </cell>
        </row>
        <row r="135">
          <cell r="J135">
            <v>11.88</v>
          </cell>
        </row>
        <row r="136">
          <cell r="J136">
            <v>12.99</v>
          </cell>
        </row>
        <row r="137">
          <cell r="J137">
            <v>14.1</v>
          </cell>
        </row>
        <row r="138">
          <cell r="J138">
            <v>15.21</v>
          </cell>
        </row>
        <row r="139">
          <cell r="J139">
            <v>16.32</v>
          </cell>
        </row>
        <row r="140">
          <cell r="J140">
            <v>17.420000000000002</v>
          </cell>
        </row>
        <row r="141">
          <cell r="J141">
            <v>18.53</v>
          </cell>
        </row>
        <row r="142">
          <cell r="J142">
            <v>19.64</v>
          </cell>
        </row>
        <row r="143">
          <cell r="J143">
            <v>20.75</v>
          </cell>
        </row>
        <row r="146">
          <cell r="J146">
            <v>11.24</v>
          </cell>
        </row>
        <row r="147">
          <cell r="J147">
            <v>12.42</v>
          </cell>
        </row>
        <row r="148">
          <cell r="J148">
            <v>14.38</v>
          </cell>
        </row>
        <row r="149">
          <cell r="J149">
            <v>16.350000000000001</v>
          </cell>
        </row>
        <row r="150">
          <cell r="J150">
            <v>18.32</v>
          </cell>
        </row>
        <row r="151">
          <cell r="J151">
            <v>24.22</v>
          </cell>
        </row>
        <row r="153">
          <cell r="J153">
            <v>12.42</v>
          </cell>
        </row>
        <row r="154">
          <cell r="J154">
            <v>14.38</v>
          </cell>
        </row>
        <row r="155">
          <cell r="J155">
            <v>16.350000000000001</v>
          </cell>
        </row>
        <row r="156">
          <cell r="J156">
            <v>18.32</v>
          </cell>
        </row>
        <row r="157">
          <cell r="J157">
            <v>24.22</v>
          </cell>
        </row>
        <row r="159">
          <cell r="J159">
            <v>18.27</v>
          </cell>
        </row>
        <row r="160">
          <cell r="J160">
            <v>21.4</v>
          </cell>
        </row>
        <row r="161">
          <cell r="J161">
            <v>27.65</v>
          </cell>
        </row>
        <row r="162">
          <cell r="J162">
            <v>52.67</v>
          </cell>
        </row>
        <row r="164">
          <cell r="J164">
            <v>21.4</v>
          </cell>
        </row>
        <row r="165">
          <cell r="J165">
            <v>27.65</v>
          </cell>
        </row>
        <row r="168">
          <cell r="J168">
            <v>11.88</v>
          </cell>
        </row>
        <row r="169">
          <cell r="J169">
            <v>12.99</v>
          </cell>
        </row>
        <row r="170">
          <cell r="J170">
            <v>14.1</v>
          </cell>
        </row>
        <row r="171">
          <cell r="J171">
            <v>15.21</v>
          </cell>
        </row>
        <row r="172">
          <cell r="J172">
            <v>16.32</v>
          </cell>
        </row>
        <row r="173">
          <cell r="J173">
            <v>17.420000000000002</v>
          </cell>
        </row>
        <row r="174">
          <cell r="J174">
            <v>18.53</v>
          </cell>
        </row>
        <row r="175">
          <cell r="J175">
            <v>19.64</v>
          </cell>
        </row>
        <row r="176">
          <cell r="J176">
            <v>20.75</v>
          </cell>
        </row>
        <row r="177">
          <cell r="J177">
            <v>23.16</v>
          </cell>
        </row>
        <row r="178">
          <cell r="J178">
            <v>26.85</v>
          </cell>
        </row>
        <row r="179">
          <cell r="J179">
            <v>30.55</v>
          </cell>
        </row>
        <row r="180">
          <cell r="J180">
            <v>34.25</v>
          </cell>
        </row>
        <row r="181">
          <cell r="J181">
            <v>37.950000000000003</v>
          </cell>
        </row>
        <row r="182">
          <cell r="J182">
            <v>41.64</v>
          </cell>
        </row>
        <row r="188">
          <cell r="J188">
            <v>5.93</v>
          </cell>
        </row>
        <row r="189">
          <cell r="J189">
            <v>9.75</v>
          </cell>
        </row>
        <row r="191">
          <cell r="J191">
            <v>9.75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43" workbookViewId="0"/>
  </sheetViews>
  <sheetFormatPr defaultRowHeight="15.6"/>
  <cols>
    <col min="1" max="16384" width="8.796875" style="322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G78"/>
  <sheetViews>
    <sheetView zoomScaleNormal="100" zoomScaleSheetLayoutView="80" workbookViewId="0">
      <pane ySplit="10" topLeftCell="A26" activePane="bottomLeft" state="frozen"/>
      <selection pane="bottomLeft" activeCell="L56" sqref="L56"/>
    </sheetView>
  </sheetViews>
  <sheetFormatPr defaultColWidth="10.19921875" defaultRowHeight="15.6"/>
  <cols>
    <col min="1" max="1" width="31.3984375" style="64" bestFit="1" customWidth="1"/>
    <col min="2" max="2" width="1.3984375" style="64" bestFit="1" customWidth="1"/>
    <col min="3" max="3" width="13.19921875" style="64" bestFit="1" customWidth="1"/>
    <col min="4" max="4" width="10.796875" style="64" bestFit="1" customWidth="1"/>
    <col min="5" max="5" width="2" style="64" bestFit="1" customWidth="1"/>
    <col min="6" max="6" width="12.59765625" style="64" bestFit="1" customWidth="1"/>
    <col min="7" max="7" width="10.796875" style="64" bestFit="1" customWidth="1"/>
    <col min="8" max="8" width="2" style="64" bestFit="1" customWidth="1"/>
    <col min="9" max="9" width="16.09765625" style="64" customWidth="1"/>
    <col min="10" max="10" width="1.59765625" style="64" customWidth="1"/>
    <col min="11" max="11" width="23.8984375" style="64" bestFit="1" customWidth="1"/>
    <col min="12" max="12" width="12.59765625" style="70" bestFit="1" customWidth="1"/>
    <col min="13" max="13" width="12.09765625" style="70" bestFit="1" customWidth="1"/>
    <col min="14" max="14" width="7.09765625" style="70" bestFit="1" customWidth="1"/>
    <col min="15" max="15" width="7.09765625" style="64" bestFit="1" customWidth="1"/>
    <col min="16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33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508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3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3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3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3">
      <c r="A5" s="67" t="s">
        <v>130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3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3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3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3">
      <c r="A9" s="71"/>
      <c r="B9" s="71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3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3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33">
      <c r="A12" s="139" t="s">
        <v>129</v>
      </c>
      <c r="B12" s="91"/>
      <c r="C12" s="125"/>
      <c r="D12" s="80"/>
      <c r="E12" s="91"/>
      <c r="F12" s="91"/>
      <c r="G12" s="80"/>
      <c r="H12" s="91"/>
      <c r="I12" s="80" t="s">
        <v>0</v>
      </c>
      <c r="J12" s="80"/>
      <c r="L12" s="64"/>
      <c r="M12" s="64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33">
      <c r="A13" s="140" t="s">
        <v>131</v>
      </c>
      <c r="B13" s="91"/>
      <c r="C13" s="91" t="s">
        <v>0</v>
      </c>
      <c r="D13" s="80"/>
      <c r="E13" s="91"/>
      <c r="F13" s="91"/>
      <c r="G13" s="80"/>
      <c r="H13" s="91"/>
      <c r="I13" s="91"/>
      <c r="J13" s="91"/>
      <c r="L13" s="64"/>
      <c r="M13" s="64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33">
      <c r="A14" s="111"/>
      <c r="B14" s="91"/>
      <c r="C14" s="91"/>
      <c r="D14" s="80"/>
      <c r="E14" s="91"/>
      <c r="F14" s="91"/>
      <c r="G14" s="80"/>
      <c r="H14" s="91"/>
      <c r="I14" s="91"/>
      <c r="J14" s="91"/>
      <c r="K14" s="39"/>
      <c r="L14" s="63"/>
      <c r="M14" s="63"/>
      <c r="N14" s="63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33">
      <c r="A15" s="111" t="s">
        <v>44</v>
      </c>
      <c r="B15" s="91"/>
      <c r="C15" s="109">
        <f>'[1]Tariff 31'!$D$8</f>
        <v>5854</v>
      </c>
      <c r="D15" s="148">
        <f>'Exhibit No.__(JAP-Tariff)'!E70</f>
        <v>339.51</v>
      </c>
      <c r="E15" s="111"/>
      <c r="F15" s="115">
        <f>ROUND(D15*$C15,0)</f>
        <v>1987492</v>
      </c>
      <c r="G15" s="148">
        <f ca="1">ROUND(D15*(1+$M$31),2)</f>
        <v>343.66</v>
      </c>
      <c r="H15" s="111"/>
      <c r="I15" s="115">
        <f ca="1">ROUND(G15*$C15,0)</f>
        <v>2011786</v>
      </c>
      <c r="J15" s="115"/>
      <c r="K15" s="521" t="s">
        <v>94</v>
      </c>
      <c r="L15" s="521"/>
      <c r="M15" s="521"/>
      <c r="N15" s="63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33">
      <c r="A16" s="111" t="s">
        <v>47</v>
      </c>
      <c r="B16" s="91"/>
      <c r="C16" s="109"/>
      <c r="D16" s="126"/>
      <c r="E16" s="115"/>
      <c r="F16" s="115"/>
      <c r="G16" s="126"/>
      <c r="H16" s="115"/>
      <c r="I16" s="115"/>
      <c r="J16" s="115"/>
      <c r="K16" s="39"/>
      <c r="L16" s="63"/>
      <c r="M16" s="63"/>
      <c r="N16" s="63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>
      <c r="A17" s="142" t="s">
        <v>53</v>
      </c>
      <c r="B17" s="91"/>
      <c r="C17" s="109">
        <f>SUM('[1]Tariff 31'!$D$11:$D$12)</f>
        <v>1298591685</v>
      </c>
      <c r="D17" s="150">
        <f>'Exhibit No.__(JAP-Tariff)'!E72</f>
        <v>5.4346999999999999E-2</v>
      </c>
      <c r="E17" s="115"/>
      <c r="F17" s="115">
        <f t="shared" ref="F17" si="0">ROUND($C17*D17,0)</f>
        <v>70574562</v>
      </c>
      <c r="G17" s="334">
        <f ca="1">ROUND(D17*(1+$M$31),6)+L33</f>
        <v>5.5014E-2</v>
      </c>
      <c r="H17" s="115"/>
      <c r="I17" s="115">
        <f t="shared" ref="I17" ca="1" si="1">ROUND($C17*G17,0)</f>
        <v>71440723</v>
      </c>
      <c r="J17" s="115"/>
      <c r="K17" s="521" t="s">
        <v>134</v>
      </c>
      <c r="L17" s="521"/>
      <c r="M17" s="521"/>
      <c r="N17" s="63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>
      <c r="A18" s="143" t="s">
        <v>37</v>
      </c>
      <c r="B18" s="91"/>
      <c r="C18" s="151">
        <f>SUM(C17:C17)</f>
        <v>1298591685</v>
      </c>
      <c r="D18" s="114"/>
      <c r="E18" s="111"/>
      <c r="F18" s="132">
        <f>SUM(F17:F17)</f>
        <v>70574562</v>
      </c>
      <c r="G18" s="114"/>
      <c r="H18" s="111"/>
      <c r="I18" s="132">
        <f ca="1">SUM(I17:I17)</f>
        <v>71440723</v>
      </c>
      <c r="J18" s="80"/>
      <c r="K18" s="39"/>
      <c r="L18" s="63"/>
      <c r="M18" s="63"/>
      <c r="N18" s="63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>
      <c r="A19" s="142" t="s">
        <v>84</v>
      </c>
      <c r="B19" s="91"/>
      <c r="C19" s="109">
        <f>'[1]Tariff 31'!$D$14</f>
        <v>957232.70373482059</v>
      </c>
      <c r="D19" s="150">
        <f>D17</f>
        <v>5.4346999999999999E-2</v>
      </c>
      <c r="E19" s="111"/>
      <c r="F19" s="115">
        <f t="shared" ref="F19:F20" si="2">ROUND($C19*D19,0)</f>
        <v>52023</v>
      </c>
      <c r="G19" s="150">
        <f ca="1">G17</f>
        <v>5.5014E-2</v>
      </c>
      <c r="H19" s="111"/>
      <c r="I19" s="115">
        <f t="shared" ref="I19:I20" ca="1" si="3">ROUND($C19*G19,0)</f>
        <v>52661</v>
      </c>
      <c r="J19" s="80"/>
      <c r="K19" s="153"/>
      <c r="L19" s="63"/>
      <c r="M19" s="63"/>
      <c r="N19" s="63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>
      <c r="A20" s="141" t="s">
        <v>86</v>
      </c>
      <c r="B20" s="91"/>
      <c r="C20" s="89">
        <f>'[1]Tariff 31'!$D$13</f>
        <v>-15147343.245038178</v>
      </c>
      <c r="D20" s="150">
        <f>ROUND(SUM(F15,F18:F19,F25,F27)/SUM(C18:C19),6)</f>
        <v>8.0107999999999999E-2</v>
      </c>
      <c r="E20" s="84"/>
      <c r="F20" s="115">
        <f t="shared" si="2"/>
        <v>-1213423</v>
      </c>
      <c r="G20" s="150">
        <f ca="1">ROUND(D20*(1+$M$31),6)</f>
        <v>8.1087999999999993E-2</v>
      </c>
      <c r="H20" s="84"/>
      <c r="I20" s="115">
        <f t="shared" ca="1" si="3"/>
        <v>-1228268</v>
      </c>
      <c r="J20" s="83"/>
      <c r="K20" s="521" t="s">
        <v>94</v>
      </c>
      <c r="L20" s="521"/>
      <c r="M20" s="521"/>
    </row>
    <row r="21" spans="1:26">
      <c r="A21" s="143" t="s">
        <v>37</v>
      </c>
      <c r="B21" s="91"/>
      <c r="C21" s="151">
        <f>SUM(C18:C20)</f>
        <v>1284401574.4586966</v>
      </c>
      <c r="D21" s="84"/>
      <c r="E21" s="84"/>
      <c r="F21" s="132">
        <f>SUM(F18:F20)</f>
        <v>69413162</v>
      </c>
      <c r="G21" s="84"/>
      <c r="H21" s="84"/>
      <c r="I21" s="132">
        <f ca="1">SUM(I18:I20)</f>
        <v>70265116</v>
      </c>
      <c r="J21" s="83"/>
      <c r="K21" s="153"/>
      <c r="L21" s="63"/>
      <c r="M21" s="63"/>
    </row>
    <row r="22" spans="1:26">
      <c r="A22" s="84" t="s">
        <v>46</v>
      </c>
      <c r="B22" s="91"/>
      <c r="C22" s="109"/>
      <c r="D22" s="102"/>
      <c r="E22" s="111"/>
      <c r="F22" s="115"/>
      <c r="G22" s="102"/>
      <c r="H22" s="111"/>
      <c r="I22" s="115"/>
      <c r="J22" s="115"/>
      <c r="K22" s="153"/>
      <c r="L22" s="95"/>
      <c r="M22" s="63"/>
    </row>
    <row r="23" spans="1:26">
      <c r="A23" s="142" t="s">
        <v>108</v>
      </c>
      <c r="B23" s="91"/>
      <c r="C23" s="109">
        <f>SUM('[1]Tariff 31'!$D$18:$D$19)</f>
        <v>1595334</v>
      </c>
      <c r="D23" s="148">
        <f>'Exhibit No.__(JAP-Tariff)'!E74</f>
        <v>11.32</v>
      </c>
      <c r="E23" s="111"/>
      <c r="F23" s="115">
        <f>ROUND(D23*$C23,0)</f>
        <v>18059181</v>
      </c>
      <c r="G23" s="148">
        <f ca="1">ROUND(D23*(1+$M$31),2)</f>
        <v>11.46</v>
      </c>
      <c r="H23" s="111"/>
      <c r="I23" s="115">
        <f ca="1">ROUND(G23*$C23,0)</f>
        <v>18282528</v>
      </c>
      <c r="J23" s="115"/>
      <c r="K23" s="521" t="s">
        <v>94</v>
      </c>
      <c r="L23" s="521"/>
      <c r="M23" s="521"/>
      <c r="N23" s="64"/>
    </row>
    <row r="24" spans="1:26">
      <c r="A24" s="142" t="s">
        <v>109</v>
      </c>
      <c r="B24" s="91"/>
      <c r="C24" s="109">
        <f>SUM('[1]Tariff 31'!$D$20:$D$21)</f>
        <v>1682286</v>
      </c>
      <c r="D24" s="148">
        <f>'Exhibit No.__(JAP-Tariff)'!E75</f>
        <v>7.55</v>
      </c>
      <c r="E24" s="111"/>
      <c r="F24" s="115">
        <f>ROUND(D24*$C24,0)</f>
        <v>12701259</v>
      </c>
      <c r="G24" s="148">
        <f ca="1">ROUND(D24*(1+$M$31),2)</f>
        <v>7.64</v>
      </c>
      <c r="H24" s="111"/>
      <c r="I24" s="115">
        <f ca="1">ROUND(G24*$C24,0)</f>
        <v>12852665</v>
      </c>
      <c r="J24" s="115"/>
      <c r="K24" s="521" t="s">
        <v>94</v>
      </c>
      <c r="L24" s="521"/>
      <c r="M24" s="521"/>
      <c r="N24" s="64"/>
    </row>
    <row r="25" spans="1:26">
      <c r="A25" s="143" t="s">
        <v>37</v>
      </c>
      <c r="B25" s="91"/>
      <c r="C25" s="151">
        <f>SUM(C23:C24)</f>
        <v>3277620</v>
      </c>
      <c r="D25" s="102"/>
      <c r="E25" s="111"/>
      <c r="F25" s="152">
        <f>SUM(F23:F24)</f>
        <v>30760440</v>
      </c>
      <c r="G25" s="102"/>
      <c r="H25" s="111"/>
      <c r="I25" s="152">
        <f ca="1">SUM(I23:I24)</f>
        <v>31135193</v>
      </c>
      <c r="J25" s="115"/>
      <c r="K25" s="153"/>
      <c r="L25" s="63"/>
      <c r="M25" s="63"/>
    </row>
    <row r="26" spans="1:26">
      <c r="A26" s="91"/>
      <c r="B26" s="91"/>
      <c r="C26" s="89"/>
      <c r="D26" s="89"/>
      <c r="E26" s="84"/>
      <c r="F26" s="83"/>
      <c r="G26" s="89"/>
      <c r="H26" s="84"/>
      <c r="I26" s="83"/>
      <c r="J26" s="83"/>
      <c r="K26" s="153"/>
      <c r="L26" s="63"/>
      <c r="M26" s="63"/>
    </row>
    <row r="27" spans="1:26">
      <c r="A27" s="91" t="s">
        <v>104</v>
      </c>
      <c r="B27" s="91"/>
      <c r="C27" s="109">
        <f>'[1]Tariff 31'!$D$26</f>
        <v>688319083</v>
      </c>
      <c r="D27" s="149">
        <f>'Exhibit No.__(JAP-Tariff)'!E77</f>
        <v>1.06E-3</v>
      </c>
      <c r="E27" s="111"/>
      <c r="F27" s="115">
        <f>ROUND(D27*$C27,0)</f>
        <v>729618</v>
      </c>
      <c r="G27" s="149">
        <f ca="1">ROUND(D27*(1+$M$31),5)</f>
        <v>1.07E-3</v>
      </c>
      <c r="H27" s="111"/>
      <c r="I27" s="115">
        <f ca="1">ROUND(G27*$C27,0)</f>
        <v>736501</v>
      </c>
      <c r="J27" s="83"/>
      <c r="K27" s="521" t="s">
        <v>94</v>
      </c>
      <c r="L27" s="521"/>
      <c r="M27" s="521"/>
    </row>
    <row r="28" spans="1:26">
      <c r="A28" s="91"/>
      <c r="B28" s="91"/>
      <c r="C28" s="89"/>
      <c r="D28" s="89"/>
      <c r="E28" s="84"/>
      <c r="F28" s="83"/>
      <c r="G28" s="89"/>
      <c r="H28" s="84"/>
      <c r="I28" s="83"/>
      <c r="J28" s="83"/>
      <c r="K28" s="96"/>
      <c r="L28" s="95"/>
      <c r="M28" s="63"/>
    </row>
    <row r="29" spans="1:26" ht="16.2" thickBot="1">
      <c r="A29" s="91" t="s">
        <v>41</v>
      </c>
      <c r="B29" s="91"/>
      <c r="C29" s="89"/>
      <c r="D29" s="89"/>
      <c r="E29" s="84"/>
      <c r="F29" s="118">
        <f>SUM(F15,F21,F25,F27)</f>
        <v>102890712</v>
      </c>
      <c r="G29" s="89"/>
      <c r="H29" s="84"/>
      <c r="I29" s="118">
        <f ca="1">SUM(I15,I21,I25,I27)</f>
        <v>104148596</v>
      </c>
      <c r="J29" s="112"/>
      <c r="K29" s="96"/>
      <c r="L29" s="95"/>
      <c r="M29" s="63"/>
    </row>
    <row r="30" spans="1:26" ht="16.2" thickTop="1">
      <c r="A30" s="91"/>
      <c r="B30" s="127"/>
      <c r="C30" s="89"/>
      <c r="D30" s="89"/>
      <c r="E30" s="91"/>
      <c r="F30" s="80"/>
      <c r="G30" s="89"/>
      <c r="H30" s="91"/>
      <c r="I30" s="80"/>
      <c r="J30" s="80"/>
      <c r="K30" s="96"/>
      <c r="L30" s="95"/>
      <c r="M30" s="63"/>
    </row>
    <row r="31" spans="1:26">
      <c r="A31" s="385" t="s">
        <v>809</v>
      </c>
      <c r="B31" s="82"/>
      <c r="C31" s="384"/>
      <c r="D31" s="445">
        <f>ROUND(SUM(F25)/SUM($C$25),2)</f>
        <v>9.3800000000000008</v>
      </c>
      <c r="E31" s="82"/>
      <c r="F31" s="82"/>
      <c r="G31" s="445">
        <f ca="1">ROUND(SUM(I25)/SUM($C$25),2)</f>
        <v>9.5</v>
      </c>
      <c r="K31" s="154" t="s">
        <v>408</v>
      </c>
      <c r="L31" s="87">
        <f ca="1">'Exhibit No.__(JAP-Rate Spread)'!K17*1000</f>
        <v>104149050.85488769</v>
      </c>
      <c r="M31" s="88">
        <f ca="1">L31/SUM(F29)-1</f>
        <v>1.2229858559902773E-2</v>
      </c>
    </row>
    <row r="32" spans="1:26">
      <c r="B32" s="91"/>
      <c r="C32" s="125"/>
      <c r="D32" s="80"/>
      <c r="E32" s="91"/>
      <c r="F32" s="91"/>
      <c r="G32" s="80"/>
      <c r="H32" s="91"/>
      <c r="I32" s="80" t="s">
        <v>0</v>
      </c>
      <c r="J32" s="80"/>
      <c r="K32" s="92" t="s">
        <v>40</v>
      </c>
      <c r="L32" s="93">
        <f ca="1">L31-I29</f>
        <v>454.85488769412041</v>
      </c>
      <c r="M32" s="129" t="s">
        <v>0</v>
      </c>
    </row>
    <row r="33" spans="1:13">
      <c r="K33" s="401" t="s">
        <v>420</v>
      </c>
      <c r="L33" s="299">
        <v>1.9999999999999999E-6</v>
      </c>
      <c r="M33" s="299">
        <f ca="1">L32/C17</f>
        <v>3.5026782702225635E-7</v>
      </c>
    </row>
    <row r="34" spans="1:13">
      <c r="A34" s="139" t="s">
        <v>132</v>
      </c>
      <c r="B34" s="91"/>
      <c r="C34" s="125"/>
      <c r="D34" s="80"/>
      <c r="E34" s="91"/>
      <c r="F34" s="91"/>
      <c r="G34" s="80"/>
      <c r="H34" s="91"/>
      <c r="I34" s="80" t="s">
        <v>0</v>
      </c>
      <c r="J34" s="80"/>
      <c r="L34" s="64"/>
      <c r="M34" s="64"/>
    </row>
    <row r="35" spans="1:13">
      <c r="A35" s="140" t="s">
        <v>131</v>
      </c>
      <c r="B35" s="91"/>
      <c r="C35" s="91" t="s">
        <v>0</v>
      </c>
      <c r="D35" s="80"/>
      <c r="E35" s="91"/>
      <c r="F35" s="91"/>
      <c r="G35" s="80"/>
      <c r="H35" s="91"/>
      <c r="I35" s="91"/>
      <c r="J35" s="91"/>
      <c r="L35" s="64"/>
      <c r="M35" s="64"/>
    </row>
    <row r="36" spans="1:13">
      <c r="A36" s="111"/>
      <c r="B36" s="91"/>
      <c r="C36" s="91"/>
      <c r="D36" s="80"/>
      <c r="E36" s="91"/>
      <c r="F36" s="91"/>
      <c r="G36" s="80"/>
      <c r="H36" s="91"/>
      <c r="I36" s="91"/>
      <c r="J36" s="91"/>
      <c r="K36" s="39"/>
      <c r="L36" s="63"/>
      <c r="M36" s="63"/>
    </row>
    <row r="37" spans="1:13">
      <c r="A37" s="111" t="s">
        <v>44</v>
      </c>
      <c r="B37" s="91"/>
      <c r="C37" s="109">
        <f>'[1]Tariff 35'!$D$6</f>
        <v>12</v>
      </c>
      <c r="D37" s="148">
        <f>'Exhibit No.__(JAP-Tariff)'!E80</f>
        <v>339.51</v>
      </c>
      <c r="E37" s="111"/>
      <c r="F37" s="115">
        <f>ROUND(D37*$C37,0)</f>
        <v>4074</v>
      </c>
      <c r="G37" s="148">
        <f ca="1">G15</f>
        <v>343.66</v>
      </c>
      <c r="H37" s="111"/>
      <c r="I37" s="115">
        <f ca="1">ROUND(G37*$C37,0)</f>
        <v>4124</v>
      </c>
      <c r="J37" s="115"/>
      <c r="K37" s="521" t="s">
        <v>133</v>
      </c>
      <c r="L37" s="521"/>
      <c r="M37" s="521"/>
    </row>
    <row r="38" spans="1:13">
      <c r="A38" s="111" t="s">
        <v>47</v>
      </c>
      <c r="B38" s="91"/>
      <c r="C38" s="109"/>
      <c r="D38" s="126"/>
      <c r="E38" s="115"/>
      <c r="F38" s="115"/>
      <c r="G38" s="126"/>
      <c r="H38" s="115"/>
      <c r="I38" s="115"/>
      <c r="J38" s="115"/>
      <c r="K38" s="39"/>
      <c r="L38" s="63"/>
      <c r="M38" s="63"/>
    </row>
    <row r="39" spans="1:13">
      <c r="A39" s="142" t="s">
        <v>53</v>
      </c>
      <c r="B39" s="91"/>
      <c r="C39" s="109">
        <f>'[1]Tariff 35'!$D$9</f>
        <v>4443000</v>
      </c>
      <c r="D39" s="150">
        <f>'Exhibit No.__(JAP-Tariff)'!E82</f>
        <v>4.8598000000000002E-2</v>
      </c>
      <c r="E39" s="115"/>
      <c r="F39" s="115">
        <f t="shared" ref="F39" si="4">ROUND($C39*D39,0)</f>
        <v>215921</v>
      </c>
      <c r="G39" s="150">
        <f ca="1">ROUND(D39*(1+$M$54),6)+L56</f>
        <v>4.9973999999999998E-2</v>
      </c>
      <c r="H39" s="115"/>
      <c r="I39" s="115">
        <f t="shared" ref="I39" ca="1" si="5">ROUND($C39*G39,0)</f>
        <v>222034</v>
      </c>
      <c r="J39" s="115"/>
      <c r="K39" s="522" t="s">
        <v>407</v>
      </c>
      <c r="L39" s="521"/>
      <c r="M39" s="521"/>
    </row>
    <row r="40" spans="1:13">
      <c r="A40" s="143" t="s">
        <v>37</v>
      </c>
      <c r="B40" s="91"/>
      <c r="C40" s="151">
        <f>SUM(C39:C39)</f>
        <v>4443000</v>
      </c>
      <c r="D40" s="114"/>
      <c r="E40" s="111"/>
      <c r="F40" s="132">
        <f>SUM(F39:F39)</f>
        <v>215921</v>
      </c>
      <c r="G40" s="114"/>
      <c r="H40" s="111"/>
      <c r="I40" s="132">
        <f ca="1">SUM(I39:I39)</f>
        <v>222034</v>
      </c>
      <c r="J40" s="80"/>
      <c r="K40" s="39"/>
      <c r="L40" s="63"/>
      <c r="M40" s="63"/>
    </row>
    <row r="41" spans="1:13">
      <c r="A41" s="142" t="s">
        <v>84</v>
      </c>
      <c r="B41" s="91"/>
      <c r="C41" s="109">
        <f>'[1]Tariff 35'!$D$11</f>
        <v>0</v>
      </c>
      <c r="D41" s="150">
        <f>D39</f>
        <v>4.8598000000000002E-2</v>
      </c>
      <c r="E41" s="111"/>
      <c r="F41" s="115">
        <f t="shared" ref="F41:F42" si="6">ROUND($C41*D41,0)</f>
        <v>0</v>
      </c>
      <c r="G41" s="150">
        <f ca="1">G39</f>
        <v>4.9973999999999998E-2</v>
      </c>
      <c r="H41" s="111"/>
      <c r="I41" s="115">
        <f t="shared" ref="I41:I42" ca="1" si="7">ROUND($C41*G41,0)</f>
        <v>0</v>
      </c>
      <c r="J41" s="80"/>
      <c r="K41" s="153"/>
      <c r="L41" s="63"/>
      <c r="M41" s="63"/>
    </row>
    <row r="42" spans="1:13">
      <c r="A42" s="141" t="s">
        <v>86</v>
      </c>
      <c r="B42" s="91"/>
      <c r="C42" s="89">
        <f>'[1]Tariff 35'!$D$10</f>
        <v>9600</v>
      </c>
      <c r="D42" s="150">
        <f>ROUND(SUM(F37,F40,F47,F49)/C40,6)</f>
        <v>5.5745999999999997E-2</v>
      </c>
      <c r="E42" s="84"/>
      <c r="F42" s="115">
        <f t="shared" si="6"/>
        <v>535</v>
      </c>
      <c r="G42" s="150">
        <f ca="1">ROUND(D42*(1+$M$52),6)</f>
        <v>5.7319000000000002E-2</v>
      </c>
      <c r="H42" s="84"/>
      <c r="I42" s="115">
        <f t="shared" ca="1" si="7"/>
        <v>550</v>
      </c>
      <c r="J42" s="83"/>
      <c r="K42" s="522" t="s">
        <v>94</v>
      </c>
      <c r="L42" s="521"/>
      <c r="M42" s="521"/>
    </row>
    <row r="43" spans="1:13">
      <c r="A43" s="143" t="s">
        <v>37</v>
      </c>
      <c r="B43" s="91"/>
      <c r="C43" s="151">
        <f>SUM(C40:C42)</f>
        <v>4452600</v>
      </c>
      <c r="D43" s="84"/>
      <c r="E43" s="84"/>
      <c r="F43" s="132">
        <f>SUM(F40:F42)</f>
        <v>216456</v>
      </c>
      <c r="G43" s="84"/>
      <c r="H43" s="84"/>
      <c r="I43" s="132">
        <f ca="1">SUM(I40:I42)</f>
        <v>222584</v>
      </c>
      <c r="J43" s="83"/>
      <c r="K43" s="153"/>
      <c r="L43" s="63"/>
      <c r="M43" s="63"/>
    </row>
    <row r="44" spans="1:13">
      <c r="A44" s="84" t="s">
        <v>46</v>
      </c>
      <c r="B44" s="91"/>
      <c r="C44" s="109"/>
      <c r="D44" s="102"/>
      <c r="E44" s="111"/>
      <c r="F44" s="115"/>
      <c r="G44" s="102"/>
      <c r="H44" s="111"/>
      <c r="I44" s="115"/>
      <c r="J44" s="115"/>
      <c r="K44" s="153"/>
      <c r="L44" s="95"/>
      <c r="M44" s="63"/>
    </row>
    <row r="45" spans="1:13">
      <c r="A45" s="142" t="s">
        <v>108</v>
      </c>
      <c r="B45" s="91"/>
      <c r="C45" s="109">
        <f>'[1]Tariff 35'!$D$15</f>
        <v>204</v>
      </c>
      <c r="D45" s="148">
        <f>'Exhibit No.__(JAP-Tariff)'!E84</f>
        <v>4.49</v>
      </c>
      <c r="E45" s="111"/>
      <c r="F45" s="115">
        <f>ROUND(D45*$C45,0)</f>
        <v>916</v>
      </c>
      <c r="G45" s="148">
        <f ca="1">ROUND(D45*(1+$M$54),2)</f>
        <v>4.62</v>
      </c>
      <c r="H45" s="111"/>
      <c r="I45" s="115">
        <f ca="1">ROUND(G45*$C45,0)</f>
        <v>942</v>
      </c>
      <c r="J45" s="115"/>
      <c r="K45" s="522" t="s">
        <v>407</v>
      </c>
      <c r="L45" s="521"/>
      <c r="M45" s="521"/>
    </row>
    <row r="46" spans="1:13">
      <c r="A46" s="142" t="s">
        <v>109</v>
      </c>
      <c r="B46" s="91"/>
      <c r="C46" s="109">
        <f>'[1]Tariff 35'!$D$16</f>
        <v>8102</v>
      </c>
      <c r="D46" s="148">
        <f>'Exhibit No.__(JAP-Tariff)'!E85</f>
        <v>2.99</v>
      </c>
      <c r="E46" s="111"/>
      <c r="F46" s="115">
        <f>ROUND(D46*$C46,0)</f>
        <v>24225</v>
      </c>
      <c r="G46" s="148">
        <f ca="1">ROUND(D46*(1+$M$54),2)</f>
        <v>3.08</v>
      </c>
      <c r="H46" s="111"/>
      <c r="I46" s="115">
        <f ca="1">ROUND(G46*$C46,0)</f>
        <v>24954</v>
      </c>
      <c r="J46" s="115"/>
      <c r="K46" s="522" t="s">
        <v>407</v>
      </c>
      <c r="L46" s="521"/>
      <c r="M46" s="521"/>
    </row>
    <row r="47" spans="1:13">
      <c r="A47" s="143" t="s">
        <v>37</v>
      </c>
      <c r="B47" s="91"/>
      <c r="C47" s="151">
        <f>SUM(C45:C46)</f>
        <v>8306</v>
      </c>
      <c r="D47" s="102"/>
      <c r="E47" s="111"/>
      <c r="F47" s="152">
        <f>SUM(F45:F46)</f>
        <v>25141</v>
      </c>
      <c r="G47" s="102"/>
      <c r="H47" s="111"/>
      <c r="I47" s="152">
        <f ca="1">SUM(I45:I46)</f>
        <v>25896</v>
      </c>
      <c r="J47" s="115"/>
      <c r="K47" s="153"/>
      <c r="L47" s="63"/>
      <c r="M47" s="63"/>
    </row>
    <row r="48" spans="1:13">
      <c r="A48" s="91"/>
      <c r="B48" s="91"/>
      <c r="C48" s="89"/>
      <c r="D48" s="89"/>
      <c r="E48" s="84"/>
      <c r="F48" s="83"/>
      <c r="G48" s="89"/>
      <c r="H48" s="84"/>
      <c r="I48" s="83"/>
      <c r="J48" s="83"/>
      <c r="K48" s="153"/>
      <c r="L48" s="63"/>
      <c r="M48" s="63"/>
    </row>
    <row r="49" spans="1:13">
      <c r="A49" s="91" t="s">
        <v>104</v>
      </c>
      <c r="B49" s="91"/>
      <c r="C49" s="109">
        <f>'[1]Tariff 35'!$D$19</f>
        <v>2355612</v>
      </c>
      <c r="D49" s="149">
        <f>'Exhibit No.__(JAP-Tariff)'!E87</f>
        <v>1.08E-3</v>
      </c>
      <c r="E49" s="111"/>
      <c r="F49" s="115">
        <f>ROUND(D49*$C49,0)</f>
        <v>2544</v>
      </c>
      <c r="G49" s="149">
        <f ca="1">ROUND(D49*(1+$M$54),5)</f>
        <v>1.1100000000000001E-3</v>
      </c>
      <c r="H49" s="111"/>
      <c r="I49" s="115">
        <f ca="1">ROUND(G49*$C49,0)</f>
        <v>2615</v>
      </c>
      <c r="J49" s="83"/>
      <c r="K49" s="522" t="s">
        <v>407</v>
      </c>
      <c r="L49" s="521"/>
      <c r="M49" s="521"/>
    </row>
    <row r="50" spans="1:13">
      <c r="A50" s="91"/>
      <c r="B50" s="91"/>
      <c r="C50" s="89"/>
      <c r="D50" s="89"/>
      <c r="E50" s="84"/>
      <c r="F50" s="83"/>
      <c r="G50" s="89"/>
      <c r="H50" s="84"/>
      <c r="I50" s="83"/>
      <c r="J50" s="83"/>
      <c r="K50" s="96"/>
      <c r="L50" s="95"/>
      <c r="M50" s="63"/>
    </row>
    <row r="51" spans="1:13" ht="16.2" thickBot="1">
      <c r="A51" s="91" t="s">
        <v>41</v>
      </c>
      <c r="B51" s="91"/>
      <c r="C51" s="89"/>
      <c r="D51" s="89"/>
      <c r="E51" s="84"/>
      <c r="F51" s="118">
        <f>SUM(F37,F43,F47,F49)</f>
        <v>248215</v>
      </c>
      <c r="G51" s="89"/>
      <c r="H51" s="84"/>
      <c r="I51" s="118">
        <f ca="1">SUM(I37,I43,I47,I49)</f>
        <v>255219</v>
      </c>
      <c r="J51" s="112"/>
    </row>
    <row r="52" spans="1:13" ht="16.2" thickTop="1">
      <c r="A52" s="91"/>
      <c r="B52" s="127"/>
      <c r="C52" s="89"/>
      <c r="D52" s="89"/>
      <c r="E52" s="91"/>
      <c r="F52" s="80"/>
      <c r="G52" s="89"/>
      <c r="H52" s="91"/>
      <c r="I52" s="80"/>
      <c r="J52" s="80"/>
      <c r="K52" s="154" t="s">
        <v>405</v>
      </c>
      <c r="L52" s="87">
        <f ca="1">'Exhibit No.__(JAP-Rate Spread)'!M18</f>
        <v>7005.3100210298608</v>
      </c>
      <c r="M52" s="88">
        <f ca="1">L52/F51</f>
        <v>2.822275052285261E-2</v>
      </c>
    </row>
    <row r="53" spans="1:13">
      <c r="A53" s="91"/>
      <c r="B53" s="127"/>
      <c r="C53" s="89"/>
      <c r="D53" s="89"/>
      <c r="E53" s="91"/>
      <c r="F53" s="80"/>
      <c r="G53" s="89"/>
      <c r="H53" s="91"/>
      <c r="I53" s="80"/>
      <c r="J53" s="80"/>
      <c r="K53" s="392" t="s">
        <v>406</v>
      </c>
      <c r="L53" s="393">
        <f ca="1">-(I37-F37)</f>
        <v>-50</v>
      </c>
      <c r="M53" s="394"/>
    </row>
    <row r="54" spans="1:13">
      <c r="A54" s="91"/>
      <c r="B54" s="127"/>
      <c r="C54" s="89"/>
      <c r="D54" s="89"/>
      <c r="E54" s="91"/>
      <c r="F54" s="80"/>
      <c r="G54" s="89"/>
      <c r="H54" s="91"/>
      <c r="I54" s="80"/>
      <c r="J54" s="80"/>
      <c r="K54" s="392" t="s">
        <v>388</v>
      </c>
      <c r="L54" s="393">
        <f ca="1">SUM(L52:L53)</f>
        <v>6955.3100210298608</v>
      </c>
      <c r="M54" s="395">
        <f ca="1">L54/(F51-F37)</f>
        <v>2.8488906087178561E-2</v>
      </c>
    </row>
    <row r="55" spans="1:13">
      <c r="A55" s="91"/>
      <c r="B55" s="127"/>
      <c r="C55" s="89"/>
      <c r="D55" s="89"/>
      <c r="E55" s="91"/>
      <c r="F55" s="80"/>
      <c r="G55" s="89"/>
      <c r="H55" s="91"/>
      <c r="I55" s="80"/>
      <c r="J55" s="80"/>
      <c r="K55" s="391" t="s">
        <v>40</v>
      </c>
      <c r="L55" s="93">
        <f ca="1">L52-(I51-F51)</f>
        <v>1.3100210298607635</v>
      </c>
      <c r="M55" s="129" t="s">
        <v>0</v>
      </c>
    </row>
    <row r="56" spans="1:13">
      <c r="A56" s="91"/>
      <c r="B56" s="127"/>
      <c r="C56" s="89"/>
      <c r="D56" s="89"/>
      <c r="E56" s="91"/>
      <c r="F56" s="80"/>
      <c r="G56" s="89"/>
      <c r="H56" s="91"/>
      <c r="I56" s="80"/>
      <c r="J56" s="80"/>
      <c r="K56" s="401" t="s">
        <v>420</v>
      </c>
      <c r="L56" s="299">
        <v>-9.0000000000000002E-6</v>
      </c>
      <c r="M56" s="299">
        <f ca="1">L55/C39</f>
        <v>2.9485055815007056E-7</v>
      </c>
    </row>
    <row r="57" spans="1:13">
      <c r="A57" s="139" t="s">
        <v>137</v>
      </c>
      <c r="B57" s="91"/>
      <c r="C57" s="125"/>
      <c r="D57" s="80"/>
      <c r="E57" s="91"/>
      <c r="F57" s="91"/>
      <c r="G57" s="80"/>
      <c r="H57" s="91"/>
      <c r="I57" s="80" t="s">
        <v>0</v>
      </c>
      <c r="J57" s="80"/>
      <c r="L57" s="64"/>
      <c r="M57" s="64"/>
    </row>
    <row r="58" spans="1:13">
      <c r="A58" s="140" t="s">
        <v>138</v>
      </c>
      <c r="B58" s="91"/>
      <c r="C58" s="91" t="s">
        <v>0</v>
      </c>
      <c r="D58" s="80"/>
      <c r="E58" s="91"/>
      <c r="F58" s="91"/>
      <c r="G58" s="80"/>
      <c r="H58" s="91"/>
      <c r="I58" s="91"/>
      <c r="J58" s="91"/>
      <c r="L58" s="64"/>
      <c r="M58" s="64"/>
    </row>
    <row r="59" spans="1:13">
      <c r="A59" s="111"/>
      <c r="B59" s="91"/>
      <c r="C59" s="91"/>
      <c r="D59" s="80"/>
      <c r="E59" s="91"/>
      <c r="F59" s="91"/>
      <c r="G59" s="80"/>
      <c r="H59" s="91"/>
      <c r="I59" s="91"/>
      <c r="J59" s="91"/>
      <c r="K59" s="39"/>
      <c r="L59" s="63"/>
      <c r="M59" s="63"/>
    </row>
    <row r="60" spans="1:13">
      <c r="A60" s="111" t="s">
        <v>44</v>
      </c>
      <c r="B60" s="91"/>
      <c r="C60" s="109">
        <f>'[1]Tariff 43'!$D$6</f>
        <v>1904</v>
      </c>
      <c r="D60" s="148">
        <f>'Exhibit No.__(JAP-Tariff)'!E90</f>
        <v>339.51</v>
      </c>
      <c r="E60" s="111"/>
      <c r="F60" s="115">
        <f>ROUND(D60*$C60,0)</f>
        <v>646427</v>
      </c>
      <c r="G60" s="148">
        <f ca="1">G15</f>
        <v>343.66</v>
      </c>
      <c r="H60" s="111"/>
      <c r="I60" s="115">
        <f ca="1">ROUND(G60*$C60,0)</f>
        <v>654329</v>
      </c>
      <c r="J60" s="115"/>
      <c r="K60" s="521" t="s">
        <v>133</v>
      </c>
      <c r="L60" s="521"/>
      <c r="M60" s="521"/>
    </row>
    <row r="61" spans="1:13">
      <c r="A61" s="111" t="s">
        <v>47</v>
      </c>
      <c r="B61" s="91"/>
      <c r="C61" s="109"/>
      <c r="D61" s="126"/>
      <c r="E61" s="115"/>
      <c r="F61" s="115"/>
      <c r="G61" s="126"/>
      <c r="H61" s="115"/>
      <c r="I61" s="115"/>
      <c r="J61" s="115"/>
      <c r="K61" s="39"/>
      <c r="L61" s="63"/>
      <c r="M61" s="63"/>
    </row>
    <row r="62" spans="1:13">
      <c r="A62" s="142" t="s">
        <v>53</v>
      </c>
      <c r="B62" s="91"/>
      <c r="C62" s="109">
        <f>'[1]Tariff 43'!$D$9</f>
        <v>116386804</v>
      </c>
      <c r="D62" s="150">
        <f>'Exhibit No.__(JAP-Tariff)'!E92</f>
        <v>5.5893999999999999E-2</v>
      </c>
      <c r="E62" s="115"/>
      <c r="F62" s="115">
        <f t="shared" ref="F62" si="8">ROUND($C62*D62,0)</f>
        <v>6505324</v>
      </c>
      <c r="G62" s="334">
        <f ca="1">ROUND((L77-I60-I65-I68-I73)/SUM(C63:C64),6)</f>
        <v>5.7135999999999999E-2</v>
      </c>
      <c r="H62" s="115"/>
      <c r="I62" s="115">
        <f t="shared" ref="I62" ca="1" si="9">ROUND($C62*G62,0)</f>
        <v>6649876</v>
      </c>
      <c r="J62" s="115"/>
      <c r="K62" s="521" t="s">
        <v>140</v>
      </c>
      <c r="L62" s="521"/>
      <c r="M62" s="521"/>
    </row>
    <row r="63" spans="1:13">
      <c r="A63" s="143" t="s">
        <v>37</v>
      </c>
      <c r="B63" s="91"/>
      <c r="C63" s="151">
        <f>SUM(C62:C62)</f>
        <v>116386804</v>
      </c>
      <c r="D63" s="114"/>
      <c r="E63" s="111"/>
      <c r="F63" s="132">
        <f>SUM(F62:F62)</f>
        <v>6505324</v>
      </c>
      <c r="G63" s="114"/>
      <c r="H63" s="111"/>
      <c r="I63" s="132">
        <f ca="1">SUM(I62:I62)</f>
        <v>6649876</v>
      </c>
      <c r="J63" s="80"/>
      <c r="K63" s="156"/>
      <c r="L63" s="63"/>
      <c r="M63" s="63"/>
    </row>
    <row r="64" spans="1:13">
      <c r="A64" s="142" t="s">
        <v>84</v>
      </c>
      <c r="B64" s="91"/>
      <c r="C64" s="109">
        <f>'[1]Tariff 43'!$D$11</f>
        <v>3836119.7974334164</v>
      </c>
      <c r="D64" s="150">
        <f>D62</f>
        <v>5.5893999999999999E-2</v>
      </c>
      <c r="E64" s="111"/>
      <c r="F64" s="115">
        <f t="shared" ref="F64:F65" si="10">ROUND($C64*D64,0)</f>
        <v>214416</v>
      </c>
      <c r="G64" s="150">
        <f ca="1">G62</f>
        <v>5.7135999999999999E-2</v>
      </c>
      <c r="H64" s="111"/>
      <c r="I64" s="115">
        <f t="shared" ref="I64:I65" ca="1" si="11">ROUND($C64*G64,0)</f>
        <v>219181</v>
      </c>
      <c r="J64" s="80"/>
      <c r="K64" s="155"/>
      <c r="L64" s="63"/>
      <c r="M64" s="63"/>
    </row>
    <row r="65" spans="1:13">
      <c r="A65" s="141" t="s">
        <v>86</v>
      </c>
      <c r="B65" s="91"/>
      <c r="C65" s="89">
        <f>'[1]Tariff 43'!$D$10</f>
        <v>-562522.33265664149</v>
      </c>
      <c r="D65" s="150">
        <f>ROUND(SUM(F60,F63:F64,F69,F73)/SUM(C63:C64),6)</f>
        <v>8.6392999999999998E-2</v>
      </c>
      <c r="E65" s="84"/>
      <c r="F65" s="115">
        <f t="shared" si="10"/>
        <v>-48598</v>
      </c>
      <c r="G65" s="150">
        <f ca="1">ROUND(D65*(1+$M$77),6)</f>
        <v>8.8017999999999999E-2</v>
      </c>
      <c r="H65" s="84"/>
      <c r="I65" s="115">
        <f t="shared" ca="1" si="11"/>
        <v>-49512</v>
      </c>
      <c r="J65" s="83"/>
      <c r="K65" s="521" t="s">
        <v>94</v>
      </c>
      <c r="L65" s="521"/>
      <c r="M65" s="521"/>
    </row>
    <row r="66" spans="1:13">
      <c r="A66" s="143" t="s">
        <v>37</v>
      </c>
      <c r="B66" s="91"/>
      <c r="C66" s="151">
        <f>SUM(C63:C65)</f>
        <v>119660401.46477678</v>
      </c>
      <c r="D66" s="84"/>
      <c r="E66" s="84"/>
      <c r="F66" s="132">
        <f>SUM(F63:F65)</f>
        <v>6671142</v>
      </c>
      <c r="G66" s="84"/>
      <c r="H66" s="84"/>
      <c r="I66" s="132">
        <f ca="1">SUM(I63:I65)</f>
        <v>6819545</v>
      </c>
      <c r="J66" s="83"/>
      <c r="K66" s="153"/>
      <c r="L66" s="63"/>
      <c r="M66" s="63"/>
    </row>
    <row r="67" spans="1:13">
      <c r="A67" s="84" t="s">
        <v>46</v>
      </c>
      <c r="B67" s="91"/>
      <c r="C67" s="109"/>
      <c r="D67" s="102"/>
      <c r="E67" s="111"/>
      <c r="F67" s="115"/>
      <c r="G67" s="102"/>
      <c r="H67" s="111"/>
      <c r="I67" s="115"/>
      <c r="J67" s="115"/>
      <c r="K67" s="153"/>
      <c r="L67" s="95"/>
      <c r="M67" s="63"/>
    </row>
    <row r="68" spans="1:13">
      <c r="A68" s="142" t="s">
        <v>139</v>
      </c>
      <c r="B68" s="91"/>
      <c r="C68" s="109">
        <f>'[1]Tariff 43'!$D$14</f>
        <v>604733</v>
      </c>
      <c r="D68" s="148">
        <f>'Exhibit No.__(JAP-Tariff)'!E94</f>
        <v>4.75</v>
      </c>
      <c r="E68" s="111"/>
      <c r="F68" s="115">
        <f>ROUND(D68*$C68,0)</f>
        <v>2872482</v>
      </c>
      <c r="G68" s="148">
        <f ca="1">ROUND(D68*(1+$M$31),2)</f>
        <v>4.8099999999999996</v>
      </c>
      <c r="H68" s="111"/>
      <c r="I68" s="115">
        <f ca="1">ROUND(G68*$C68,0)</f>
        <v>2908766</v>
      </c>
      <c r="J68" s="115"/>
      <c r="K68" s="521" t="s">
        <v>94</v>
      </c>
      <c r="L68" s="521"/>
      <c r="M68" s="521"/>
    </row>
    <row r="69" spans="1:13">
      <c r="A69" s="143" t="s">
        <v>37</v>
      </c>
      <c r="B69" s="91"/>
      <c r="C69" s="151">
        <f>SUM(C68:C68)</f>
        <v>604733</v>
      </c>
      <c r="D69" s="102"/>
      <c r="E69" s="111"/>
      <c r="F69" s="152">
        <f>SUM(F68:F68)</f>
        <v>2872482</v>
      </c>
      <c r="G69" s="102"/>
      <c r="H69" s="111"/>
      <c r="I69" s="152">
        <f ca="1">SUM(I68:I68)</f>
        <v>2908766</v>
      </c>
      <c r="J69" s="115"/>
      <c r="K69" s="153"/>
      <c r="L69" s="63"/>
      <c r="M69" s="63"/>
    </row>
    <row r="70" spans="1:13">
      <c r="A70" s="91"/>
      <c r="B70" s="91"/>
      <c r="C70" s="89"/>
      <c r="D70" s="89"/>
      <c r="E70" s="84"/>
      <c r="F70" s="83"/>
      <c r="G70" s="89"/>
      <c r="H70" s="84"/>
      <c r="I70" s="83"/>
      <c r="J70" s="83"/>
      <c r="K70" s="153"/>
      <c r="L70" s="63"/>
      <c r="M70" s="63"/>
    </row>
    <row r="71" spans="1:13">
      <c r="A71" s="64" t="s">
        <v>335</v>
      </c>
      <c r="B71" s="91"/>
      <c r="C71" s="109">
        <v>0</v>
      </c>
      <c r="D71" s="321">
        <f>ROUND(D23-D68,2)</f>
        <v>6.57</v>
      </c>
      <c r="E71" s="84"/>
      <c r="F71" s="115">
        <f>ROUND(D71*$C71,0)</f>
        <v>0</v>
      </c>
      <c r="G71" s="321">
        <f ca="1">ROUND(G23-G68,2)</f>
        <v>6.65</v>
      </c>
      <c r="H71" s="84"/>
      <c r="I71" s="115">
        <f ca="1">ROUND(G71*$C71,0)</f>
        <v>0</v>
      </c>
      <c r="J71" s="83"/>
      <c r="K71" s="521" t="s">
        <v>336</v>
      </c>
      <c r="L71" s="521"/>
      <c r="M71" s="521"/>
    </row>
    <row r="72" spans="1:13">
      <c r="A72" s="91"/>
      <c r="B72" s="91"/>
      <c r="C72" s="89"/>
      <c r="D72" s="89"/>
      <c r="E72" s="84"/>
      <c r="F72" s="83"/>
      <c r="G72" s="89"/>
      <c r="H72" s="84"/>
      <c r="I72" s="83"/>
      <c r="J72" s="83"/>
      <c r="K72" s="153"/>
      <c r="L72" s="63"/>
      <c r="M72" s="63"/>
    </row>
    <row r="73" spans="1:13">
      <c r="A73" s="91" t="s">
        <v>104</v>
      </c>
      <c r="B73" s="91"/>
      <c r="C73" s="109">
        <f>'[1]Tariff 43'!$D$16</f>
        <v>49257775</v>
      </c>
      <c r="D73" s="149">
        <f>'Exhibit No.__(JAP-Tariff)'!E98</f>
        <v>3.0000000000000001E-3</v>
      </c>
      <c r="E73" s="111"/>
      <c r="F73" s="115">
        <f>ROUND(D73*$C73,0)</f>
        <v>147773</v>
      </c>
      <c r="G73" s="149">
        <f ca="1">ROUND(D73*(1+$M$31),5)</f>
        <v>3.0400000000000002E-3</v>
      </c>
      <c r="H73" s="111"/>
      <c r="I73" s="115">
        <f ca="1">ROUND(G73*$C73,0)</f>
        <v>149744</v>
      </c>
      <c r="J73" s="83"/>
      <c r="K73" s="521" t="s">
        <v>94</v>
      </c>
      <c r="L73" s="521"/>
      <c r="M73" s="521"/>
    </row>
    <row r="74" spans="1:13">
      <c r="A74" s="91"/>
      <c r="B74" s="91"/>
      <c r="C74" s="89"/>
      <c r="D74" s="89"/>
      <c r="E74" s="84"/>
      <c r="F74" s="83"/>
      <c r="G74" s="89"/>
      <c r="H74" s="84"/>
      <c r="I74" s="83"/>
      <c r="J74" s="83"/>
      <c r="K74" s="96"/>
      <c r="L74" s="95"/>
      <c r="M74" s="63"/>
    </row>
    <row r="75" spans="1:13" ht="16.2" thickBot="1">
      <c r="A75" s="91" t="s">
        <v>41</v>
      </c>
      <c r="B75" s="91"/>
      <c r="C75" s="89"/>
      <c r="D75" s="89"/>
      <c r="E75" s="84"/>
      <c r="F75" s="118">
        <f>SUM(F60,F66,F69,F73)</f>
        <v>10337824</v>
      </c>
      <c r="G75" s="89"/>
      <c r="H75" s="84"/>
      <c r="I75" s="118">
        <f ca="1">SUM(I60,I66,I69,I73)</f>
        <v>10532384</v>
      </c>
      <c r="J75" s="112"/>
      <c r="K75" s="96"/>
      <c r="L75" s="95"/>
      <c r="M75" s="63"/>
    </row>
    <row r="76" spans="1:13" ht="16.2" thickTop="1">
      <c r="A76" s="91"/>
      <c r="B76" s="127"/>
      <c r="C76" s="89"/>
      <c r="D76" s="89"/>
      <c r="E76" s="91"/>
      <c r="F76" s="80"/>
      <c r="G76" s="89"/>
      <c r="H76" s="91"/>
      <c r="I76" s="80"/>
      <c r="J76" s="80"/>
      <c r="K76" s="96"/>
      <c r="L76" s="95"/>
      <c r="M76" s="63"/>
    </row>
    <row r="77" spans="1:13">
      <c r="K77" s="154" t="s">
        <v>141</v>
      </c>
      <c r="L77" s="87">
        <f ca="1">'Exhibit No.__(JAP-Rate Spread)'!K19*1000</f>
        <v>10532331.885134107</v>
      </c>
      <c r="M77" s="88">
        <f ca="1">L77/SUM(F75)-1</f>
        <v>1.8815167015235224E-2</v>
      </c>
    </row>
    <row r="78" spans="1:13">
      <c r="B78" s="91"/>
      <c r="C78" s="125"/>
      <c r="D78" s="80"/>
      <c r="E78" s="91"/>
      <c r="F78" s="91"/>
      <c r="G78" s="80"/>
      <c r="H78" s="91"/>
      <c r="I78" s="80" t="s">
        <v>0</v>
      </c>
      <c r="J78" s="80"/>
      <c r="K78" s="92" t="s">
        <v>40</v>
      </c>
      <c r="L78" s="93">
        <f ca="1">L77-I75-I97</f>
        <v>-52.114865893498063</v>
      </c>
      <c r="M78" s="129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3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AH81"/>
  <sheetViews>
    <sheetView zoomScale="75" zoomScaleNormal="75" zoomScaleSheetLayoutView="80" workbookViewId="0">
      <pane ySplit="10" topLeftCell="A56" activePane="bottomLeft" state="frozen"/>
      <selection pane="bottomLeft" activeCell="O64" sqref="O64:T81"/>
    </sheetView>
  </sheetViews>
  <sheetFormatPr defaultColWidth="10.19921875" defaultRowHeight="15.6"/>
  <cols>
    <col min="1" max="1" width="39.69921875" style="64" bestFit="1" customWidth="1"/>
    <col min="2" max="2" width="1.3984375" style="64" bestFit="1" customWidth="1"/>
    <col min="3" max="4" width="18.8984375" style="64" bestFit="1" customWidth="1"/>
    <col min="5" max="5" width="17.59765625" style="64" bestFit="1" customWidth="1"/>
    <col min="6" max="6" width="2" style="64" bestFit="1" customWidth="1"/>
    <col min="7" max="7" width="14.3984375" style="64" bestFit="1" customWidth="1"/>
    <col min="8" max="8" width="13.69921875" style="64" customWidth="1"/>
    <col min="9" max="9" width="2" style="64" bestFit="1" customWidth="1"/>
    <col min="10" max="10" width="13.69921875" style="64" customWidth="1"/>
    <col min="11" max="11" width="2.296875" style="64" customWidth="1"/>
    <col min="12" max="12" width="9.69921875" style="64" customWidth="1"/>
    <col min="13" max="15" width="12.5" style="70" customWidth="1"/>
    <col min="16" max="21" width="12.5" style="64" customWidth="1"/>
    <col min="22" max="22" width="13" style="64" bestFit="1" customWidth="1"/>
    <col min="23" max="23" width="12.19921875" style="64" bestFit="1" customWidth="1"/>
    <col min="24" max="24" width="5.5" style="64" bestFit="1" customWidth="1"/>
    <col min="25" max="25" width="1.3984375" style="64" bestFit="1" customWidth="1"/>
    <col min="26" max="26" width="10.19921875" style="64" customWidth="1"/>
    <col min="27" max="27" width="12.09765625" style="64" customWidth="1"/>
    <col min="28" max="16384" width="10.19921875" style="64"/>
  </cols>
  <sheetData>
    <row r="1" spans="1:34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508"/>
      <c r="K1" s="62"/>
      <c r="L1" s="39"/>
      <c r="M1" s="63"/>
      <c r="N1" s="63"/>
      <c r="O1" s="63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4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508"/>
      <c r="K2" s="62"/>
      <c r="L2" s="39"/>
      <c r="M2" s="63"/>
      <c r="N2" s="63"/>
      <c r="O2" s="6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4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509"/>
      <c r="K3" s="65"/>
      <c r="L3" s="39"/>
      <c r="M3" s="63"/>
      <c r="N3" s="63"/>
      <c r="O3" s="63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4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510"/>
      <c r="K4" s="66"/>
      <c r="L4" s="39"/>
      <c r="M4" s="63"/>
      <c r="N4" s="63"/>
      <c r="O4" s="63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4">
      <c r="A5" s="67" t="s">
        <v>142</v>
      </c>
      <c r="B5" s="68"/>
      <c r="C5" s="68"/>
      <c r="D5" s="68"/>
      <c r="E5" s="69"/>
      <c r="F5" s="69"/>
      <c r="G5" s="68"/>
      <c r="H5" s="69"/>
      <c r="I5" s="68"/>
      <c r="J5" s="68"/>
      <c r="K5" s="68"/>
      <c r="L5" s="39"/>
      <c r="M5" s="63"/>
      <c r="N5" s="63"/>
      <c r="O5" s="63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4">
      <c r="A6" s="67"/>
      <c r="B6" s="68"/>
      <c r="C6" s="68"/>
      <c r="D6" s="68"/>
      <c r="E6" s="69"/>
      <c r="F6" s="69"/>
      <c r="G6" s="68"/>
      <c r="H6" s="69"/>
      <c r="I6" s="68"/>
      <c r="J6" s="68"/>
      <c r="K6" s="68"/>
      <c r="L6" s="39"/>
      <c r="M6" s="63"/>
      <c r="N6" s="63"/>
      <c r="O6" s="63"/>
      <c r="P6" s="63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4">
      <c r="A7" s="68"/>
      <c r="B7" s="68"/>
      <c r="C7" s="68"/>
      <c r="D7" s="68"/>
      <c r="E7" s="69"/>
      <c r="F7" s="69"/>
      <c r="G7" s="68"/>
      <c r="H7" s="69"/>
      <c r="I7" s="68"/>
      <c r="J7" s="68"/>
      <c r="K7" s="68"/>
      <c r="L7" s="39"/>
      <c r="M7" s="63"/>
      <c r="N7" s="63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34">
      <c r="A8" s="71"/>
      <c r="B8" s="71"/>
      <c r="C8" s="72"/>
      <c r="D8" s="72"/>
      <c r="E8" s="73"/>
      <c r="F8" s="73"/>
      <c r="H8" s="73"/>
      <c r="I8" s="74"/>
      <c r="J8" s="74"/>
      <c r="K8" s="74"/>
      <c r="L8" s="39"/>
      <c r="M8" s="63"/>
      <c r="N8" s="63"/>
      <c r="O8" s="63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4">
      <c r="A9" s="71"/>
      <c r="B9" s="71"/>
      <c r="C9" s="72" t="s">
        <v>33</v>
      </c>
      <c r="D9" s="72" t="s">
        <v>33</v>
      </c>
      <c r="E9" s="511" t="s">
        <v>3</v>
      </c>
      <c r="F9" s="512"/>
      <c r="G9" s="513"/>
      <c r="H9" s="514" t="str">
        <f>'Exhibit No.__(JAP-Res RD)'!$G$9</f>
        <v>Proposed Effective December 2017</v>
      </c>
      <c r="I9" s="531"/>
      <c r="J9" s="532"/>
      <c r="K9" s="74"/>
      <c r="L9" s="39"/>
      <c r="M9" s="63"/>
      <c r="N9" s="63"/>
      <c r="O9" s="63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4">
      <c r="A10" s="71"/>
      <c r="B10" s="71"/>
      <c r="C10" s="75" t="s">
        <v>34</v>
      </c>
      <c r="D10" s="75" t="s">
        <v>4</v>
      </c>
      <c r="E10" s="76" t="s">
        <v>35</v>
      </c>
      <c r="F10" s="77"/>
      <c r="G10" s="74" t="s">
        <v>36</v>
      </c>
      <c r="H10" s="76" t="s">
        <v>35</v>
      </c>
      <c r="I10" s="76"/>
      <c r="J10" s="76" t="s">
        <v>36</v>
      </c>
      <c r="K10" s="76"/>
      <c r="L10" s="39"/>
      <c r="M10" s="63"/>
      <c r="N10" s="63"/>
      <c r="O10" s="63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4">
      <c r="C11" s="90"/>
      <c r="D11" s="90"/>
      <c r="E11" s="84" t="s">
        <v>0</v>
      </c>
      <c r="F11" s="90"/>
      <c r="G11" s="78"/>
      <c r="H11" s="91" t="s">
        <v>0</v>
      </c>
      <c r="I11" s="90"/>
      <c r="J11" s="80" t="s">
        <v>0</v>
      </c>
      <c r="K11" s="80"/>
      <c r="L11" s="39"/>
      <c r="M11" s="63"/>
      <c r="N11" s="63"/>
      <c r="O11" s="63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H11" s="81"/>
    </row>
    <row r="12" spans="1:34">
      <c r="A12" s="139" t="s">
        <v>48</v>
      </c>
      <c r="B12" s="91"/>
      <c r="C12" s="125"/>
      <c r="D12" s="125"/>
      <c r="E12" s="80"/>
      <c r="F12" s="91"/>
      <c r="G12" s="91"/>
      <c r="H12" s="80"/>
      <c r="I12" s="91"/>
      <c r="J12" s="80" t="s">
        <v>0</v>
      </c>
      <c r="K12" s="80"/>
      <c r="M12" s="64"/>
      <c r="N12" s="64"/>
      <c r="O12" s="63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34">
      <c r="A13" s="140" t="s">
        <v>143</v>
      </c>
      <c r="B13" s="91"/>
      <c r="C13" s="91" t="s">
        <v>0</v>
      </c>
      <c r="D13" s="91"/>
      <c r="E13" s="80"/>
      <c r="F13" s="91"/>
      <c r="G13" s="91"/>
      <c r="H13" s="80"/>
      <c r="I13" s="91"/>
      <c r="J13" s="91"/>
      <c r="K13" s="91"/>
      <c r="M13" s="64"/>
      <c r="N13" s="64"/>
      <c r="O13" s="63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34">
      <c r="A14" s="111" t="s">
        <v>144</v>
      </c>
      <c r="B14" s="91"/>
      <c r="C14" s="91"/>
      <c r="D14" s="91"/>
      <c r="E14" s="80"/>
      <c r="F14" s="91"/>
      <c r="G14" s="91"/>
      <c r="H14" s="80"/>
      <c r="I14" s="91"/>
      <c r="J14" s="91"/>
      <c r="K14" s="91"/>
      <c r="M14" s="64"/>
      <c r="N14" s="64"/>
      <c r="O14" s="63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34">
      <c r="A15" s="142" t="s">
        <v>145</v>
      </c>
      <c r="B15" s="91"/>
      <c r="C15" s="109">
        <f>SUM('[1]Tariff 40'!D6,'[1]Tariff 40'!D9)</f>
        <v>495</v>
      </c>
      <c r="D15" s="109"/>
      <c r="E15" s="148">
        <f>'Exhibit No.__(JAP-Tariff)'!E103</f>
        <v>51.67</v>
      </c>
      <c r="F15" s="111"/>
      <c r="G15" s="115">
        <f t="shared" ref="G15:G17" si="0">ROUND(E15*$C15,0)</f>
        <v>25577</v>
      </c>
      <c r="H15" s="148">
        <f ca="1">'Exhibit No.__(JAP-SV RD)'!G31</f>
        <v>52.3</v>
      </c>
      <c r="I15" s="111"/>
      <c r="J15" s="115">
        <f t="shared" ref="J15:J17" ca="1" si="1">ROUND(H15*$C15,0)</f>
        <v>25889</v>
      </c>
      <c r="K15" s="115"/>
      <c r="L15" s="521" t="s">
        <v>148</v>
      </c>
      <c r="M15" s="521"/>
      <c r="N15" s="521"/>
      <c r="O15" s="63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34">
      <c r="A16" s="142" t="s">
        <v>146</v>
      </c>
      <c r="B16" s="91"/>
      <c r="C16" s="109">
        <f>SUM('[1]Tariff 40'!D7,'[1]Tariff 40'!D10)</f>
        <v>825</v>
      </c>
      <c r="D16" s="109"/>
      <c r="E16" s="148">
        <f>'Exhibit No.__(JAP-Tariff)'!E104</f>
        <v>104.46</v>
      </c>
      <c r="F16" s="111"/>
      <c r="G16" s="115">
        <f t="shared" si="0"/>
        <v>86180</v>
      </c>
      <c r="H16" s="148">
        <f ca="1">'Exhibit No.__(JAP-SV RD)'!G65</f>
        <v>105.74</v>
      </c>
      <c r="I16" s="111"/>
      <c r="J16" s="115">
        <f t="shared" ca="1" si="1"/>
        <v>87236</v>
      </c>
      <c r="K16" s="115"/>
      <c r="L16" s="521" t="s">
        <v>149</v>
      </c>
      <c r="M16" s="521"/>
      <c r="N16" s="521"/>
      <c r="O16" s="63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>
      <c r="A17" s="142" t="s">
        <v>147</v>
      </c>
      <c r="B17" s="91"/>
      <c r="C17" s="109">
        <f>SUM('[1]Tariff 40'!D8,'[1]Tariff 40'!D11)</f>
        <v>387</v>
      </c>
      <c r="D17" s="109"/>
      <c r="E17" s="148">
        <f>'Exhibit No.__(JAP-Tariff)'!E105</f>
        <v>339.51</v>
      </c>
      <c r="F17" s="111"/>
      <c r="G17" s="115">
        <f t="shared" si="0"/>
        <v>131390</v>
      </c>
      <c r="H17" s="148">
        <f ca="1">'Exhibit No.__(JAP-PV RD)'!G15</f>
        <v>343.66</v>
      </c>
      <c r="I17" s="111"/>
      <c r="J17" s="115">
        <f t="shared" ca="1" si="1"/>
        <v>132996</v>
      </c>
      <c r="K17" s="115"/>
      <c r="L17" s="521" t="s">
        <v>150</v>
      </c>
      <c r="M17" s="521"/>
      <c r="N17" s="521"/>
      <c r="O17" s="63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>
      <c r="A18" s="143" t="s">
        <v>37</v>
      </c>
      <c r="B18" s="91"/>
      <c r="C18" s="109">
        <f>SUM(C15:C17)</f>
        <v>1707</v>
      </c>
      <c r="D18" s="109"/>
      <c r="E18" s="148"/>
      <c r="F18" s="111"/>
      <c r="G18" s="132">
        <f>SUM(G15:G17)</f>
        <v>243147</v>
      </c>
      <c r="H18" s="148"/>
      <c r="I18" s="111"/>
      <c r="J18" s="132">
        <f ca="1">SUM(J15:J17)</f>
        <v>246121</v>
      </c>
      <c r="K18" s="115"/>
      <c r="L18" s="153"/>
      <c r="M18" s="63"/>
      <c r="N18" s="63"/>
      <c r="O18" s="63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>
      <c r="A19" s="111"/>
      <c r="B19" s="91"/>
      <c r="C19" s="109"/>
      <c r="D19" s="109"/>
      <c r="E19" s="148"/>
      <c r="F19" s="111"/>
      <c r="G19" s="115"/>
      <c r="H19" s="148"/>
      <c r="I19" s="111"/>
      <c r="J19" s="115"/>
      <c r="K19" s="115"/>
      <c r="L19" s="153"/>
      <c r="M19" s="63"/>
      <c r="N19" s="63"/>
      <c r="O19" s="63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>
      <c r="A20" s="111" t="s">
        <v>47</v>
      </c>
      <c r="B20" s="91"/>
      <c r="C20" s="109"/>
      <c r="D20" s="109"/>
      <c r="E20" s="126"/>
      <c r="F20" s="115"/>
      <c r="G20" s="115"/>
      <c r="H20" s="126"/>
      <c r="I20" s="115"/>
      <c r="J20" s="115"/>
      <c r="K20" s="115"/>
      <c r="L20" s="39"/>
      <c r="M20" s="63"/>
      <c r="N20" s="63"/>
      <c r="O20" s="63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>
      <c r="A21" s="142" t="s">
        <v>151</v>
      </c>
      <c r="B21" s="91"/>
      <c r="C21" s="109">
        <f>SUM('[1]Tariff 40'!D15,'[1]Tariff 40'!D17)</f>
        <v>286202830</v>
      </c>
      <c r="D21" s="109"/>
      <c r="E21" s="150">
        <f>'Exhibit No.__(JAP-Tariff)'!E108</f>
        <v>5.6638000000000001E-2</v>
      </c>
      <c r="F21" s="115"/>
      <c r="G21" s="115">
        <f t="shared" ref="G21" si="2">ROUND($C21*E21,0)</f>
        <v>16209956</v>
      </c>
      <c r="H21" s="150">
        <f ca="1">G61</f>
        <v>5.3848E-2</v>
      </c>
      <c r="I21" s="115"/>
      <c r="J21" s="115">
        <f t="shared" ref="J21" ca="1" si="3">ROUND($C21*H21,0)</f>
        <v>15411450</v>
      </c>
      <c r="K21" s="115"/>
      <c r="L21" s="521" t="s">
        <v>154</v>
      </c>
      <c r="M21" s="521"/>
      <c r="N21" s="521"/>
      <c r="O21" s="63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>
      <c r="A22" s="142" t="s">
        <v>147</v>
      </c>
      <c r="B22" s="91"/>
      <c r="C22" s="109">
        <f>SUM('[1]Tariff 40'!D16,'[1]Tariff 40'!D18)</f>
        <v>343241100</v>
      </c>
      <c r="D22" s="109"/>
      <c r="E22" s="150">
        <f>'Exhibit No.__(JAP-Tariff)'!E110</f>
        <v>5.5190999999999997E-2</v>
      </c>
      <c r="F22" s="115"/>
      <c r="G22" s="115">
        <f t="shared" ref="G22" si="4">ROUND($C22*E22,0)</f>
        <v>18943820</v>
      </c>
      <c r="H22" s="150">
        <f ca="1">G60</f>
        <v>5.1728999999999997E-2</v>
      </c>
      <c r="I22" s="115"/>
      <c r="J22" s="115">
        <f t="shared" ref="J22" ca="1" si="5">ROUND($C22*H22,0)</f>
        <v>17755519</v>
      </c>
      <c r="K22" s="115"/>
      <c r="L22" s="521" t="s">
        <v>154</v>
      </c>
      <c r="M22" s="521"/>
      <c r="N22" s="521"/>
      <c r="O22" s="63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>
      <c r="A23" s="143" t="s">
        <v>37</v>
      </c>
      <c r="B23" s="91"/>
      <c r="C23" s="151">
        <f>SUM(C21:C22)</f>
        <v>629443930</v>
      </c>
      <c r="D23" s="89"/>
      <c r="E23" s="114"/>
      <c r="F23" s="111"/>
      <c r="G23" s="132">
        <f>SUM(G21:G22)</f>
        <v>35153776</v>
      </c>
      <c r="H23" s="114"/>
      <c r="I23" s="111"/>
      <c r="J23" s="132">
        <f ca="1">SUM(J21:J22)</f>
        <v>33166969</v>
      </c>
      <c r="K23" s="80"/>
      <c r="L23" s="170"/>
      <c r="M23" s="170"/>
      <c r="N23" s="170"/>
      <c r="O23" s="63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>
      <c r="A24" s="142" t="s">
        <v>152</v>
      </c>
      <c r="B24" s="91"/>
      <c r="C24" s="109">
        <f>'[1]Tariff 40'!$D$20</f>
        <v>423503.04529972037</v>
      </c>
      <c r="D24" s="109"/>
      <c r="E24" s="150">
        <f>E21</f>
        <v>5.6638000000000001E-2</v>
      </c>
      <c r="F24" s="111"/>
      <c r="G24" s="115">
        <f t="shared" ref="G24" si="6">ROUND($C24*E24,0)</f>
        <v>23986</v>
      </c>
      <c r="H24" s="150">
        <f ca="1">H21</f>
        <v>5.3848E-2</v>
      </c>
      <c r="I24" s="111"/>
      <c r="J24" s="115">
        <f t="shared" ref="J24:J26" ca="1" si="7">ROUND($C24*H24,0)</f>
        <v>22805</v>
      </c>
      <c r="K24" s="80"/>
      <c r="L24" s="521" t="s">
        <v>154</v>
      </c>
      <c r="M24" s="521"/>
      <c r="N24" s="521"/>
      <c r="O24" s="63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>
      <c r="A25" s="142" t="s">
        <v>153</v>
      </c>
      <c r="B25" s="91"/>
      <c r="C25" s="109">
        <f>'[1]Tariff 40'!$D$21</f>
        <v>-30131.256685476576</v>
      </c>
      <c r="D25" s="109"/>
      <c r="E25" s="150">
        <f>E22</f>
        <v>5.5190999999999997E-2</v>
      </c>
      <c r="F25" s="111"/>
      <c r="G25" s="115">
        <f t="shared" ref="G25" si="8">ROUND($C25*E25,0)</f>
        <v>-1663</v>
      </c>
      <c r="H25" s="150">
        <f ca="1">H22</f>
        <v>5.1728999999999997E-2</v>
      </c>
      <c r="I25" s="111"/>
      <c r="J25" s="115">
        <f t="shared" ref="J25" ca="1" si="9">ROUND($C25*H25,0)</f>
        <v>-1559</v>
      </c>
      <c r="K25" s="80"/>
      <c r="L25" s="521" t="s">
        <v>154</v>
      </c>
      <c r="M25" s="521"/>
      <c r="N25" s="521"/>
      <c r="O25" s="63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>
      <c r="A26" s="141" t="s">
        <v>86</v>
      </c>
      <c r="B26" s="91"/>
      <c r="C26" s="89">
        <f>'[1]Tariff 40'!$D$19</f>
        <v>-8158575.4494833089</v>
      </c>
      <c r="D26" s="89"/>
      <c r="E26" s="150">
        <f>ROUND(G26/C26,6)</f>
        <v>6.2047999999999999E-2</v>
      </c>
      <c r="F26" s="84"/>
      <c r="G26" s="115">
        <f>SUM('[1]Tariff 40'!$D$84:$D$85)</f>
        <v>-506225</v>
      </c>
      <c r="H26" s="150">
        <f ca="1">ROUND(SUM(J18,J23:J25,J32,J37,J39)/SUM(C23:C25),6)</f>
        <v>7.2567000000000006E-2</v>
      </c>
      <c r="I26" s="84"/>
      <c r="J26" s="115">
        <f t="shared" ca="1" si="7"/>
        <v>-592043</v>
      </c>
      <c r="K26" s="83"/>
      <c r="L26" s="521" t="s">
        <v>177</v>
      </c>
      <c r="M26" s="521"/>
      <c r="N26" s="521"/>
    </row>
    <row r="27" spans="1:27">
      <c r="A27" s="143" t="s">
        <v>37</v>
      </c>
      <c r="B27" s="91"/>
      <c r="C27" s="151">
        <f>SUM(C23:C26)</f>
        <v>621678726.339131</v>
      </c>
      <c r="D27" s="89"/>
      <c r="E27" s="84"/>
      <c r="F27" s="84"/>
      <c r="G27" s="132">
        <f>SUM(G23:G26)</f>
        <v>34669874</v>
      </c>
      <c r="H27" s="84"/>
      <c r="I27" s="84"/>
      <c r="J27" s="132">
        <f ca="1">SUM(J23:J26)</f>
        <v>32596172</v>
      </c>
      <c r="K27" s="83"/>
      <c r="L27" s="170"/>
      <c r="M27" s="170"/>
      <c r="N27" s="170"/>
    </row>
    <row r="28" spans="1:27">
      <c r="A28" s="143"/>
      <c r="B28" s="91"/>
      <c r="C28" s="89"/>
      <c r="D28" s="89"/>
      <c r="E28" s="84"/>
      <c r="F28" s="84"/>
      <c r="G28" s="83"/>
      <c r="H28" s="84"/>
      <c r="I28" s="84"/>
      <c r="J28" s="83"/>
      <c r="K28" s="83"/>
      <c r="L28" s="170"/>
      <c r="M28" s="170"/>
      <c r="N28" s="170"/>
    </row>
    <row r="29" spans="1:27">
      <c r="A29" s="84" t="s">
        <v>46</v>
      </c>
      <c r="B29" s="91"/>
      <c r="C29" s="109"/>
      <c r="D29" s="109"/>
      <c r="E29" s="102"/>
      <c r="F29" s="111"/>
      <c r="G29" s="115"/>
      <c r="H29" s="102"/>
      <c r="I29" s="111"/>
      <c r="J29" s="115"/>
      <c r="K29" s="115"/>
      <c r="L29" s="170"/>
      <c r="M29" s="170"/>
      <c r="N29" s="170"/>
    </row>
    <row r="30" spans="1:27">
      <c r="A30" s="142" t="s">
        <v>155</v>
      </c>
      <c r="B30" s="91"/>
      <c r="C30" s="109">
        <f ca="1">'[5]Customer Demand'!$G$34</f>
        <v>578556</v>
      </c>
      <c r="D30" s="109">
        <f ca="1">'[5]Customer Demand'!$D$34</f>
        <v>570788</v>
      </c>
      <c r="E30" s="148">
        <f>'Exhibit No.__(JAP-Tariff)'!E114</f>
        <v>4.2</v>
      </c>
      <c r="F30" s="111"/>
      <c r="G30" s="115">
        <f t="shared" ref="G30:G31" ca="1" si="10">ROUND(E30*$C30,0)</f>
        <v>2429935</v>
      </c>
      <c r="H30" s="148">
        <f ca="1">G57</f>
        <v>6.13</v>
      </c>
      <c r="I30" s="111"/>
      <c r="J30" s="115">
        <f ca="1">ROUND($D30*H30,0)</f>
        <v>3498930</v>
      </c>
      <c r="K30" s="115"/>
      <c r="L30" s="521" t="s">
        <v>175</v>
      </c>
      <c r="M30" s="521"/>
      <c r="N30" s="521"/>
      <c r="O30" s="64"/>
    </row>
    <row r="31" spans="1:27">
      <c r="A31" s="142" t="s">
        <v>156</v>
      </c>
      <c r="B31" s="91"/>
      <c r="C31" s="109">
        <f ca="1">'[5]Customer Demand'!$G$35</f>
        <v>628883</v>
      </c>
      <c r="D31" s="109">
        <f ca="1">'[5]Customer Demand'!$D$35</f>
        <v>627620</v>
      </c>
      <c r="E31" s="148">
        <f>'Exhibit No.__(JAP-Tariff)'!E115</f>
        <v>4.1100000000000003</v>
      </c>
      <c r="F31" s="111"/>
      <c r="G31" s="115">
        <f t="shared" ca="1" si="10"/>
        <v>2584709</v>
      </c>
      <c r="H31" s="148">
        <f ca="1">G56</f>
        <v>5.88</v>
      </c>
      <c r="I31" s="111"/>
      <c r="J31" s="115">
        <f ca="1">ROUND($D31*H31,0)</f>
        <v>3690406</v>
      </c>
      <c r="K31" s="115"/>
      <c r="L31" s="521" t="s">
        <v>175</v>
      </c>
      <c r="M31" s="521"/>
      <c r="N31" s="521"/>
      <c r="O31" s="64"/>
    </row>
    <row r="32" spans="1:27">
      <c r="A32" s="143" t="s">
        <v>37</v>
      </c>
      <c r="B32" s="91"/>
      <c r="C32" s="151">
        <f ca="1">SUM(C30:C31)</f>
        <v>1207439</v>
      </c>
      <c r="D32" s="151">
        <f ca="1">SUM(D30:D31)</f>
        <v>1198408</v>
      </c>
      <c r="E32" s="102"/>
      <c r="F32" s="111"/>
      <c r="G32" s="152">
        <f ca="1">SUM(G30:G31)</f>
        <v>5014644</v>
      </c>
      <c r="H32" s="102"/>
      <c r="I32" s="111"/>
      <c r="J32" s="152">
        <f ca="1">SUM(J30:J31)</f>
        <v>7189336</v>
      </c>
      <c r="K32" s="115"/>
      <c r="L32" s="153"/>
      <c r="M32" s="63"/>
      <c r="N32" s="63"/>
    </row>
    <row r="33" spans="1:14">
      <c r="A33" s="91"/>
      <c r="B33" s="91"/>
      <c r="C33" s="89"/>
      <c r="D33" s="89"/>
      <c r="E33" s="89"/>
      <c r="F33" s="84"/>
      <c r="G33" s="83"/>
      <c r="H33" s="89"/>
      <c r="I33" s="84"/>
      <c r="J33" s="83"/>
      <c r="K33" s="83"/>
      <c r="L33" s="153"/>
      <c r="M33" s="63"/>
      <c r="N33" s="63"/>
    </row>
    <row r="34" spans="1:14">
      <c r="A34" s="140" t="s">
        <v>158</v>
      </c>
      <c r="B34" s="91"/>
      <c r="C34" s="89"/>
      <c r="D34" s="89"/>
      <c r="E34" s="89"/>
      <c r="F34" s="84"/>
      <c r="G34" s="83"/>
      <c r="H34" s="89"/>
      <c r="I34" s="84"/>
      <c r="J34" s="83"/>
      <c r="K34" s="83"/>
      <c r="L34" s="153"/>
      <c r="M34" s="63"/>
      <c r="N34" s="63"/>
    </row>
    <row r="35" spans="1:14">
      <c r="A35" s="142" t="s">
        <v>151</v>
      </c>
      <c r="B35" s="91"/>
      <c r="C35" s="89">
        <f>SUM('[1]Tariff 40'!D36,'[1]Tariff 40'!D38)</f>
        <v>61195990</v>
      </c>
      <c r="D35" s="89"/>
      <c r="E35" s="149">
        <v>1.24E-3</v>
      </c>
      <c r="F35" s="84"/>
      <c r="G35" s="115">
        <f t="shared" ref="G35:G36" si="11">ROUND(E35*$C35,0)</f>
        <v>75883</v>
      </c>
      <c r="H35" s="149">
        <f ca="1">'Exhibit No.__(JAP-SV RD)'!G77</f>
        <v>1.2600000000000001E-3</v>
      </c>
      <c r="I35" s="84"/>
      <c r="J35" s="115">
        <f ca="1">ROUND($C35*H35,0)</f>
        <v>77107</v>
      </c>
      <c r="K35" s="83"/>
      <c r="L35" s="521" t="s">
        <v>149</v>
      </c>
      <c r="M35" s="521"/>
      <c r="N35" s="521"/>
    </row>
    <row r="36" spans="1:14">
      <c r="A36" s="142" t="s">
        <v>147</v>
      </c>
      <c r="B36" s="91"/>
      <c r="C36" s="89">
        <f>SUM('[1]Tariff 40'!D37,'[1]Tariff 40'!D39)</f>
        <v>98712577</v>
      </c>
      <c r="D36" s="89"/>
      <c r="E36" s="149">
        <f>'Exhibit No.__(JAP-Tariff)'!E120</f>
        <v>1.08E-3</v>
      </c>
      <c r="F36" s="84"/>
      <c r="G36" s="115">
        <f t="shared" si="11"/>
        <v>106610</v>
      </c>
      <c r="H36" s="149">
        <f ca="1">'Exhibit No.__(JAP-PV RD)'!G27</f>
        <v>1.07E-3</v>
      </c>
      <c r="I36" s="84"/>
      <c r="J36" s="115">
        <f ca="1">ROUND($C36*H36,0)</f>
        <v>105622</v>
      </c>
      <c r="K36" s="83"/>
      <c r="L36" s="521" t="s">
        <v>150</v>
      </c>
      <c r="M36" s="521"/>
      <c r="N36" s="521"/>
    </row>
    <row r="37" spans="1:14">
      <c r="A37" s="143" t="s">
        <v>37</v>
      </c>
      <c r="B37" s="91"/>
      <c r="C37" s="151">
        <f>SUM(C33:C36)</f>
        <v>159908567</v>
      </c>
      <c r="D37" s="89"/>
      <c r="E37" s="149"/>
      <c r="F37" s="111"/>
      <c r="G37" s="152">
        <f>SUM(G35:G36)</f>
        <v>182493</v>
      </c>
      <c r="H37" s="149"/>
      <c r="I37" s="111"/>
      <c r="J37" s="152">
        <f ca="1">SUM(J35:J36)</f>
        <v>182729</v>
      </c>
      <c r="K37" s="83"/>
      <c r="L37" s="153"/>
      <c r="M37" s="63"/>
      <c r="N37" s="63"/>
    </row>
    <row r="38" spans="1:14">
      <c r="A38" s="91"/>
      <c r="B38" s="91"/>
      <c r="C38" s="109"/>
      <c r="D38" s="109"/>
      <c r="E38" s="149"/>
      <c r="F38" s="111"/>
      <c r="G38" s="115"/>
      <c r="H38" s="149"/>
      <c r="I38" s="111"/>
      <c r="J38" s="115"/>
      <c r="K38" s="83"/>
      <c r="L38" s="153"/>
      <c r="M38" s="63"/>
      <c r="N38" s="63"/>
    </row>
    <row r="39" spans="1:14">
      <c r="A39" s="91" t="s">
        <v>157</v>
      </c>
      <c r="B39" s="91"/>
      <c r="C39" s="109"/>
      <c r="D39" s="109"/>
      <c r="E39" s="149"/>
      <c r="F39" s="111"/>
      <c r="G39" s="152">
        <f>'[1]Tariff 40'!$D$111</f>
        <v>3441161.8012620001</v>
      </c>
      <c r="H39" s="149"/>
      <c r="I39" s="111"/>
      <c r="J39" s="152">
        <f ca="1">'[3]Distribution Revenue'!$H$30</f>
        <v>4898827.5</v>
      </c>
      <c r="K39" s="83"/>
      <c r="L39" s="521" t="s">
        <v>176</v>
      </c>
      <c r="M39" s="521"/>
      <c r="N39" s="521"/>
    </row>
    <row r="40" spans="1:14">
      <c r="A40" s="91"/>
      <c r="B40" s="91"/>
      <c r="C40" s="89"/>
      <c r="D40" s="89"/>
      <c r="E40" s="89"/>
      <c r="F40" s="84"/>
      <c r="G40" s="83"/>
      <c r="H40" s="149"/>
      <c r="I40" s="84"/>
      <c r="J40" s="83"/>
      <c r="K40" s="83"/>
      <c r="L40" s="96"/>
      <c r="M40" s="95"/>
      <c r="N40" s="63"/>
    </row>
    <row r="41" spans="1:14" ht="16.2" thickBot="1">
      <c r="A41" s="91" t="s">
        <v>41</v>
      </c>
      <c r="B41" s="91"/>
      <c r="C41" s="89"/>
      <c r="D41" s="89"/>
      <c r="E41" s="89"/>
      <c r="F41" s="84"/>
      <c r="G41" s="118">
        <f ca="1">SUM(G39,G37,G32,G27,G18)</f>
        <v>43551319.801261999</v>
      </c>
      <c r="H41" s="89"/>
      <c r="I41" s="84"/>
      <c r="J41" s="118">
        <f ca="1">SUM(J39,J37,J32,J27,J18)</f>
        <v>45113185.5</v>
      </c>
      <c r="K41" s="112"/>
      <c r="L41" s="96"/>
      <c r="M41" s="95"/>
      <c r="N41" s="63"/>
    </row>
    <row r="42" spans="1:14" ht="16.2" thickTop="1">
      <c r="A42" s="91"/>
      <c r="B42" s="127"/>
      <c r="C42" s="89"/>
      <c r="D42" s="89"/>
      <c r="E42" s="89"/>
      <c r="F42" s="91"/>
      <c r="G42" s="80"/>
      <c r="H42" s="89"/>
      <c r="I42" s="91"/>
      <c r="J42" s="80"/>
      <c r="K42" s="80"/>
      <c r="L42" s="96"/>
      <c r="M42" s="95"/>
      <c r="N42" s="63"/>
    </row>
    <row r="43" spans="1:14">
      <c r="J43" s="357">
        <f ca="1">'Exhibit No.__(JAP-Rate Spread)'!K22*1000</f>
        <v>45113185.500063345</v>
      </c>
      <c r="K43" s="358"/>
      <c r="L43" s="526" t="s">
        <v>159</v>
      </c>
      <c r="M43" s="526"/>
      <c r="N43" s="527"/>
    </row>
    <row r="44" spans="1:14">
      <c r="B44" s="91"/>
      <c r="C44" s="125"/>
      <c r="D44" s="125"/>
      <c r="E44" s="80"/>
      <c r="F44" s="91"/>
      <c r="G44" s="91"/>
      <c r="H44" s="80"/>
      <c r="I44" s="91"/>
      <c r="J44" s="359">
        <f ca="1">J43-J41-J62</f>
        <v>6.3344836235046387E-5</v>
      </c>
      <c r="K44" s="83"/>
      <c r="L44" s="528" t="s">
        <v>379</v>
      </c>
      <c r="M44" s="529"/>
      <c r="N44" s="530" t="s">
        <v>0</v>
      </c>
    </row>
    <row r="45" spans="1:14">
      <c r="B45" s="91"/>
      <c r="C45" s="125"/>
      <c r="D45" s="125"/>
      <c r="E45" s="80"/>
      <c r="F45" s="91"/>
      <c r="G45" s="91"/>
      <c r="H45" s="80"/>
      <c r="I45" s="91"/>
      <c r="J45" s="360">
        <f ca="1">J43/SUM(G59,G41)-1</f>
        <v>3.5862647868537323E-2</v>
      </c>
      <c r="K45" s="130"/>
      <c r="L45" s="361"/>
      <c r="M45" s="362"/>
      <c r="N45" s="129"/>
    </row>
    <row r="46" spans="1:14">
      <c r="A46" s="64" t="s">
        <v>160</v>
      </c>
    </row>
    <row r="47" spans="1:14">
      <c r="A47" s="142" t="s">
        <v>161</v>
      </c>
    </row>
    <row r="48" spans="1:14">
      <c r="A48" s="158" t="s">
        <v>162</v>
      </c>
      <c r="C48" s="331">
        <f ca="1">ROUND('[3]2017 FCR Rates'!$H$7,2)</f>
        <v>0.95</v>
      </c>
      <c r="D48" s="159"/>
    </row>
    <row r="49" spans="1:22">
      <c r="A49" s="142" t="s">
        <v>167</v>
      </c>
      <c r="C49" s="156"/>
      <c r="D49" s="156"/>
      <c r="E49" s="156"/>
    </row>
    <row r="50" spans="1:22">
      <c r="A50" s="157" t="s">
        <v>168</v>
      </c>
      <c r="C50" s="159">
        <f ca="1">'[3]2017 FCR Rates'!$G$10</f>
        <v>1.7552976600949292E-2</v>
      </c>
      <c r="D50" s="159"/>
      <c r="E50" s="159"/>
    </row>
    <row r="51" spans="1:22">
      <c r="A51" s="157" t="s">
        <v>169</v>
      </c>
      <c r="C51" s="159">
        <f ca="1">'[3]2017 FCR Rates'!$G$11</f>
        <v>3.7069728960821585E-2</v>
      </c>
      <c r="D51" s="159">
        <f ca="1">+C51-C50</f>
        <v>1.9516752359872293E-2</v>
      </c>
    </row>
    <row r="52" spans="1:22">
      <c r="A52" s="157" t="s">
        <v>170</v>
      </c>
      <c r="C52" s="159">
        <f ca="1">'[3]2017 FCR Rates'!$G$12</f>
        <v>7.8836606634277315E-2</v>
      </c>
      <c r="D52" s="159">
        <f ca="1">+C52-C50</f>
        <v>6.1283630033328026E-2</v>
      </c>
    </row>
    <row r="53" spans="1:22">
      <c r="A53" s="164"/>
      <c r="B53" s="163"/>
      <c r="C53" s="163"/>
      <c r="D53" s="161"/>
      <c r="U53" s="64">
        <v>9.4700000000000006</v>
      </c>
      <c r="V53" s="64">
        <v>9.69</v>
      </c>
    </row>
    <row r="54" spans="1:22">
      <c r="A54" s="142" t="s">
        <v>173</v>
      </c>
      <c r="B54" s="163"/>
      <c r="C54" s="167" t="s">
        <v>178</v>
      </c>
      <c r="D54" s="167" t="s">
        <v>166</v>
      </c>
      <c r="E54" s="168" t="s">
        <v>171</v>
      </c>
      <c r="F54" s="168"/>
      <c r="G54" s="169" t="s">
        <v>172</v>
      </c>
      <c r="U54" s="64">
        <v>5.88</v>
      </c>
      <c r="V54" s="64">
        <v>6.13</v>
      </c>
    </row>
    <row r="55" spans="1:22">
      <c r="A55" s="160" t="s">
        <v>163</v>
      </c>
      <c r="C55" s="162">
        <f>'Exhibit No.__(JAP-Tariff)'!E116</f>
        <v>4.0199999999999996</v>
      </c>
      <c r="D55" s="162">
        <f ca="1">ROUND(C55*$C$48,2)</f>
        <v>3.82</v>
      </c>
      <c r="E55" s="162">
        <f>'Exhibit No.__(JAP-HV RD)'!G35</f>
        <v>5.48</v>
      </c>
      <c r="G55" s="64">
        <f ca="1">ROUND(E55/$C$48,2)</f>
        <v>5.77</v>
      </c>
      <c r="U55" s="64">
        <f>U53-U54</f>
        <v>3.5900000000000007</v>
      </c>
      <c r="V55" s="64">
        <f>V53-V54</f>
        <v>3.5599999999999996</v>
      </c>
    </row>
    <row r="56" spans="1:22">
      <c r="A56" s="160" t="s">
        <v>164</v>
      </c>
      <c r="C56" s="162">
        <f>'Exhibit No.__(JAP-Tariff)'!E115</f>
        <v>4.1100000000000003</v>
      </c>
      <c r="D56" s="162">
        <f ca="1">ROUND(C56*$C$48,2)</f>
        <v>3.9</v>
      </c>
      <c r="E56" s="162">
        <f ca="1">ROUND(+E55*(1+D51),2)</f>
        <v>5.59</v>
      </c>
      <c r="G56" s="64">
        <f ca="1">ROUND(E56/$C$48,2)</f>
        <v>5.88</v>
      </c>
    </row>
    <row r="57" spans="1:22">
      <c r="A57" s="160" t="s">
        <v>165</v>
      </c>
      <c r="C57" s="162">
        <f>'Exhibit No.__(JAP-Tariff)'!E114</f>
        <v>4.2</v>
      </c>
      <c r="D57" s="162">
        <f ca="1">ROUND(C57*$C$48,2)</f>
        <v>3.99</v>
      </c>
      <c r="E57" s="162">
        <f ca="1">ROUND(+E55*(1+D52),2)</f>
        <v>5.82</v>
      </c>
      <c r="G57" s="64">
        <f ca="1">ROUND(E57/$C$48,2)</f>
        <v>6.13</v>
      </c>
    </row>
    <row r="58" spans="1:22">
      <c r="A58" s="142" t="s">
        <v>174</v>
      </c>
      <c r="B58" s="163"/>
      <c r="C58" s="163"/>
      <c r="D58" s="161"/>
      <c r="E58" s="64" t="s">
        <v>171</v>
      </c>
      <c r="G58" s="165" t="s">
        <v>172</v>
      </c>
    </row>
    <row r="59" spans="1:22">
      <c r="A59" s="160" t="s">
        <v>1015</v>
      </c>
      <c r="C59" s="150">
        <f>'Exhibit No.__(JAP-Tariff)'!E111</f>
        <v>5.4413000000000003E-2</v>
      </c>
      <c r="D59" s="166"/>
      <c r="E59" s="330">
        <f ca="1">ROUND('Exhibit No.__(JAP-HV RD)'!G31,6)</f>
        <v>5.0738999999999999E-2</v>
      </c>
      <c r="F59" s="166"/>
      <c r="G59" s="166">
        <f ca="1">E59</f>
        <v>5.0738999999999999E-2</v>
      </c>
    </row>
    <row r="60" spans="1:22">
      <c r="A60" s="160" t="s">
        <v>1016</v>
      </c>
      <c r="C60" s="150">
        <f>'Exhibit No.__(JAP-Tariff)'!E110</f>
        <v>5.5190999999999997E-2</v>
      </c>
      <c r="D60" s="166"/>
      <c r="F60" s="166"/>
      <c r="G60" s="166">
        <f ca="1">ROUND(+E59*(1+D51),6)</f>
        <v>5.1728999999999997E-2</v>
      </c>
    </row>
    <row r="61" spans="1:22">
      <c r="A61" s="160" t="s">
        <v>1017</v>
      </c>
      <c r="C61" s="150">
        <f>'Exhibit No.__(JAP-Tariff)'!E109</f>
        <v>5.6638000000000001E-2</v>
      </c>
      <c r="D61" s="166"/>
      <c r="F61" s="166"/>
      <c r="G61" s="166">
        <f ca="1">ROUND(+E59*(1+D52),6)</f>
        <v>5.3848E-2</v>
      </c>
    </row>
    <row r="63" spans="1:22" ht="16.2" thickBot="1"/>
    <row r="64" spans="1:22" ht="16.2" thickBot="1">
      <c r="O64" s="523" t="s">
        <v>997</v>
      </c>
      <c r="P64" s="524"/>
      <c r="Q64" s="524"/>
      <c r="R64" s="524"/>
      <c r="S64" s="524"/>
      <c r="T64" s="525"/>
    </row>
    <row r="65" spans="1:20" s="171" customFormat="1" ht="56.4" thickBot="1">
      <c r="A65" s="364" t="s">
        <v>179</v>
      </c>
      <c r="B65" s="365"/>
      <c r="C65" s="366" t="s">
        <v>180</v>
      </c>
      <c r="D65" s="366" t="s">
        <v>181</v>
      </c>
      <c r="E65" s="366" t="s">
        <v>182</v>
      </c>
      <c r="F65" s="366"/>
      <c r="G65" s="367" t="s">
        <v>183</v>
      </c>
      <c r="H65" s="367" t="s">
        <v>343</v>
      </c>
      <c r="I65" s="366"/>
      <c r="J65" s="367" t="s">
        <v>344</v>
      </c>
      <c r="K65" s="368"/>
      <c r="L65" s="367" t="s">
        <v>345</v>
      </c>
      <c r="M65" s="369" t="s">
        <v>346</v>
      </c>
      <c r="N65" s="172"/>
      <c r="O65" s="474" t="s">
        <v>999</v>
      </c>
      <c r="P65" s="475" t="s">
        <v>998</v>
      </c>
      <c r="Q65" s="475" t="s">
        <v>1000</v>
      </c>
      <c r="R65" s="475" t="s">
        <v>1001</v>
      </c>
      <c r="S65" s="475" t="s">
        <v>1002</v>
      </c>
      <c r="T65" s="476" t="s">
        <v>1003</v>
      </c>
    </row>
    <row r="66" spans="1:20">
      <c r="A66" s="461" t="str">
        <f>'[1]Tariff 40'!B47</f>
        <v>kW - Cust 1</v>
      </c>
      <c r="B66" s="462"/>
      <c r="C66" s="463">
        <f ca="1">ROUND($H$31*G66,2)</f>
        <v>5.23</v>
      </c>
      <c r="D66" s="463">
        <f ca="1">ROUND($H$30*G66,2)</f>
        <v>5.45</v>
      </c>
      <c r="E66" s="463">
        <f ca="1">ROUND(H66*G66,2)</f>
        <v>3.81</v>
      </c>
      <c r="F66" s="462"/>
      <c r="G66" s="464">
        <f ca="1">'[3]Tariff Summary'!I30</f>
        <v>0.88980000000000004</v>
      </c>
      <c r="H66" s="463">
        <f ca="1">SUM(J66,L66,M66)</f>
        <v>4.2799999999999994</v>
      </c>
      <c r="I66" s="463"/>
      <c r="J66" s="463">
        <f ca="1">+'[3]Tariff Summary'!$F$30</f>
        <v>0.4</v>
      </c>
      <c r="K66" s="463"/>
      <c r="L66" s="463">
        <f ca="1">+'[3]Tariff Summary'!$G$30</f>
        <v>1.06</v>
      </c>
      <c r="M66" s="465">
        <f ca="1">+'[3]Tariff Summary'!$H$30</f>
        <v>2.82</v>
      </c>
      <c r="N66" s="399"/>
      <c r="O66" s="469">
        <f ca="1">SUM(C66,E66)</f>
        <v>9.0400000000000009</v>
      </c>
      <c r="P66" s="459">
        <f ca="1">SUM(D66:E66)</f>
        <v>9.26</v>
      </c>
      <c r="Q66" s="459">
        <f ca="1">$H$31</f>
        <v>5.88</v>
      </c>
      <c r="R66" s="459">
        <f ca="1">$H$30</f>
        <v>6.13</v>
      </c>
      <c r="S66" s="459">
        <f ca="1">O66-Q66</f>
        <v>3.160000000000001</v>
      </c>
      <c r="T66" s="466">
        <f ca="1">P66-R66</f>
        <v>3.13</v>
      </c>
    </row>
    <row r="67" spans="1:20">
      <c r="A67" s="173" t="str">
        <f>'[1]Tariff 40'!B53</f>
        <v>kW - Cust 2</v>
      </c>
      <c r="B67" s="39"/>
      <c r="C67" s="459">
        <f t="shared" ref="C67:C77" ca="1" si="12">ROUND($H$31*G67,2)</f>
        <v>5.28</v>
      </c>
      <c r="D67" s="459">
        <f t="shared" ref="D67:D77" ca="1" si="13">ROUND($H$30*G67,2)</f>
        <v>5.51</v>
      </c>
      <c r="E67" s="459">
        <f t="shared" ref="E67:E77" ca="1" si="14">ROUND(H67*G67,2)</f>
        <v>6.52</v>
      </c>
      <c r="F67" s="39"/>
      <c r="G67" s="460">
        <f ca="1">'[3]Tariff Summary'!I31</f>
        <v>0.89859999999999995</v>
      </c>
      <c r="H67" s="459">
        <f t="shared" ref="H67:H77" ca="1" si="15">SUM(J67,L67,M67)</f>
        <v>7.26</v>
      </c>
      <c r="I67" s="459"/>
      <c r="J67" s="459">
        <f ca="1">+'[3]Tariff Summary'!$F$31</f>
        <v>0.66</v>
      </c>
      <c r="K67" s="459"/>
      <c r="L67" s="459">
        <f ca="1">+'[3]Tariff Summary'!$G$31</f>
        <v>2.4</v>
      </c>
      <c r="M67" s="466">
        <f ca="1">+'[3]Tariff Summary'!$H$31</f>
        <v>4.2</v>
      </c>
      <c r="N67" s="399"/>
      <c r="O67" s="469">
        <f t="shared" ref="O67:O77" ca="1" si="16">SUM(C67,E67)</f>
        <v>11.8</v>
      </c>
      <c r="P67" s="459">
        <f t="shared" ref="P67:P77" ca="1" si="17">SUM(D67:E67)</f>
        <v>12.03</v>
      </c>
      <c r="Q67" s="459">
        <f t="shared" ref="Q67:Q77" ca="1" si="18">$H$31</f>
        <v>5.88</v>
      </c>
      <c r="R67" s="459">
        <f t="shared" ref="R67:R77" ca="1" si="19">$H$30</f>
        <v>6.13</v>
      </c>
      <c r="S67" s="459">
        <f t="shared" ref="S67:S77" ca="1" si="20">O67-Q67</f>
        <v>5.9200000000000008</v>
      </c>
      <c r="T67" s="466">
        <f t="shared" ref="T67:T77" ca="1" si="21">P67-R67</f>
        <v>5.8999999999999995</v>
      </c>
    </row>
    <row r="68" spans="1:20">
      <c r="A68" s="173" t="str">
        <f>'[1]Tariff 40'!B49</f>
        <v>kW - Cust 3</v>
      </c>
      <c r="B68" s="39"/>
      <c r="C68" s="459">
        <f t="shared" ca="1" si="12"/>
        <v>5.88</v>
      </c>
      <c r="D68" s="459">
        <f t="shared" ca="1" si="13"/>
        <v>6.13</v>
      </c>
      <c r="E68" s="459">
        <f t="shared" ca="1" si="14"/>
        <v>1.56</v>
      </c>
      <c r="F68" s="39"/>
      <c r="G68" s="460">
        <f ca="1">'[3]Tariff Summary'!I32</f>
        <v>1</v>
      </c>
      <c r="H68" s="459">
        <f t="shared" ca="1" si="15"/>
        <v>1.56</v>
      </c>
      <c r="I68" s="459"/>
      <c r="J68" s="459">
        <f ca="1">+'[3]Tariff Summary'!$F$32</f>
        <v>0</v>
      </c>
      <c r="K68" s="459"/>
      <c r="L68" s="459">
        <f ca="1">+'[3]Tariff Summary'!$G$32</f>
        <v>0.56999999999999995</v>
      </c>
      <c r="M68" s="466">
        <f ca="1">+'[3]Tariff Summary'!$H$32</f>
        <v>0.99</v>
      </c>
      <c r="N68" s="399"/>
      <c r="O68" s="469">
        <f t="shared" ca="1" si="16"/>
        <v>7.4399999999999995</v>
      </c>
      <c r="P68" s="459">
        <f t="shared" ca="1" si="17"/>
        <v>7.6899999999999995</v>
      </c>
      <c r="Q68" s="459">
        <f t="shared" ca="1" si="18"/>
        <v>5.88</v>
      </c>
      <c r="R68" s="459">
        <f t="shared" ca="1" si="19"/>
        <v>6.13</v>
      </c>
      <c r="S68" s="459">
        <f t="shared" ca="1" si="20"/>
        <v>1.5599999999999996</v>
      </c>
      <c r="T68" s="466">
        <f t="shared" ca="1" si="21"/>
        <v>1.5599999999999996</v>
      </c>
    </row>
    <row r="69" spans="1:20">
      <c r="A69" s="173" t="str">
        <f>'[1]Tariff 40'!B44</f>
        <v>kW - Cust 4</v>
      </c>
      <c r="B69" s="39"/>
      <c r="C69" s="459">
        <f t="shared" ca="1" si="12"/>
        <v>5.88</v>
      </c>
      <c r="D69" s="459">
        <f t="shared" ca="1" si="13"/>
        <v>6.13</v>
      </c>
      <c r="E69" s="459">
        <f t="shared" ca="1" si="14"/>
        <v>0.6</v>
      </c>
      <c r="F69" s="39"/>
      <c r="G69" s="460">
        <f ca="1">'[3]Tariff Summary'!I33</f>
        <v>1</v>
      </c>
      <c r="H69" s="459">
        <f t="shared" ca="1" si="15"/>
        <v>0.6</v>
      </c>
      <c r="I69" s="459"/>
      <c r="J69" s="459">
        <f ca="1">+'[3]Tariff Summary'!$F$33</f>
        <v>0</v>
      </c>
      <c r="K69" s="459"/>
      <c r="L69" s="459">
        <f ca="1">+'[3]Tariff Summary'!$G$33</f>
        <v>0.21</v>
      </c>
      <c r="M69" s="466">
        <f ca="1">+'[3]Tariff Summary'!$H$33</f>
        <v>0.39</v>
      </c>
      <c r="N69" s="399"/>
      <c r="O69" s="469">
        <f t="shared" ca="1" si="16"/>
        <v>6.4799999999999995</v>
      </c>
      <c r="P69" s="459">
        <f t="shared" ca="1" si="17"/>
        <v>6.7299999999999995</v>
      </c>
      <c r="Q69" s="459">
        <f t="shared" ca="1" si="18"/>
        <v>5.88</v>
      </c>
      <c r="R69" s="459">
        <f t="shared" ca="1" si="19"/>
        <v>6.13</v>
      </c>
      <c r="S69" s="459">
        <f t="shared" ca="1" si="20"/>
        <v>0.59999999999999964</v>
      </c>
      <c r="T69" s="466">
        <f t="shared" ca="1" si="21"/>
        <v>0.59999999999999964</v>
      </c>
    </row>
    <row r="70" spans="1:20">
      <c r="A70" s="173" t="str">
        <f>'[1]Tariff 40'!B52</f>
        <v>kW - Cust 5</v>
      </c>
      <c r="B70" s="39"/>
      <c r="C70" s="459">
        <f t="shared" ca="1" si="12"/>
        <v>5.8</v>
      </c>
      <c r="D70" s="459">
        <f t="shared" ca="1" si="13"/>
        <v>6.05</v>
      </c>
      <c r="E70" s="459">
        <f t="shared" ca="1" si="14"/>
        <v>2.73</v>
      </c>
      <c r="F70" s="39"/>
      <c r="G70" s="460">
        <f ca="1">'[3]Tariff Summary'!I34</f>
        <v>0.98680000000000001</v>
      </c>
      <c r="H70" s="459">
        <f t="shared" ca="1" si="15"/>
        <v>2.77</v>
      </c>
      <c r="I70" s="459"/>
      <c r="J70" s="459">
        <f ca="1">+'[3]Tariff Summary'!$F$34</f>
        <v>0.08</v>
      </c>
      <c r="K70" s="459"/>
      <c r="L70" s="459">
        <f ca="1">+'[3]Tariff Summary'!$G$34</f>
        <v>1.89</v>
      </c>
      <c r="M70" s="466">
        <f ca="1">+'[3]Tariff Summary'!$H$34</f>
        <v>0.8</v>
      </c>
      <c r="N70" s="399"/>
      <c r="O70" s="469">
        <f t="shared" ca="1" si="16"/>
        <v>8.5299999999999994</v>
      </c>
      <c r="P70" s="459">
        <f t="shared" ca="1" si="17"/>
        <v>8.7799999999999994</v>
      </c>
      <c r="Q70" s="459">
        <f t="shared" ca="1" si="18"/>
        <v>5.88</v>
      </c>
      <c r="R70" s="459">
        <f t="shared" ca="1" si="19"/>
        <v>6.13</v>
      </c>
      <c r="S70" s="459">
        <f t="shared" ca="1" si="20"/>
        <v>2.6499999999999995</v>
      </c>
      <c r="T70" s="466">
        <f t="shared" ca="1" si="21"/>
        <v>2.6499999999999995</v>
      </c>
    </row>
    <row r="71" spans="1:20">
      <c r="A71" s="173" t="str">
        <f>'[1]Tariff 40'!B45</f>
        <v xml:space="preserve">kW - Cust 6 </v>
      </c>
      <c r="B71" s="39"/>
      <c r="C71" s="459">
        <f t="shared" ca="1" si="12"/>
        <v>5.88</v>
      </c>
      <c r="D71" s="459">
        <f t="shared" ca="1" si="13"/>
        <v>6.13</v>
      </c>
      <c r="E71" s="459">
        <f t="shared" ca="1" si="14"/>
        <v>0.46</v>
      </c>
      <c r="F71" s="39"/>
      <c r="G71" s="460">
        <f ca="1">'[3]Tariff Summary'!I35</f>
        <v>1</v>
      </c>
      <c r="H71" s="459">
        <f t="shared" ca="1" si="15"/>
        <v>0.45999999999999996</v>
      </c>
      <c r="I71" s="459"/>
      <c r="J71" s="459">
        <f ca="1">+'[3]Tariff Summary'!$F$35</f>
        <v>0</v>
      </c>
      <c r="K71" s="459"/>
      <c r="L71" s="459">
        <f ca="1">+'[3]Tariff Summary'!$G$35</f>
        <v>0.24</v>
      </c>
      <c r="M71" s="466">
        <f ca="1">+'[3]Tariff Summary'!$H$35</f>
        <v>0.22</v>
      </c>
      <c r="N71" s="399"/>
      <c r="O71" s="469">
        <f t="shared" ca="1" si="16"/>
        <v>6.34</v>
      </c>
      <c r="P71" s="459">
        <f t="shared" ca="1" si="17"/>
        <v>6.59</v>
      </c>
      <c r="Q71" s="459">
        <f t="shared" ca="1" si="18"/>
        <v>5.88</v>
      </c>
      <c r="R71" s="459">
        <f t="shared" ca="1" si="19"/>
        <v>6.13</v>
      </c>
      <c r="S71" s="459">
        <f t="shared" ca="1" si="20"/>
        <v>0.45999999999999996</v>
      </c>
      <c r="T71" s="466">
        <f t="shared" ca="1" si="21"/>
        <v>0.45999999999999996</v>
      </c>
    </row>
    <row r="72" spans="1:20">
      <c r="A72" s="173" t="str">
        <f>'[1]Tariff 40'!B50</f>
        <v>kW - Cust 7</v>
      </c>
      <c r="B72" s="39"/>
      <c r="C72" s="459">
        <f t="shared" ca="1" si="12"/>
        <v>5.88</v>
      </c>
      <c r="D72" s="459">
        <f t="shared" ca="1" si="13"/>
        <v>6.13</v>
      </c>
      <c r="E72" s="459">
        <f t="shared" ca="1" si="14"/>
        <v>2.1800000000000002</v>
      </c>
      <c r="F72" s="39"/>
      <c r="G72" s="460">
        <f ca="1">'[3]Tariff Summary'!I36</f>
        <v>1</v>
      </c>
      <c r="H72" s="459">
        <f t="shared" ca="1" si="15"/>
        <v>2.1800000000000002</v>
      </c>
      <c r="I72" s="459"/>
      <c r="J72" s="459">
        <f ca="1">+'[3]Tariff Summary'!$F$36</f>
        <v>0</v>
      </c>
      <c r="K72" s="459"/>
      <c r="L72" s="459">
        <f ca="1">+'[3]Tariff Summary'!$G$36</f>
        <v>0.64</v>
      </c>
      <c r="M72" s="466">
        <f ca="1">+'[3]Tariff Summary'!$H$36</f>
        <v>1.54</v>
      </c>
      <c r="N72" s="399"/>
      <c r="O72" s="469">
        <f t="shared" ca="1" si="16"/>
        <v>8.06</v>
      </c>
      <c r="P72" s="459">
        <f t="shared" ca="1" si="17"/>
        <v>8.31</v>
      </c>
      <c r="Q72" s="459">
        <f t="shared" ca="1" si="18"/>
        <v>5.88</v>
      </c>
      <c r="R72" s="459">
        <f t="shared" ca="1" si="19"/>
        <v>6.13</v>
      </c>
      <c r="S72" s="459">
        <f t="shared" ca="1" si="20"/>
        <v>2.1800000000000006</v>
      </c>
      <c r="T72" s="466">
        <f t="shared" ca="1" si="21"/>
        <v>2.1800000000000006</v>
      </c>
    </row>
    <row r="73" spans="1:20">
      <c r="A73" s="173" t="str">
        <f>'[1]Tariff 40'!B48</f>
        <v>kW - Cust 8</v>
      </c>
      <c r="B73" s="39"/>
      <c r="C73" s="459">
        <f t="shared" ca="1" si="12"/>
        <v>5.87</v>
      </c>
      <c r="D73" s="459">
        <f t="shared" ca="1" si="13"/>
        <v>6.12</v>
      </c>
      <c r="E73" s="459">
        <f t="shared" ca="1" si="14"/>
        <v>2.61</v>
      </c>
      <c r="F73" s="39"/>
      <c r="G73" s="460">
        <f ca="1">'[3]Tariff Summary'!I37</f>
        <v>0.99770000000000003</v>
      </c>
      <c r="H73" s="459">
        <f t="shared" ca="1" si="15"/>
        <v>2.62</v>
      </c>
      <c r="I73" s="459"/>
      <c r="J73" s="459">
        <f ca="1">+'[3]Tariff Summary'!$F$37</f>
        <v>0.03</v>
      </c>
      <c r="K73" s="459"/>
      <c r="L73" s="459">
        <f ca="1">+'[3]Tariff Summary'!$G$37</f>
        <v>1.33</v>
      </c>
      <c r="M73" s="466">
        <f ca="1">+'[3]Tariff Summary'!$H$37</f>
        <v>1.26</v>
      </c>
      <c r="N73" s="399"/>
      <c r="O73" s="469">
        <f t="shared" ca="1" si="16"/>
        <v>8.48</v>
      </c>
      <c r="P73" s="459">
        <f t="shared" ca="1" si="17"/>
        <v>8.73</v>
      </c>
      <c r="Q73" s="459">
        <f t="shared" ca="1" si="18"/>
        <v>5.88</v>
      </c>
      <c r="R73" s="459">
        <f t="shared" ca="1" si="19"/>
        <v>6.13</v>
      </c>
      <c r="S73" s="459">
        <f t="shared" ca="1" si="20"/>
        <v>2.6000000000000005</v>
      </c>
      <c r="T73" s="466">
        <f t="shared" ca="1" si="21"/>
        <v>2.6000000000000005</v>
      </c>
    </row>
    <row r="74" spans="1:20">
      <c r="A74" s="173" t="str">
        <f>'[1]Tariff 40'!B54</f>
        <v>kW - Cust 9</v>
      </c>
      <c r="B74" s="39"/>
      <c r="C74" s="459">
        <f t="shared" ca="1" si="12"/>
        <v>5.39</v>
      </c>
      <c r="D74" s="459">
        <f t="shared" ca="1" si="13"/>
        <v>5.62</v>
      </c>
      <c r="E74" s="459">
        <f t="shared" ca="1" si="14"/>
        <v>5.49</v>
      </c>
      <c r="F74" s="39"/>
      <c r="G74" s="460">
        <f ca="1">'[3]Tariff Summary'!I38</f>
        <v>0.91700000000000004</v>
      </c>
      <c r="H74" s="459">
        <f t="shared" ca="1" si="15"/>
        <v>5.99</v>
      </c>
      <c r="I74" s="459"/>
      <c r="J74" s="459">
        <f ca="1">+'[3]Tariff Summary'!$F$38</f>
        <v>0.82</v>
      </c>
      <c r="K74" s="459"/>
      <c r="L74" s="459">
        <f ca="1">+'[3]Tariff Summary'!$G$38</f>
        <v>2.36</v>
      </c>
      <c r="M74" s="466">
        <f ca="1">+'[3]Tariff Summary'!$H$38</f>
        <v>2.81</v>
      </c>
      <c r="N74" s="399"/>
      <c r="O74" s="469">
        <f t="shared" ca="1" si="16"/>
        <v>10.879999999999999</v>
      </c>
      <c r="P74" s="459">
        <f t="shared" ca="1" si="17"/>
        <v>11.11</v>
      </c>
      <c r="Q74" s="459">
        <f t="shared" ca="1" si="18"/>
        <v>5.88</v>
      </c>
      <c r="R74" s="459">
        <f t="shared" ca="1" si="19"/>
        <v>6.13</v>
      </c>
      <c r="S74" s="459">
        <f t="shared" ca="1" si="20"/>
        <v>4.9999999999999991</v>
      </c>
      <c r="T74" s="466">
        <f t="shared" ca="1" si="21"/>
        <v>4.9799999999999995</v>
      </c>
    </row>
    <row r="75" spans="1:20">
      <c r="A75" s="173" t="str">
        <f>'[1]Tariff 40'!B46</f>
        <v>kW - Cust 10</v>
      </c>
      <c r="B75" s="39"/>
      <c r="C75" s="459">
        <f t="shared" ca="1" si="12"/>
        <v>5.64</v>
      </c>
      <c r="D75" s="459">
        <f t="shared" ca="1" si="13"/>
        <v>5.88</v>
      </c>
      <c r="E75" s="459">
        <f t="shared" ca="1" si="14"/>
        <v>1.5</v>
      </c>
      <c r="F75" s="39"/>
      <c r="G75" s="460">
        <f ca="1">'[3]Tariff Summary'!I39</f>
        <v>0.95850000000000002</v>
      </c>
      <c r="H75" s="459">
        <f t="shared" ca="1" si="15"/>
        <v>1.57</v>
      </c>
      <c r="I75" s="459"/>
      <c r="J75" s="459">
        <f ca="1">+'[3]Tariff Summary'!$F$39</f>
        <v>0.59</v>
      </c>
      <c r="K75" s="459"/>
      <c r="L75" s="459">
        <f ca="1">+'[3]Tariff Summary'!$G$39</f>
        <v>0.42</v>
      </c>
      <c r="M75" s="466">
        <f ca="1">+'[3]Tariff Summary'!$H$39</f>
        <v>0.56000000000000005</v>
      </c>
      <c r="N75" s="399"/>
      <c r="O75" s="469">
        <f t="shared" ca="1" si="16"/>
        <v>7.14</v>
      </c>
      <c r="P75" s="459">
        <f t="shared" ca="1" si="17"/>
        <v>7.38</v>
      </c>
      <c r="Q75" s="459">
        <f t="shared" ca="1" si="18"/>
        <v>5.88</v>
      </c>
      <c r="R75" s="459">
        <f t="shared" ca="1" si="19"/>
        <v>6.13</v>
      </c>
      <c r="S75" s="459">
        <f t="shared" ca="1" si="20"/>
        <v>1.2599999999999998</v>
      </c>
      <c r="T75" s="466">
        <f t="shared" ca="1" si="21"/>
        <v>1.25</v>
      </c>
    </row>
    <row r="76" spans="1:20">
      <c r="A76" s="173" t="str">
        <f>'[1]Tariff 40'!B51</f>
        <v>kW - Cust 11</v>
      </c>
      <c r="B76" s="39"/>
      <c r="C76" s="459">
        <f t="shared" ca="1" si="12"/>
        <v>5.58</v>
      </c>
      <c r="D76" s="459">
        <f t="shared" ca="1" si="13"/>
        <v>5.82</v>
      </c>
      <c r="E76" s="459">
        <f t="shared" ca="1" si="14"/>
        <v>1.98</v>
      </c>
      <c r="F76" s="39"/>
      <c r="G76" s="460">
        <f ca="1">'[3]Tariff Summary'!I40</f>
        <v>0.94930000000000003</v>
      </c>
      <c r="H76" s="459">
        <f t="shared" ca="1" si="15"/>
        <v>2.09</v>
      </c>
      <c r="I76" s="459"/>
      <c r="J76" s="459">
        <f ca="1">+'[3]Tariff Summary'!$F$40</f>
        <v>0.71</v>
      </c>
      <c r="K76" s="459"/>
      <c r="L76" s="459">
        <f ca="1">+'[3]Tariff Summary'!$G$40</f>
        <v>0.52</v>
      </c>
      <c r="M76" s="466">
        <f ca="1">+'[3]Tariff Summary'!$H$40</f>
        <v>0.86</v>
      </c>
      <c r="N76" s="399"/>
      <c r="O76" s="469">
        <f t="shared" ca="1" si="16"/>
        <v>7.5600000000000005</v>
      </c>
      <c r="P76" s="459">
        <f t="shared" ca="1" si="17"/>
        <v>7.8000000000000007</v>
      </c>
      <c r="Q76" s="459">
        <f t="shared" ca="1" si="18"/>
        <v>5.88</v>
      </c>
      <c r="R76" s="459">
        <f t="shared" ca="1" si="19"/>
        <v>6.13</v>
      </c>
      <c r="S76" s="459">
        <f t="shared" ca="1" si="20"/>
        <v>1.6800000000000006</v>
      </c>
      <c r="T76" s="466">
        <f t="shared" ca="1" si="21"/>
        <v>1.6700000000000008</v>
      </c>
    </row>
    <row r="77" spans="1:20">
      <c r="A77" s="173" t="str">
        <f>'[1]Tariff 40'!B43</f>
        <v>kW - Cust 12</v>
      </c>
      <c r="B77" s="39"/>
      <c r="C77" s="459">
        <f t="shared" ca="1" si="12"/>
        <v>5.72</v>
      </c>
      <c r="D77" s="459">
        <f t="shared" ca="1" si="13"/>
        <v>5.97</v>
      </c>
      <c r="E77" s="459">
        <f t="shared" ca="1" si="14"/>
        <v>0.82</v>
      </c>
      <c r="F77" s="39"/>
      <c r="G77" s="460">
        <f ca="1">'[3]Tariff Summary'!I41</f>
        <v>0.97319999999999995</v>
      </c>
      <c r="H77" s="459">
        <f t="shared" ca="1" si="15"/>
        <v>0.84</v>
      </c>
      <c r="I77" s="459"/>
      <c r="J77" s="459">
        <f ca="1">+'[3]Tariff Summary'!$F$41</f>
        <v>0.22</v>
      </c>
      <c r="K77" s="459"/>
      <c r="L77" s="459">
        <f ca="1">+'[3]Tariff Summary'!$G$41</f>
        <v>0.27</v>
      </c>
      <c r="M77" s="466">
        <f ca="1">+'[3]Tariff Summary'!$H$41</f>
        <v>0.35</v>
      </c>
      <c r="N77" s="399"/>
      <c r="O77" s="469">
        <f t="shared" ca="1" si="16"/>
        <v>6.54</v>
      </c>
      <c r="P77" s="459">
        <f t="shared" ca="1" si="17"/>
        <v>6.79</v>
      </c>
      <c r="Q77" s="459">
        <f t="shared" ca="1" si="18"/>
        <v>5.88</v>
      </c>
      <c r="R77" s="459">
        <f t="shared" ca="1" si="19"/>
        <v>6.13</v>
      </c>
      <c r="S77" s="459">
        <f t="shared" ca="1" si="20"/>
        <v>0.66000000000000014</v>
      </c>
      <c r="T77" s="466">
        <f t="shared" ca="1" si="21"/>
        <v>0.66000000000000014</v>
      </c>
    </row>
    <row r="78" spans="1:20">
      <c r="A78" s="467"/>
      <c r="B78" s="39"/>
      <c r="C78" s="459"/>
      <c r="D78" s="459"/>
      <c r="E78" s="459"/>
      <c r="F78" s="39"/>
      <c r="G78" s="460"/>
      <c r="H78" s="459"/>
      <c r="I78" s="459"/>
      <c r="J78" s="459"/>
      <c r="K78" s="459"/>
      <c r="L78" s="459"/>
      <c r="M78" s="466"/>
      <c r="N78" s="399"/>
      <c r="O78" s="469"/>
      <c r="P78" s="39"/>
      <c r="Q78" s="39"/>
      <c r="R78" s="39"/>
      <c r="S78" s="39"/>
      <c r="T78" s="470"/>
    </row>
    <row r="79" spans="1:20">
      <c r="A79" s="467"/>
      <c r="B79" s="39"/>
      <c r="C79" s="459"/>
      <c r="D79" s="459"/>
      <c r="E79" s="459"/>
      <c r="F79" s="39"/>
      <c r="G79" s="460"/>
      <c r="H79" s="459"/>
      <c r="I79" s="459"/>
      <c r="J79" s="459"/>
      <c r="K79" s="459"/>
      <c r="L79" s="459"/>
      <c r="M79" s="466"/>
      <c r="N79" s="399"/>
      <c r="O79" s="469"/>
      <c r="P79" s="39"/>
      <c r="Q79" s="39"/>
      <c r="R79" s="39"/>
      <c r="S79" s="39"/>
      <c r="T79" s="470"/>
    </row>
    <row r="80" spans="1:20">
      <c r="A80" s="173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174"/>
      <c r="O80" s="471"/>
      <c r="P80" s="39"/>
      <c r="Q80" s="39"/>
      <c r="R80" s="39"/>
      <c r="S80" s="39"/>
      <c r="T80" s="470"/>
    </row>
    <row r="81" spans="1:20" ht="16.2" thickBot="1">
      <c r="A81" s="356" t="s">
        <v>415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6"/>
      <c r="O81" s="472"/>
      <c r="P81" s="175"/>
      <c r="Q81" s="175"/>
      <c r="R81" s="175"/>
      <c r="S81" s="175"/>
      <c r="T81" s="473"/>
    </row>
  </sheetData>
  <mergeCells count="22">
    <mergeCell ref="O64:T64"/>
    <mergeCell ref="L43:N43"/>
    <mergeCell ref="L44:N4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5:N35"/>
    <mergeCell ref="L36:N36"/>
    <mergeCell ref="L39:N39"/>
    <mergeCell ref="L24:N24"/>
    <mergeCell ref="L25:N25"/>
    <mergeCell ref="L26:N26"/>
    <mergeCell ref="L30:N30"/>
    <mergeCell ref="L31:N31"/>
  </mergeCells>
  <conditionalFormatting sqref="S66:T77">
    <cfRule type="cellIs" dxfId="0" priority="1" operator="lessThan">
      <formula>0</formula>
    </cfRule>
  </conditionalFormatting>
  <printOptions horizontalCentered="1"/>
  <pageMargins left="0.7" right="0.7" top="0.75" bottom="0.71" header="0.3" footer="0.3"/>
  <pageSetup scale="61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45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6" activePane="bottomLeft" state="frozen"/>
      <selection pane="bottomLeft" activeCell="G35" sqref="G35"/>
    </sheetView>
  </sheetViews>
  <sheetFormatPr defaultColWidth="10.19921875" defaultRowHeight="15.6"/>
  <cols>
    <col min="1" max="1" width="28.59765625" style="64" bestFit="1" customWidth="1"/>
    <col min="2" max="2" width="1.3984375" style="64" bestFit="1" customWidth="1"/>
    <col min="3" max="3" width="11.59765625" style="64" bestFit="1" customWidth="1"/>
    <col min="4" max="4" width="10.796875" style="64" bestFit="1" customWidth="1"/>
    <col min="5" max="5" width="5.3984375" style="64" bestFit="1" customWidth="1"/>
    <col min="6" max="6" width="11.59765625" style="64" bestFit="1" customWidth="1"/>
    <col min="7" max="7" width="12.8984375" style="64" customWidth="1"/>
    <col min="8" max="8" width="2" style="64" bestFit="1" customWidth="1"/>
    <col min="9" max="9" width="14.69921875" style="64" customWidth="1"/>
    <col min="10" max="10" width="1.59765625" style="64" customWidth="1"/>
    <col min="11" max="11" width="21.8984375" style="64" bestFit="1" customWidth="1"/>
    <col min="12" max="12" width="12.3984375" style="70" bestFit="1" customWidth="1"/>
    <col min="13" max="13" width="10.296875" style="70" bestFit="1" customWidth="1"/>
    <col min="14" max="14" width="7.09765625" style="70" bestFit="1" customWidth="1"/>
    <col min="15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40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62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40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40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40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40">
      <c r="A5" s="67" t="s">
        <v>184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0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40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40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40">
      <c r="A9" s="71"/>
      <c r="B9" s="71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40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40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40">
      <c r="A12" s="139" t="s">
        <v>185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39"/>
      <c r="L12" s="63"/>
      <c r="M12" s="63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81"/>
    </row>
    <row r="13" spans="1:40">
      <c r="A13" s="140" t="s">
        <v>64</v>
      </c>
      <c r="B13" s="91"/>
      <c r="C13" s="91"/>
      <c r="D13" s="80"/>
      <c r="E13" s="91"/>
      <c r="F13" s="91"/>
      <c r="G13" s="80"/>
      <c r="H13" s="91"/>
      <c r="I13" s="91"/>
      <c r="J13" s="91"/>
      <c r="K13" s="39"/>
      <c r="L13" s="63"/>
      <c r="M13" s="63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G13" s="81"/>
    </row>
    <row r="14" spans="1:40">
      <c r="A14" s="140" t="s">
        <v>186</v>
      </c>
      <c r="B14" s="91"/>
      <c r="C14" s="109">
        <v>60</v>
      </c>
      <c r="D14" s="145"/>
      <c r="E14" s="111"/>
      <c r="F14" s="80"/>
      <c r="G14" s="145"/>
      <c r="H14" s="111"/>
      <c r="I14" s="80"/>
      <c r="J14" s="91"/>
      <c r="M14" s="110"/>
      <c r="N14" s="110"/>
      <c r="P14" s="81"/>
      <c r="Q14" s="108"/>
      <c r="R14" s="81"/>
      <c r="S14" s="108"/>
      <c r="T14" s="81"/>
      <c r="U14" s="81"/>
      <c r="V14" s="108"/>
      <c r="W14" s="52"/>
      <c r="X14" s="81"/>
      <c r="Y14" s="81"/>
      <c r="AG14" s="39"/>
      <c r="AH14" s="39"/>
      <c r="AI14" s="39"/>
      <c r="AJ14" s="39"/>
      <c r="AK14" s="39"/>
      <c r="AL14" s="39"/>
      <c r="AN14" s="81"/>
    </row>
    <row r="15" spans="1:40">
      <c r="A15" s="91" t="s">
        <v>91</v>
      </c>
      <c r="B15" s="91"/>
      <c r="C15" s="109"/>
      <c r="D15" s="145"/>
      <c r="E15" s="111"/>
      <c r="F15" s="80"/>
      <c r="G15" s="145"/>
      <c r="H15" s="111"/>
      <c r="I15" s="80"/>
      <c r="J15" s="91"/>
      <c r="M15" s="110"/>
      <c r="N15" s="110"/>
      <c r="P15" s="81"/>
      <c r="Q15" s="108"/>
      <c r="R15" s="81"/>
      <c r="S15" s="108"/>
      <c r="T15" s="81"/>
      <c r="U15" s="81"/>
      <c r="V15" s="108"/>
      <c r="W15" s="52"/>
      <c r="X15" s="81"/>
      <c r="Y15" s="81"/>
      <c r="AG15" s="39"/>
      <c r="AH15" s="39"/>
      <c r="AI15" s="39"/>
      <c r="AJ15" s="39"/>
      <c r="AK15" s="39"/>
      <c r="AL15" s="39"/>
      <c r="AN15" s="81"/>
    </row>
    <row r="16" spans="1:40">
      <c r="A16" s="142" t="s">
        <v>53</v>
      </c>
      <c r="B16" s="91"/>
      <c r="C16" s="109">
        <f>SUM('[1]Tariff 46'!$D$7:$D$9)</f>
        <v>63736317.697999991</v>
      </c>
      <c r="D16" s="145">
        <f>'Exhibit No.__(JAP-Tariff)'!E154</f>
        <v>5.4413000000000003E-2</v>
      </c>
      <c r="E16" s="111"/>
      <c r="F16" s="80">
        <f t="shared" ref="F16" si="0">ROUND(D16*$C16,0)</f>
        <v>3468084</v>
      </c>
      <c r="G16" s="145">
        <f ca="1">G31</f>
        <v>5.0738999999999999E-2</v>
      </c>
      <c r="H16" s="111"/>
      <c r="I16" s="80">
        <f t="shared" ref="I16" ca="1" si="1">ROUND(G16*$C16,0)</f>
        <v>3233917</v>
      </c>
      <c r="J16" s="112"/>
      <c r="K16" s="521" t="s">
        <v>191</v>
      </c>
      <c r="L16" s="521"/>
      <c r="M16" s="521"/>
      <c r="N16" s="110"/>
      <c r="O16" s="70"/>
      <c r="X16" s="39"/>
      <c r="Y16" s="39"/>
      <c r="Z16" s="39"/>
      <c r="AA16" s="39"/>
      <c r="AB16" s="39"/>
      <c r="AC16" s="39"/>
      <c r="AD16" s="39"/>
      <c r="AE16" s="39"/>
      <c r="AG16" s="81"/>
    </row>
    <row r="17" spans="1:33">
      <c r="A17" s="141" t="s">
        <v>86</v>
      </c>
      <c r="B17" s="107"/>
      <c r="C17" s="117">
        <f>'[1]Tariff 46'!$D$10</f>
        <v>539040</v>
      </c>
      <c r="D17" s="145">
        <f>ROUND(SUM(F16:F16,F20)/SUM(C16:C16),6)</f>
        <v>6.5379999999999994E-2</v>
      </c>
      <c r="E17" s="84"/>
      <c r="F17" s="130">
        <f t="shared" ref="F17" si="2">ROUND(D17*$C17,0)</f>
        <v>35242</v>
      </c>
      <c r="G17" s="397">
        <f ca="1">ROUND(+D17*(1+$M$37),6)</f>
        <v>6.6180000000000003E-2</v>
      </c>
      <c r="H17" s="84"/>
      <c r="I17" s="130">
        <f t="shared" ref="I17" ca="1" si="3">ROUND(G17*$C17,0)</f>
        <v>35674</v>
      </c>
      <c r="J17" s="83"/>
      <c r="K17" s="521" t="s">
        <v>94</v>
      </c>
      <c r="L17" s="521"/>
      <c r="M17" s="521"/>
      <c r="N17" s="52"/>
      <c r="X17" s="39"/>
      <c r="Y17" s="39"/>
      <c r="Z17" s="39"/>
      <c r="AA17" s="39"/>
      <c r="AB17" s="39"/>
      <c r="AC17" s="39"/>
      <c r="AD17" s="39"/>
      <c r="AE17" s="39"/>
      <c r="AG17" s="81"/>
    </row>
    <row r="18" spans="1:33">
      <c r="A18" s="143" t="s">
        <v>37</v>
      </c>
      <c r="B18" s="107"/>
      <c r="C18" s="89">
        <f>SUM(C16:C17)</f>
        <v>64275357.697999991</v>
      </c>
      <c r="D18" s="145"/>
      <c r="E18" s="84"/>
      <c r="F18" s="80">
        <f>SUM(F16:F17)</f>
        <v>3503326</v>
      </c>
      <c r="G18" s="145"/>
      <c r="H18" s="84"/>
      <c r="I18" s="80">
        <f ca="1">SUM(I16:I17)</f>
        <v>3269591</v>
      </c>
      <c r="J18" s="83"/>
      <c r="M18" s="52"/>
      <c r="N18" s="52"/>
      <c r="X18" s="39"/>
      <c r="Y18" s="39"/>
      <c r="Z18" s="39"/>
      <c r="AA18" s="39"/>
      <c r="AB18" s="39"/>
      <c r="AC18" s="39"/>
      <c r="AD18" s="39"/>
      <c r="AE18" s="39"/>
      <c r="AG18" s="81"/>
    </row>
    <row r="19" spans="1:33">
      <c r="A19" s="143"/>
      <c r="B19" s="107"/>
      <c r="C19" s="89"/>
      <c r="D19" s="145"/>
      <c r="E19" s="84"/>
      <c r="F19" s="80"/>
      <c r="G19" s="145"/>
      <c r="H19" s="84"/>
      <c r="I19" s="80"/>
      <c r="J19" s="83"/>
      <c r="M19" s="52"/>
      <c r="N19" s="52"/>
      <c r="X19" s="39"/>
      <c r="Y19" s="39"/>
      <c r="Z19" s="39"/>
      <c r="AA19" s="39"/>
      <c r="AB19" s="39"/>
      <c r="AC19" s="39"/>
      <c r="AD19" s="39"/>
      <c r="AE19" s="39"/>
      <c r="AG19" s="81"/>
    </row>
    <row r="20" spans="1:33">
      <c r="A20" s="140" t="s">
        <v>187</v>
      </c>
      <c r="B20" s="91"/>
      <c r="C20" s="109">
        <f>'[1]Tariff 46'!$D$14</f>
        <v>334461</v>
      </c>
      <c r="D20" s="144">
        <f>'Exhibit No.__(JAP-Tariff)'!E156</f>
        <v>2.09</v>
      </c>
      <c r="E20" s="111"/>
      <c r="F20" s="80">
        <f t="shared" ref="F20" si="4">ROUND(D20*$C20,0)</f>
        <v>699023</v>
      </c>
      <c r="G20" s="446">
        <v>2.95</v>
      </c>
      <c r="H20" s="111"/>
      <c r="I20" s="80">
        <f t="shared" ref="I20" si="5">ROUND(G20*$C20,0)</f>
        <v>986660</v>
      </c>
      <c r="J20" s="112"/>
      <c r="K20" s="521" t="s">
        <v>812</v>
      </c>
      <c r="L20" s="521"/>
      <c r="M20" s="521"/>
      <c r="N20" s="110"/>
      <c r="O20" s="70"/>
      <c r="X20" s="39"/>
      <c r="Y20" s="39"/>
      <c r="Z20" s="39"/>
      <c r="AA20" s="39"/>
      <c r="AB20" s="39"/>
      <c r="AC20" s="39"/>
      <c r="AD20" s="39"/>
      <c r="AE20" s="39"/>
      <c r="AG20" s="81"/>
    </row>
    <row r="21" spans="1:33">
      <c r="A21" s="141"/>
      <c r="B21" s="107"/>
      <c r="C21" s="89"/>
      <c r="D21" s="145"/>
      <c r="E21" s="84"/>
      <c r="F21" s="80"/>
      <c r="G21" s="145"/>
      <c r="H21" s="84"/>
      <c r="I21" s="80"/>
      <c r="J21" s="83"/>
      <c r="M21" s="52"/>
      <c r="N21" s="52"/>
      <c r="X21" s="39"/>
      <c r="Y21" s="39"/>
      <c r="Z21" s="39"/>
      <c r="AA21" s="39"/>
      <c r="AB21" s="39"/>
      <c r="AC21" s="39"/>
      <c r="AD21" s="39"/>
      <c r="AE21" s="39"/>
      <c r="AG21" s="81"/>
    </row>
    <row r="22" spans="1:33" ht="16.2" thickBot="1">
      <c r="A22" s="91" t="s">
        <v>41</v>
      </c>
      <c r="B22" s="91"/>
      <c r="C22" s="89"/>
      <c r="D22" s="120"/>
      <c r="E22" s="121"/>
      <c r="F22" s="131">
        <f>SUM(F20,F18)</f>
        <v>4202349</v>
      </c>
      <c r="G22" s="120"/>
      <c r="H22" s="121"/>
      <c r="I22" s="131">
        <f ca="1">SUM(I20,I18)</f>
        <v>4256251</v>
      </c>
      <c r="J22" s="118"/>
      <c r="K22" s="521" t="s">
        <v>94</v>
      </c>
      <c r="L22" s="521"/>
      <c r="M22" s="521"/>
      <c r="N22" s="119"/>
      <c r="O22" s="43" t="s">
        <v>0</v>
      </c>
      <c r="X22" s="39"/>
      <c r="Y22" s="39"/>
      <c r="Z22" s="39"/>
      <c r="AA22" s="39"/>
      <c r="AB22" s="39"/>
      <c r="AC22" s="39"/>
      <c r="AD22" s="39"/>
      <c r="AE22" s="39"/>
      <c r="AG22" s="81"/>
    </row>
    <row r="23" spans="1:33" ht="16.2" thickTop="1">
      <c r="A23" s="91"/>
      <c r="B23" s="91"/>
      <c r="C23" s="89"/>
      <c r="D23" s="120"/>
      <c r="E23" s="121"/>
      <c r="F23" s="112"/>
      <c r="G23" s="122"/>
      <c r="H23" s="121"/>
      <c r="I23" s="112"/>
      <c r="J23" s="112"/>
      <c r="M23" s="52"/>
      <c r="N23" s="119"/>
      <c r="O23" s="43"/>
      <c r="X23" s="39"/>
      <c r="Y23" s="39"/>
      <c r="Z23" s="39"/>
      <c r="AA23" s="39"/>
      <c r="AB23" s="39"/>
      <c r="AC23" s="39"/>
      <c r="AD23" s="39"/>
      <c r="AE23" s="39"/>
      <c r="AG23" s="81"/>
    </row>
    <row r="24" spans="1:33">
      <c r="A24" s="140" t="s">
        <v>188</v>
      </c>
      <c r="C24" s="177">
        <v>0.9</v>
      </c>
      <c r="D24" s="145">
        <f>+D16*C24</f>
        <v>4.8971700000000007E-2</v>
      </c>
      <c r="E24" s="178">
        <f>+E12*C24</f>
        <v>0</v>
      </c>
      <c r="F24" s="112"/>
      <c r="G24" s="145">
        <f ca="1">ROUND(+G16*C24,6)</f>
        <v>4.5664999999999997E-2</v>
      </c>
      <c r="H24" s="121"/>
      <c r="I24" s="112"/>
      <c r="J24" s="112"/>
      <c r="K24" s="447">
        <f ca="1">F22*M37</f>
        <v>51394.133889349789</v>
      </c>
      <c r="L24" s="533" t="s">
        <v>813</v>
      </c>
      <c r="M24" s="534"/>
      <c r="N24" s="119"/>
      <c r="O24" s="43"/>
      <c r="X24" s="39"/>
      <c r="Y24" s="39"/>
      <c r="Z24" s="39"/>
      <c r="AA24" s="39"/>
      <c r="AB24" s="39"/>
      <c r="AC24" s="39"/>
      <c r="AD24" s="39"/>
      <c r="AE24" s="39"/>
      <c r="AG24" s="81"/>
    </row>
    <row r="25" spans="1:33">
      <c r="A25" s="140" t="s">
        <v>189</v>
      </c>
      <c r="C25" s="156">
        <v>12</v>
      </c>
      <c r="D25" s="144">
        <f>+C25*D20</f>
        <v>25.08</v>
      </c>
      <c r="E25" s="179">
        <f>+C25*E14</f>
        <v>0</v>
      </c>
      <c r="F25" s="80"/>
      <c r="G25" s="144">
        <f>ROUND(+C25*G20,2)</f>
        <v>35.4</v>
      </c>
      <c r="H25" s="91"/>
      <c r="K25" s="448">
        <f ca="1">K24+F22</f>
        <v>4253743.1338893501</v>
      </c>
      <c r="L25" s="535" t="s">
        <v>814</v>
      </c>
      <c r="M25" s="536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91"/>
      <c r="B26" s="91"/>
      <c r="C26" s="97"/>
      <c r="D26" s="116" t="s">
        <v>0</v>
      </c>
      <c r="E26" s="91"/>
      <c r="F26" s="80"/>
      <c r="G26" s="124" t="s">
        <v>0</v>
      </c>
      <c r="H26" s="91"/>
      <c r="I26" s="80" t="s">
        <v>0</v>
      </c>
      <c r="J26" s="80"/>
      <c r="K26" s="449">
        <f ca="1">K25-I22</f>
        <v>-2507.8661106498912</v>
      </c>
      <c r="L26" s="537" t="s">
        <v>815</v>
      </c>
      <c r="M26" s="538"/>
      <c r="N26" s="6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>
      <c r="A27" s="139" t="s">
        <v>190</v>
      </c>
      <c r="B27" s="91"/>
      <c r="C27" s="91" t="s">
        <v>0</v>
      </c>
      <c r="D27" s="80"/>
      <c r="E27" s="91"/>
      <c r="F27" s="91"/>
      <c r="G27" s="80"/>
      <c r="H27" s="91"/>
      <c r="I27" s="91"/>
      <c r="J27" s="91"/>
      <c r="K27" s="39"/>
      <c r="L27" s="63"/>
      <c r="M27" s="63"/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3">
      <c r="A28" s="140" t="s">
        <v>65</v>
      </c>
      <c r="B28" s="91"/>
      <c r="C28" s="91"/>
      <c r="D28" s="80"/>
      <c r="E28" s="91"/>
      <c r="F28" s="91"/>
      <c r="G28" s="80"/>
      <c r="H28" s="91"/>
      <c r="I28" s="91"/>
      <c r="J28" s="91"/>
      <c r="K28" s="39"/>
      <c r="L28" s="63"/>
      <c r="M28" s="63"/>
      <c r="N28" s="6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3">
      <c r="A29" s="140" t="s">
        <v>186</v>
      </c>
      <c r="B29" s="91"/>
      <c r="C29" s="109">
        <v>240</v>
      </c>
      <c r="D29" s="145"/>
      <c r="E29" s="111"/>
      <c r="F29" s="80"/>
      <c r="G29" s="145"/>
      <c r="H29" s="111"/>
      <c r="I29" s="80"/>
      <c r="J29" s="91"/>
      <c r="M29" s="63"/>
      <c r="N29" s="6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3">
      <c r="A30" s="91" t="s">
        <v>91</v>
      </c>
      <c r="B30" s="91"/>
      <c r="C30" s="109"/>
      <c r="D30" s="145"/>
      <c r="E30" s="111"/>
      <c r="F30" s="80"/>
      <c r="G30" s="145"/>
      <c r="H30" s="111"/>
      <c r="I30" s="80"/>
      <c r="J30" s="91"/>
      <c r="M30" s="63"/>
      <c r="N30" s="6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3">
      <c r="A31" s="142" t="s">
        <v>53</v>
      </c>
      <c r="B31" s="91"/>
      <c r="C31" s="109">
        <f>SUM('[1]Tariff 49'!$D$7)</f>
        <v>565213426</v>
      </c>
      <c r="D31" s="145">
        <f>'Exhibit No.__(JAP-Tariff)'!E162</f>
        <v>5.4413000000000003E-2</v>
      </c>
      <c r="E31" s="111"/>
      <c r="F31" s="80">
        <f t="shared" ref="F31:F32" si="6">ROUND(D31*$C31,0)</f>
        <v>30754958</v>
      </c>
      <c r="G31" s="334">
        <f ca="1">ROUND(D31*(1+$M$41),6)+L44</f>
        <v>5.0738999999999999E-2</v>
      </c>
      <c r="H31" s="111"/>
      <c r="I31" s="80">
        <f t="shared" ref="I31" ca="1" si="7">ROUND(G31*$C31,0)</f>
        <v>28678364</v>
      </c>
      <c r="J31" s="112"/>
      <c r="K31" s="522" t="s">
        <v>414</v>
      </c>
      <c r="L31" s="521"/>
      <c r="M31" s="521"/>
      <c r="N31" s="6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>
      <c r="A32" s="141" t="s">
        <v>86</v>
      </c>
      <c r="B32" s="107"/>
      <c r="C32" s="117">
        <f>'[1]Tariff 49'!$D$8</f>
        <v>2770433</v>
      </c>
      <c r="D32" s="145">
        <f>ROUND(SUM(F31:F31,F35)/SUM(C31:C31),6)</f>
        <v>6.3659999999999994E-2</v>
      </c>
      <c r="E32" s="84"/>
      <c r="F32" s="130">
        <f t="shared" si="6"/>
        <v>176366</v>
      </c>
      <c r="G32" s="397">
        <f ca="1">ROUND(+D32*(1+$M$37),6)</f>
        <v>6.4438999999999996E-2</v>
      </c>
      <c r="H32" s="84"/>
      <c r="I32" s="130">
        <f ca="1">ROUND(G32*$C32,0)</f>
        <v>178524</v>
      </c>
      <c r="J32" s="83"/>
      <c r="K32" s="521" t="s">
        <v>94</v>
      </c>
      <c r="L32" s="521"/>
      <c r="M32" s="521"/>
      <c r="N32" s="6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>
      <c r="A33" s="143" t="s">
        <v>37</v>
      </c>
      <c r="B33" s="107"/>
      <c r="C33" s="89">
        <f>SUM(C31:C32)</f>
        <v>567983859</v>
      </c>
      <c r="D33" s="145"/>
      <c r="E33" s="84"/>
      <c r="F33" s="80">
        <f>SUM(F31:F32)</f>
        <v>30931324</v>
      </c>
      <c r="G33" s="145"/>
      <c r="H33" s="84"/>
      <c r="I33" s="80">
        <f ca="1">SUM(I31:I32)</f>
        <v>28856888</v>
      </c>
      <c r="J33" s="83"/>
      <c r="K33" s="521"/>
      <c r="L33" s="521"/>
      <c r="M33" s="521"/>
      <c r="N33" s="6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143"/>
      <c r="B34" s="107"/>
      <c r="C34" s="89"/>
      <c r="D34" s="145"/>
      <c r="E34" s="84"/>
      <c r="F34" s="80"/>
      <c r="G34" s="145"/>
      <c r="H34" s="84"/>
      <c r="I34" s="80"/>
      <c r="J34" s="83"/>
      <c r="M34" s="63"/>
      <c r="N34" s="6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>
      <c r="A35" s="140" t="s">
        <v>187</v>
      </c>
      <c r="B35" s="91"/>
      <c r="C35" s="109">
        <f>'[1]Tariff 49'!$D$12</f>
        <v>1412545</v>
      </c>
      <c r="D35" s="144">
        <f>'Exhibit No.__(JAP-Tariff)'!E164</f>
        <v>3.7</v>
      </c>
      <c r="E35" s="111"/>
      <c r="F35" s="80">
        <f t="shared" ref="F35" si="8">ROUND(D35*$C35,0)</f>
        <v>5226417</v>
      </c>
      <c r="G35" s="144">
        <f>ROUND(D35*(1+0.48),2)</f>
        <v>5.48</v>
      </c>
      <c r="H35" s="111"/>
      <c r="I35" s="80">
        <f>ROUND(G35*$C35,0)</f>
        <v>7740747</v>
      </c>
      <c r="J35" s="112"/>
      <c r="K35" s="522" t="s">
        <v>413</v>
      </c>
      <c r="L35" s="521"/>
      <c r="M35" s="521"/>
      <c r="N35" s="6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>
      <c r="A36" s="141"/>
      <c r="B36" s="107"/>
      <c r="C36" s="89"/>
      <c r="D36" s="145"/>
      <c r="E36" s="84"/>
      <c r="F36" s="80"/>
      <c r="G36" s="145"/>
      <c r="H36" s="84"/>
      <c r="I36" s="80"/>
      <c r="J36" s="83"/>
      <c r="M36" s="63"/>
      <c r="N36" s="6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16.2" thickBot="1">
      <c r="A37" s="91" t="s">
        <v>41</v>
      </c>
      <c r="B37" s="91"/>
      <c r="C37" s="89"/>
      <c r="D37" s="120"/>
      <c r="E37" s="121"/>
      <c r="F37" s="131">
        <f>SUM(F35,F33)</f>
        <v>36157741</v>
      </c>
      <c r="G37" s="120"/>
      <c r="H37" s="121"/>
      <c r="I37" s="131">
        <f ca="1">SUM(I35,I33)</f>
        <v>36597635</v>
      </c>
      <c r="J37" s="118"/>
      <c r="K37" s="86" t="s">
        <v>39</v>
      </c>
      <c r="L37" s="87">
        <f ca="1">'Exhibit No.__(JAP-Rate Spread)'!K24*1000</f>
        <v>40853688.192164958</v>
      </c>
      <c r="M37" s="88">
        <f ca="1">L37/SUM(F22,F37)-1</f>
        <v>1.2229858559902995E-2</v>
      </c>
      <c r="N37" s="63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16.2" thickTop="1">
      <c r="A38" s="84"/>
      <c r="B38" s="91"/>
      <c r="C38" s="109"/>
      <c r="D38" s="102"/>
      <c r="E38" s="111"/>
      <c r="F38" s="115"/>
      <c r="G38" s="102"/>
      <c r="H38" s="111"/>
      <c r="I38" s="115"/>
      <c r="J38" s="115"/>
      <c r="K38" s="396" t="s">
        <v>409</v>
      </c>
      <c r="L38" s="393">
        <f>-SUM(I35,I20)</f>
        <v>-8727407</v>
      </c>
      <c r="M38" s="394"/>
      <c r="N38" s="63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>
      <c r="A39" s="142"/>
      <c r="B39" s="91"/>
      <c r="C39" s="109"/>
      <c r="D39" s="148"/>
      <c r="E39" s="111"/>
      <c r="F39" s="115"/>
      <c r="G39" s="148"/>
      <c r="H39" s="111"/>
      <c r="I39" s="115"/>
      <c r="J39" s="115"/>
      <c r="K39" s="396" t="s">
        <v>410</v>
      </c>
      <c r="L39" s="393">
        <f>-F31-F16</f>
        <v>-34223042</v>
      </c>
      <c r="M39" s="394"/>
      <c r="N39" s="6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>
      <c r="A40" s="142"/>
      <c r="B40" s="91"/>
      <c r="C40" s="109"/>
      <c r="D40" s="148"/>
      <c r="E40" s="111"/>
      <c r="F40" s="115"/>
      <c r="G40" s="148"/>
      <c r="H40" s="111"/>
      <c r="I40" s="115"/>
      <c r="J40" s="115"/>
      <c r="K40" s="396" t="s">
        <v>412</v>
      </c>
      <c r="L40" s="393">
        <f ca="1">-I32-I17</f>
        <v>-214198</v>
      </c>
      <c r="M40" s="398"/>
      <c r="N40" s="63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:31">
      <c r="A41" s="143"/>
      <c r="B41" s="91"/>
      <c r="C41" s="109"/>
      <c r="D41" s="148"/>
      <c r="E41" s="111"/>
      <c r="F41" s="115"/>
      <c r="G41" s="148"/>
      <c r="H41" s="111"/>
      <c r="I41" s="115"/>
      <c r="J41" s="115"/>
      <c r="K41" s="396" t="s">
        <v>411</v>
      </c>
      <c r="L41" s="393">
        <f ca="1">SUM(L37:L40)</f>
        <v>-2310958.8078350425</v>
      </c>
      <c r="M41" s="395">
        <f ca="1">L41/(F31+F16)</f>
        <v>-6.7526399547855581E-2</v>
      </c>
      <c r="N41" s="63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>
      <c r="A42" s="91"/>
      <c r="B42" s="91"/>
      <c r="C42" s="109"/>
      <c r="D42" s="148"/>
      <c r="E42" s="111"/>
      <c r="F42" s="115"/>
      <c r="G42" s="148"/>
      <c r="H42" s="111"/>
      <c r="I42" s="115"/>
      <c r="J42" s="83"/>
      <c r="K42" s="391" t="s">
        <v>40</v>
      </c>
      <c r="L42" s="93">
        <f ca="1">I37-L37--I22</f>
        <v>197.80783504247665</v>
      </c>
      <c r="M42" s="129" t="s">
        <v>0</v>
      </c>
      <c r="N42" s="63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:31">
      <c r="A43" s="91"/>
      <c r="B43" s="91"/>
      <c r="C43" s="109"/>
      <c r="D43" s="148"/>
      <c r="E43" s="111"/>
      <c r="F43" s="115"/>
      <c r="G43" s="148"/>
      <c r="H43" s="111"/>
      <c r="I43" s="115"/>
      <c r="J43" s="83"/>
      <c r="K43" s="96"/>
      <c r="L43" s="95"/>
      <c r="M43" s="63"/>
      <c r="N43" s="63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>
      <c r="A44" s="91"/>
      <c r="B44" s="91"/>
      <c r="C44" s="109"/>
      <c r="D44" s="148"/>
      <c r="E44" s="111"/>
      <c r="F44" s="115"/>
      <c r="G44" s="148"/>
      <c r="H44" s="111"/>
      <c r="I44" s="115"/>
      <c r="J44" s="83"/>
      <c r="K44" s="401" t="s">
        <v>420</v>
      </c>
      <c r="L44" s="299"/>
      <c r="M44" s="299">
        <f ca="1">L42/(C31+C16)</f>
        <v>3.1450499348236824E-7</v>
      </c>
      <c r="N44" s="63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>
      <c r="A45" s="91"/>
      <c r="B45" s="91"/>
      <c r="C45" s="109"/>
      <c r="D45" s="148"/>
      <c r="E45" s="111"/>
      <c r="F45" s="115"/>
      <c r="G45" s="148"/>
      <c r="H45" s="111"/>
      <c r="I45" s="115"/>
      <c r="J45" s="112"/>
      <c r="L45" s="64"/>
      <c r="M45" s="64"/>
      <c r="N45" s="63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>
      <c r="A46" s="91"/>
      <c r="B46" s="127"/>
      <c r="C46" s="109"/>
      <c r="D46" s="148"/>
      <c r="E46" s="111"/>
      <c r="F46" s="115"/>
      <c r="G46" s="148"/>
      <c r="H46" s="111"/>
      <c r="I46" s="115"/>
      <c r="J46" s="80"/>
      <c r="L46" s="64"/>
      <c r="M46" s="64"/>
      <c r="N46" s="63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48"/>
  <sheetViews>
    <sheetView zoomScale="75" zoomScaleNormal="75" zoomScaleSheetLayoutView="80" workbookViewId="0">
      <pane ySplit="10" topLeftCell="A11" activePane="bottomLeft" state="frozen"/>
      <selection pane="bottomLeft" activeCell="G14" sqref="G14"/>
    </sheetView>
  </sheetViews>
  <sheetFormatPr defaultColWidth="10.19921875" defaultRowHeight="15.6"/>
  <cols>
    <col min="1" max="1" width="60.19921875" style="64" bestFit="1" customWidth="1"/>
    <col min="2" max="2" width="1.3984375" style="64" bestFit="1" customWidth="1"/>
    <col min="3" max="3" width="14.19921875" style="64" bestFit="1" customWidth="1"/>
    <col min="4" max="4" width="12.796875" style="64" bestFit="1" customWidth="1"/>
    <col min="5" max="5" width="2" style="64" bestFit="1" customWidth="1"/>
    <col min="6" max="6" width="14.19921875" style="64" bestFit="1" customWidth="1"/>
    <col min="7" max="7" width="15.69921875" style="64" customWidth="1"/>
    <col min="8" max="8" width="2" style="64" bestFit="1" customWidth="1"/>
    <col min="9" max="9" width="14.19921875" style="64" bestFit="1" customWidth="1"/>
    <col min="10" max="10" width="1.59765625" style="64" customWidth="1"/>
    <col min="11" max="11" width="16.19921875" style="64" customWidth="1"/>
    <col min="12" max="12" width="13.8984375" style="70" bestFit="1" customWidth="1"/>
    <col min="13" max="13" width="10.59765625" style="70" bestFit="1" customWidth="1"/>
    <col min="14" max="14" width="7.09765625" style="70" bestFit="1" customWidth="1"/>
    <col min="15" max="15" width="7.09765625" style="64" bestFit="1" customWidth="1"/>
    <col min="16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40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62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40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40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40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40">
      <c r="A5" s="67" t="s">
        <v>200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0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40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40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40">
      <c r="A9" s="71"/>
      <c r="B9" s="71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40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40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40">
      <c r="A12" s="139" t="s">
        <v>192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39"/>
      <c r="L12" s="63"/>
      <c r="M12" s="63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81"/>
    </row>
    <row r="13" spans="1:40">
      <c r="A13" s="140" t="s">
        <v>193</v>
      </c>
      <c r="B13" s="91"/>
      <c r="C13" s="91"/>
      <c r="D13" s="80"/>
      <c r="E13" s="91"/>
      <c r="F13" s="91"/>
      <c r="G13" s="80"/>
      <c r="H13" s="91"/>
      <c r="I13" s="91"/>
      <c r="J13" s="91"/>
      <c r="K13" s="39"/>
      <c r="L13" s="63"/>
      <c r="M13" s="63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G13" s="81"/>
    </row>
    <row r="14" spans="1:40">
      <c r="A14" s="140" t="s">
        <v>144</v>
      </c>
      <c r="B14" s="91"/>
      <c r="C14" s="109">
        <f>SUM('[1]Tariff 449-459'!$D$6)</f>
        <v>240</v>
      </c>
      <c r="D14" s="144">
        <f>'Exhibit No.__(JAP-Tariff)'!E168</f>
        <v>995</v>
      </c>
      <c r="E14" s="111"/>
      <c r="F14" s="80">
        <f t="shared" ref="F14" si="0">ROUND(D14*$C14,0)</f>
        <v>238800</v>
      </c>
      <c r="G14" s="144">
        <f ca="1">ROUND('[6]Basic Charge'!$M$61,-1)</f>
        <v>2120</v>
      </c>
      <c r="H14" s="111"/>
      <c r="I14" s="80">
        <f t="shared" ref="I14" ca="1" si="1">ROUND(G14*$C14,0)</f>
        <v>508800</v>
      </c>
      <c r="J14" s="112"/>
      <c r="K14" s="521" t="s">
        <v>194</v>
      </c>
      <c r="L14" s="521"/>
      <c r="M14" s="521"/>
      <c r="N14" s="110"/>
      <c r="P14" s="81"/>
      <c r="Q14" s="108"/>
      <c r="R14" s="81"/>
      <c r="S14" s="108"/>
      <c r="T14" s="81"/>
      <c r="U14" s="81"/>
      <c r="V14" s="108"/>
      <c r="W14" s="52"/>
      <c r="X14" s="81"/>
      <c r="Y14" s="81"/>
      <c r="AG14" s="39"/>
      <c r="AH14" s="39"/>
      <c r="AI14" s="39"/>
      <c r="AJ14" s="39"/>
      <c r="AK14" s="39"/>
      <c r="AL14" s="39"/>
      <c r="AN14" s="81"/>
    </row>
    <row r="15" spans="1:40">
      <c r="A15" s="91" t="s">
        <v>91</v>
      </c>
      <c r="B15" s="91"/>
      <c r="C15" s="109"/>
      <c r="D15" s="145"/>
      <c r="E15" s="111"/>
      <c r="F15" s="80"/>
      <c r="G15" s="145"/>
      <c r="H15" s="111"/>
      <c r="I15" s="80"/>
      <c r="J15" s="91"/>
      <c r="M15" s="110"/>
      <c r="N15" s="110"/>
      <c r="P15" s="81"/>
      <c r="Q15" s="108"/>
      <c r="R15" s="81"/>
      <c r="S15" s="108"/>
      <c r="T15" s="81"/>
      <c r="U15" s="81"/>
      <c r="V15" s="108"/>
      <c r="W15" s="52"/>
      <c r="X15" s="81"/>
      <c r="Y15" s="81"/>
      <c r="AG15" s="39"/>
      <c r="AH15" s="39"/>
      <c r="AI15" s="39"/>
      <c r="AJ15" s="39"/>
      <c r="AK15" s="39"/>
      <c r="AL15" s="39"/>
      <c r="AN15" s="81"/>
    </row>
    <row r="16" spans="1:40">
      <c r="A16" s="142" t="s">
        <v>53</v>
      </c>
      <c r="B16" s="91"/>
      <c r="C16" s="109">
        <f>SUM('[1]Tariff 449-459'!$D$9)</f>
        <v>2109984905.4339998</v>
      </c>
      <c r="D16" s="145">
        <v>0</v>
      </c>
      <c r="E16" s="111"/>
      <c r="F16" s="80">
        <f t="shared" ref="F16:F18" si="2">ROUND(D16*$C16,0)</f>
        <v>0</v>
      </c>
      <c r="G16" s="145">
        <v>0</v>
      </c>
      <c r="H16" s="111"/>
      <c r="I16" s="80">
        <f t="shared" ref="I16:I18" si="3">ROUND(G16*$C16,0)</f>
        <v>0</v>
      </c>
      <c r="J16" s="112"/>
      <c r="K16" s="521"/>
      <c r="L16" s="521"/>
      <c r="M16" s="521"/>
      <c r="N16" s="110"/>
      <c r="O16" s="70"/>
      <c r="X16" s="39"/>
      <c r="Y16" s="39"/>
      <c r="Z16" s="39"/>
      <c r="AA16" s="39"/>
      <c r="AB16" s="39"/>
      <c r="AC16" s="39"/>
      <c r="AD16" s="39"/>
      <c r="AE16" s="39"/>
      <c r="AG16" s="81"/>
    </row>
    <row r="17" spans="1:33">
      <c r="A17" s="142" t="s">
        <v>84</v>
      </c>
      <c r="B17" s="79"/>
      <c r="C17" s="109">
        <f>SUM('[1]Tariff 449-459'!$D$11)</f>
        <v>0</v>
      </c>
      <c r="D17" s="145">
        <v>0</v>
      </c>
      <c r="E17" s="145"/>
      <c r="F17" s="80">
        <f t="shared" si="2"/>
        <v>0</v>
      </c>
      <c r="G17" s="145">
        <v>0</v>
      </c>
      <c r="H17" s="111"/>
      <c r="I17" s="80">
        <f t="shared" si="3"/>
        <v>0</v>
      </c>
      <c r="J17" s="112"/>
      <c r="X17" s="39"/>
      <c r="Y17" s="39"/>
      <c r="Z17" s="39"/>
      <c r="AA17" s="39"/>
      <c r="AB17" s="39"/>
      <c r="AC17" s="39"/>
      <c r="AD17" s="39"/>
      <c r="AE17" s="39"/>
      <c r="AG17" s="81"/>
    </row>
    <row r="18" spans="1:33">
      <c r="A18" s="141" t="s">
        <v>86</v>
      </c>
      <c r="B18" s="107"/>
      <c r="C18" s="117">
        <f>SUM('[1]Tariff 449-459'!$D$10)</f>
        <v>-11881268.808000008</v>
      </c>
      <c r="D18" s="145">
        <f>ROUND(SUM(F14,F23,F25)/SUM(C16:C17),6)</f>
        <v>3.581E-3</v>
      </c>
      <c r="E18" s="84"/>
      <c r="F18" s="130">
        <f t="shared" si="2"/>
        <v>-42547</v>
      </c>
      <c r="G18" s="145">
        <f ca="1">ROUND(SUM(I14,I23,I25)/SUM(C16:C17),6)</f>
        <v>3.7929999999999999E-3</v>
      </c>
      <c r="H18" s="84"/>
      <c r="I18" s="130">
        <f t="shared" ca="1" si="3"/>
        <v>-45066</v>
      </c>
      <c r="J18" s="83"/>
      <c r="K18" s="521"/>
      <c r="L18" s="521"/>
      <c r="M18" s="521"/>
      <c r="N18" s="52"/>
      <c r="X18" s="39"/>
      <c r="Y18" s="39"/>
      <c r="Z18" s="39"/>
      <c r="AA18" s="39"/>
      <c r="AB18" s="39"/>
      <c r="AC18" s="39"/>
      <c r="AD18" s="39"/>
      <c r="AE18" s="39"/>
      <c r="AG18" s="81"/>
    </row>
    <row r="19" spans="1:33">
      <c r="A19" s="143" t="s">
        <v>37</v>
      </c>
      <c r="B19" s="107"/>
      <c r="C19" s="89">
        <f>SUM(C16:C18)</f>
        <v>2098103636.6259997</v>
      </c>
      <c r="D19" s="145"/>
      <c r="E19" s="84"/>
      <c r="F19" s="80">
        <f>SUM(F16:F18)</f>
        <v>-42547</v>
      </c>
      <c r="G19" s="145"/>
      <c r="H19" s="84"/>
      <c r="I19" s="80">
        <f ca="1">SUM(I16:I18)</f>
        <v>-45066</v>
      </c>
      <c r="J19" s="83"/>
      <c r="M19" s="52"/>
      <c r="N19" s="52"/>
      <c r="X19" s="39"/>
      <c r="Y19" s="39"/>
      <c r="Z19" s="39"/>
      <c r="AA19" s="39"/>
      <c r="AB19" s="39"/>
      <c r="AC19" s="39"/>
      <c r="AD19" s="39"/>
      <c r="AE19" s="39"/>
      <c r="AG19" s="81"/>
    </row>
    <row r="20" spans="1:33">
      <c r="A20" s="143"/>
      <c r="B20" s="107"/>
      <c r="C20" s="89"/>
      <c r="D20" s="145"/>
      <c r="E20" s="84"/>
      <c r="F20" s="80"/>
      <c r="G20" s="145"/>
      <c r="H20" s="84"/>
      <c r="I20" s="80"/>
      <c r="J20" s="83"/>
      <c r="M20" s="52"/>
      <c r="N20" s="52"/>
      <c r="X20" s="39"/>
      <c r="Y20" s="39"/>
      <c r="Z20" s="39"/>
      <c r="AA20" s="39"/>
      <c r="AB20" s="39"/>
      <c r="AC20" s="39"/>
      <c r="AD20" s="39"/>
      <c r="AE20" s="39"/>
      <c r="AG20" s="81"/>
    </row>
    <row r="21" spans="1:33">
      <c r="A21" s="140" t="s">
        <v>195</v>
      </c>
      <c r="B21" s="91"/>
      <c r="C21" s="109">
        <f>SUM('[1]Tariff 449-459'!$D$15)</f>
        <v>183378</v>
      </c>
      <c r="D21" s="181">
        <f>'Exhibit No.__(JAP-Tariff)'!E169</f>
        <v>1.298</v>
      </c>
      <c r="E21" s="111"/>
      <c r="F21" s="80">
        <f t="shared" ref="F21" si="4">ROUND(D21*$C21,0)</f>
        <v>238025</v>
      </c>
      <c r="G21" s="181">
        <v>0</v>
      </c>
      <c r="H21" s="111"/>
      <c r="I21" s="80">
        <f t="shared" ref="I21" si="5">ROUND(G21*$C21,0)</f>
        <v>0</v>
      </c>
      <c r="J21" s="112"/>
      <c r="K21" s="521" t="s">
        <v>198</v>
      </c>
      <c r="L21" s="521"/>
      <c r="M21" s="521"/>
      <c r="N21" s="110"/>
      <c r="O21" s="70"/>
      <c r="X21" s="39"/>
      <c r="Y21" s="39"/>
      <c r="Z21" s="39"/>
      <c r="AA21" s="39"/>
      <c r="AB21" s="39"/>
      <c r="AC21" s="39"/>
      <c r="AD21" s="39"/>
      <c r="AE21" s="39"/>
      <c r="AG21" s="81"/>
    </row>
    <row r="22" spans="1:33">
      <c r="A22" s="140" t="s">
        <v>196</v>
      </c>
      <c r="B22" s="91"/>
      <c r="C22" s="109">
        <f>SUM('[1]Tariff 449-459'!$D$16)</f>
        <v>3462662</v>
      </c>
      <c r="D22" s="181">
        <f>'Exhibit No.__(JAP-Tariff)'!E172</f>
        <v>-0.12</v>
      </c>
      <c r="E22" s="111"/>
      <c r="F22" s="130">
        <f t="shared" ref="F22" si="6">ROUND(D22*$C22,0)</f>
        <v>-415519</v>
      </c>
      <c r="G22" s="181">
        <v>0</v>
      </c>
      <c r="H22" s="111"/>
      <c r="I22" s="130">
        <f t="shared" ref="I22" si="7">ROUND(G22*$C22,0)</f>
        <v>0</v>
      </c>
      <c r="J22" s="112"/>
      <c r="K22" s="521" t="s">
        <v>198</v>
      </c>
      <c r="L22" s="521"/>
      <c r="M22" s="521"/>
      <c r="N22" s="52"/>
      <c r="X22" s="39"/>
      <c r="Y22" s="39"/>
      <c r="Z22" s="39"/>
      <c r="AA22" s="39"/>
      <c r="AB22" s="39"/>
      <c r="AC22" s="39"/>
      <c r="AD22" s="39"/>
      <c r="AE22" s="39"/>
      <c r="AG22" s="81"/>
    </row>
    <row r="23" spans="1:33">
      <c r="A23" s="91" t="s">
        <v>41</v>
      </c>
      <c r="B23" s="91"/>
      <c r="C23" s="89">
        <f>SUM(C21:C22)</f>
        <v>3646040</v>
      </c>
      <c r="D23" s="120"/>
      <c r="E23" s="121"/>
      <c r="F23" s="80">
        <f>SUM(F21:F22)</f>
        <v>-177494</v>
      </c>
      <c r="G23" s="145"/>
      <c r="H23" s="84"/>
      <c r="I23" s="80">
        <f>SUM(I21:I22)</f>
        <v>0</v>
      </c>
      <c r="J23" s="112"/>
      <c r="M23" s="52"/>
      <c r="N23" s="119"/>
      <c r="O23" s="43" t="s">
        <v>0</v>
      </c>
      <c r="X23" s="39"/>
      <c r="Y23" s="39"/>
      <c r="Z23" s="39"/>
      <c r="AA23" s="39"/>
      <c r="AB23" s="39"/>
      <c r="AC23" s="39"/>
      <c r="AD23" s="39"/>
      <c r="AE23" s="39"/>
      <c r="AG23" s="81"/>
    </row>
    <row r="24" spans="1:33">
      <c r="A24" s="91"/>
      <c r="B24" s="91"/>
      <c r="C24" s="89"/>
      <c r="D24" s="120"/>
      <c r="E24" s="121"/>
      <c r="F24" s="112"/>
      <c r="G24" s="122"/>
      <c r="H24" s="121"/>
      <c r="I24" s="112"/>
      <c r="J24" s="112"/>
      <c r="M24" s="52"/>
      <c r="N24" s="119"/>
      <c r="O24" s="43"/>
      <c r="X24" s="39"/>
      <c r="Y24" s="39"/>
      <c r="Z24" s="39"/>
      <c r="AA24" s="39"/>
      <c r="AB24" s="39"/>
      <c r="AC24" s="39"/>
      <c r="AD24" s="39"/>
      <c r="AE24" s="39"/>
      <c r="AG24" s="81"/>
    </row>
    <row r="25" spans="1:33">
      <c r="A25" s="140" t="s">
        <v>197</v>
      </c>
      <c r="B25" s="91"/>
      <c r="C25" s="109"/>
      <c r="D25" s="181"/>
      <c r="E25" s="111"/>
      <c r="F25" s="80">
        <f>'[1]Tariff 449-459'!$D$37</f>
        <v>7494526</v>
      </c>
      <c r="G25" s="145"/>
      <c r="H25" s="84"/>
      <c r="I25" s="80">
        <f>F25</f>
        <v>7494526</v>
      </c>
      <c r="J25" s="112"/>
      <c r="K25" s="165"/>
      <c r="M25" s="110"/>
      <c r="N25" s="110"/>
      <c r="O25" s="70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141"/>
      <c r="B26" s="107"/>
      <c r="C26" s="89"/>
      <c r="D26" s="145"/>
      <c r="E26" s="84"/>
      <c r="F26" s="80"/>
      <c r="G26" s="145"/>
      <c r="H26" s="84"/>
      <c r="I26" s="80"/>
      <c r="J26" s="83"/>
      <c r="M26" s="63"/>
      <c r="N26" s="6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 ht="16.2" thickBot="1">
      <c r="A27" s="91" t="s">
        <v>41</v>
      </c>
      <c r="B27" s="91"/>
      <c r="C27" s="89"/>
      <c r="D27" s="120"/>
      <c r="E27" s="121"/>
      <c r="F27" s="131">
        <f>SUM(F23,F19,F14,F25)</f>
        <v>7513285</v>
      </c>
      <c r="G27" s="120"/>
      <c r="H27" s="121"/>
      <c r="I27" s="131">
        <f ca="1">SUM(I23,I19,I14,I25)</f>
        <v>7958260</v>
      </c>
      <c r="J27" s="118"/>
      <c r="K27" s="86" t="s">
        <v>39</v>
      </c>
      <c r="L27" s="87">
        <f ca="1">I27</f>
        <v>7958260</v>
      </c>
      <c r="M27" s="88">
        <f ca="1">I27/F27-1</f>
        <v>5.9225092619273667E-2</v>
      </c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3" ht="16.2" thickTop="1">
      <c r="A28" s="84"/>
      <c r="B28" s="91"/>
      <c r="C28" s="109"/>
      <c r="D28" s="102"/>
      <c r="E28" s="111"/>
      <c r="F28" s="115"/>
      <c r="G28" s="102"/>
      <c r="H28" s="111"/>
      <c r="I28" s="115"/>
      <c r="J28" s="115"/>
      <c r="K28" s="92" t="s">
        <v>40</v>
      </c>
      <c r="L28" s="93">
        <f ca="1">L27-I27-I23</f>
        <v>0</v>
      </c>
      <c r="M28" s="129" t="s">
        <v>0</v>
      </c>
      <c r="N28" s="6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3">
      <c r="A29" s="142"/>
      <c r="B29" s="91"/>
      <c r="C29" s="109"/>
      <c r="D29" s="148"/>
      <c r="E29" s="111"/>
      <c r="F29" s="115"/>
      <c r="G29" s="148"/>
      <c r="H29" s="111"/>
      <c r="I29" s="115"/>
      <c r="J29" s="115"/>
      <c r="K29" s="39"/>
      <c r="L29" s="63"/>
      <c r="M29" s="63"/>
      <c r="N29" s="6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3">
      <c r="A30" s="142"/>
      <c r="B30" s="91"/>
      <c r="C30" s="109"/>
      <c r="D30" s="148"/>
      <c r="E30" s="111"/>
      <c r="F30" s="115"/>
      <c r="G30" s="148"/>
      <c r="H30" s="111"/>
      <c r="I30" s="115"/>
      <c r="J30" s="115"/>
      <c r="K30" s="39"/>
      <c r="L30" s="63"/>
      <c r="M30" s="63"/>
      <c r="N30" s="6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3">
      <c r="A31" s="143"/>
      <c r="B31" s="91"/>
      <c r="C31" s="109"/>
      <c r="D31" s="148"/>
      <c r="E31" s="111"/>
      <c r="F31" s="115"/>
      <c r="G31" s="148"/>
      <c r="H31" s="111"/>
      <c r="I31" s="115"/>
      <c r="J31" s="115"/>
      <c r="K31" s="39"/>
      <c r="L31" s="63"/>
      <c r="M31" s="63"/>
      <c r="N31" s="6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>
      <c r="A32" s="139" t="s">
        <v>201</v>
      </c>
      <c r="B32" s="91"/>
      <c r="C32" s="91" t="s">
        <v>0</v>
      </c>
      <c r="D32" s="80"/>
      <c r="E32" s="91"/>
      <c r="F32" s="91"/>
      <c r="G32" s="80"/>
      <c r="H32" s="91"/>
      <c r="I32" s="91"/>
      <c r="J32" s="91"/>
      <c r="K32" s="39"/>
      <c r="L32" s="63"/>
      <c r="M32" s="63"/>
      <c r="N32" s="6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>
      <c r="A33" s="140" t="s">
        <v>82</v>
      </c>
      <c r="B33" s="91"/>
      <c r="C33" s="91"/>
      <c r="D33" s="80"/>
      <c r="E33" s="91"/>
      <c r="F33" s="91"/>
      <c r="G33" s="80"/>
      <c r="H33" s="91"/>
      <c r="I33" s="91"/>
      <c r="J33" s="91"/>
      <c r="K33" s="39"/>
      <c r="L33" s="63"/>
      <c r="M33" s="63"/>
      <c r="N33" s="6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140" t="s">
        <v>186</v>
      </c>
      <c r="B34" s="91"/>
      <c r="C34" s="109">
        <v>96</v>
      </c>
      <c r="D34" s="144"/>
      <c r="E34" s="111"/>
      <c r="F34" s="80"/>
      <c r="G34" s="144"/>
      <c r="H34" s="111"/>
      <c r="I34" s="80"/>
      <c r="J34" s="112"/>
      <c r="K34" s="521"/>
      <c r="L34" s="521"/>
      <c r="M34" s="521"/>
      <c r="N34" s="6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>
      <c r="A35" s="91" t="s">
        <v>91</v>
      </c>
      <c r="B35" s="91"/>
      <c r="C35" s="109"/>
      <c r="D35" s="145"/>
      <c r="E35" s="111"/>
      <c r="F35" s="80"/>
      <c r="G35" s="145"/>
      <c r="H35" s="111"/>
      <c r="I35" s="80"/>
      <c r="J35" s="91"/>
      <c r="M35" s="110"/>
      <c r="N35" s="6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>
      <c r="A36" s="142" t="s">
        <v>53</v>
      </c>
      <c r="B36" s="91"/>
      <c r="C36" s="109">
        <f>SUM('[1]Tariff Firm Resale'!$D$7)</f>
        <v>6797340</v>
      </c>
      <c r="D36" s="145">
        <f>'[1]Tariff Firm Resale'!$C$18</f>
        <v>3.5139999999999998E-2</v>
      </c>
      <c r="E36" s="111"/>
      <c r="F36" s="80">
        <f t="shared" ref="F36:F38" si="8">ROUND(D36*$C36,0)</f>
        <v>238859</v>
      </c>
      <c r="G36" s="145">
        <f>D36</f>
        <v>3.5139999999999998E-2</v>
      </c>
      <c r="H36" s="111"/>
      <c r="I36" s="80">
        <f t="shared" ref="I36:I38" si="9">ROUND(G36*$C36,0)</f>
        <v>238859</v>
      </c>
      <c r="J36" s="112"/>
      <c r="K36" s="521"/>
      <c r="L36" s="521"/>
      <c r="M36" s="521"/>
      <c r="N36" s="6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>
      <c r="A37" s="142" t="s">
        <v>84</v>
      </c>
      <c r="B37" s="79"/>
      <c r="C37" s="109">
        <f>'[1]Tariff Firm Resale'!$D$9</f>
        <v>145693.42218082873</v>
      </c>
      <c r="D37" s="145">
        <f>D36</f>
        <v>3.5139999999999998E-2</v>
      </c>
      <c r="E37" s="145"/>
      <c r="F37" s="80">
        <f t="shared" si="8"/>
        <v>5120</v>
      </c>
      <c r="G37" s="145">
        <f>D37</f>
        <v>3.5139999999999998E-2</v>
      </c>
      <c r="H37" s="111"/>
      <c r="I37" s="80">
        <f t="shared" si="9"/>
        <v>5120</v>
      </c>
      <c r="J37" s="112"/>
    </row>
    <row r="38" spans="1:31">
      <c r="A38" s="141" t="s">
        <v>86</v>
      </c>
      <c r="B38" s="107"/>
      <c r="C38" s="117">
        <f>'[1]Tariff Firm Resale'!$D$8</f>
        <v>-13230</v>
      </c>
      <c r="D38" s="145">
        <f>ROUND(SUM(F36:F37,F41,F43)/SUM(C36:C37),6)</f>
        <v>4.5657000000000003E-2</v>
      </c>
      <c r="E38" s="84"/>
      <c r="F38" s="130">
        <f t="shared" si="8"/>
        <v>-604</v>
      </c>
      <c r="G38" s="145">
        <f>D38</f>
        <v>4.5657000000000003E-2</v>
      </c>
      <c r="H38" s="84"/>
      <c r="I38" s="130">
        <f t="shared" si="9"/>
        <v>-604</v>
      </c>
      <c r="J38" s="83"/>
      <c r="K38" s="521"/>
      <c r="L38" s="521"/>
      <c r="M38" s="521"/>
    </row>
    <row r="39" spans="1:31">
      <c r="A39" s="143" t="s">
        <v>37</v>
      </c>
      <c r="B39" s="107"/>
      <c r="C39" s="89">
        <f>SUM(C36:C38)</f>
        <v>6929803.4221808286</v>
      </c>
      <c r="D39" s="145"/>
      <c r="E39" s="84"/>
      <c r="F39" s="80">
        <f>SUM(F36:F38)</f>
        <v>243375</v>
      </c>
      <c r="G39" s="145"/>
      <c r="H39" s="84"/>
      <c r="I39" s="80">
        <f>SUM(I36:I38)</f>
        <v>243375</v>
      </c>
      <c r="J39" s="83"/>
      <c r="M39" s="52"/>
    </row>
    <row r="40" spans="1:31">
      <c r="A40" s="143"/>
      <c r="B40" s="107"/>
      <c r="C40" s="89"/>
      <c r="D40" s="145"/>
      <c r="E40" s="84"/>
      <c r="F40" s="80"/>
      <c r="G40" s="145"/>
      <c r="H40" s="84"/>
      <c r="I40" s="80"/>
      <c r="J40" s="83"/>
      <c r="M40" s="52"/>
    </row>
    <row r="41" spans="1:31">
      <c r="A41" s="91" t="s">
        <v>202</v>
      </c>
      <c r="B41" s="91"/>
      <c r="C41" s="109">
        <f>'[1]Tariff Firm Resale'!$D$12</f>
        <v>13806</v>
      </c>
      <c r="D41" s="181">
        <f>'[1]Tariff Firm Resale'!$C$23</f>
        <v>5.25</v>
      </c>
      <c r="E41" s="111"/>
      <c r="F41" s="80">
        <f t="shared" ref="F41" si="10">ROUND(D41*$C41,0)</f>
        <v>72482</v>
      </c>
      <c r="G41" s="181">
        <f>D41</f>
        <v>5.25</v>
      </c>
      <c r="H41" s="111"/>
      <c r="I41" s="80">
        <f t="shared" ref="I41" si="11">ROUND(G41*$C41,0)</f>
        <v>72482</v>
      </c>
      <c r="J41" s="112"/>
      <c r="M41" s="52"/>
    </row>
    <row r="42" spans="1:31">
      <c r="A42" s="91"/>
      <c r="B42" s="91"/>
      <c r="C42" s="89"/>
      <c r="D42" s="120"/>
      <c r="E42" s="121"/>
      <c r="F42" s="112"/>
      <c r="G42" s="120"/>
      <c r="H42" s="121"/>
      <c r="I42" s="112"/>
      <c r="J42" s="112"/>
      <c r="M42" s="52"/>
    </row>
    <row r="43" spans="1:31">
      <c r="A43" s="140" t="s">
        <v>158</v>
      </c>
      <c r="B43" s="91"/>
      <c r="C43" s="109">
        <f>'[1]Tariff Firm Resale'!$D$14</f>
        <v>2144520</v>
      </c>
      <c r="D43" s="180">
        <f>'[1]Tariff Firm Resale'!$C$25</f>
        <v>2.5000000000000001E-4</v>
      </c>
      <c r="E43" s="111"/>
      <c r="F43" s="80">
        <f t="shared" ref="F43" si="12">ROUND(D43*$C43,0)</f>
        <v>536</v>
      </c>
      <c r="G43" s="180">
        <f>D43</f>
        <v>2.5000000000000001E-4</v>
      </c>
      <c r="H43" s="111"/>
      <c r="I43" s="80">
        <f t="shared" ref="I43" si="13">ROUND(G43*$C43,0)</f>
        <v>536</v>
      </c>
      <c r="J43" s="112"/>
      <c r="K43" s="165"/>
      <c r="M43" s="110"/>
    </row>
    <row r="44" spans="1:31">
      <c r="A44" s="140"/>
      <c r="B44" s="91"/>
      <c r="C44" s="109"/>
      <c r="D44" s="180"/>
      <c r="E44" s="111"/>
      <c r="F44" s="80"/>
      <c r="G44" s="180"/>
      <c r="H44" s="111"/>
      <c r="I44" s="80"/>
      <c r="J44" s="112"/>
      <c r="K44" s="165"/>
      <c r="M44" s="110"/>
    </row>
    <row r="45" spans="1:31">
      <c r="A45" s="140" t="s">
        <v>203</v>
      </c>
      <c r="B45" s="91"/>
      <c r="C45" s="109"/>
      <c r="D45" s="180"/>
      <c r="E45" s="111"/>
      <c r="F45" s="80"/>
      <c r="G45" s="180"/>
      <c r="H45" s="111"/>
      <c r="I45" s="80">
        <f ca="1">'[6]Class Summary'!$P$36</f>
        <v>368045.83817964466</v>
      </c>
      <c r="J45" s="112"/>
      <c r="K45" s="521" t="s">
        <v>204</v>
      </c>
      <c r="L45" s="521"/>
      <c r="M45" s="521"/>
    </row>
    <row r="46" spans="1:31">
      <c r="A46" s="141"/>
      <c r="B46" s="107"/>
      <c r="C46" s="89"/>
      <c r="D46" s="145"/>
      <c r="E46" s="84"/>
      <c r="F46" s="80"/>
      <c r="G46" s="145"/>
      <c r="H46" s="84"/>
      <c r="I46" s="80"/>
      <c r="J46" s="83"/>
      <c r="M46" s="63"/>
    </row>
    <row r="47" spans="1:31" ht="16.2" thickBot="1">
      <c r="A47" s="91" t="s">
        <v>41</v>
      </c>
      <c r="B47" s="91"/>
      <c r="C47" s="89"/>
      <c r="D47" s="120"/>
      <c r="E47" s="121"/>
      <c r="F47" s="131">
        <f>SUM(F41,F39,F34,F43)</f>
        <v>316393</v>
      </c>
      <c r="G47" s="120"/>
      <c r="H47" s="121"/>
      <c r="I47" s="131">
        <f ca="1">SUM(I41,I39,I34,I43,I45)</f>
        <v>684438.83817964466</v>
      </c>
      <c r="J47" s="118"/>
      <c r="K47" s="86" t="s">
        <v>39</v>
      </c>
      <c r="L47" s="87">
        <f ca="1">'Exhibit No.__(JAP-Rate Spread)'!J32*1000+F47</f>
        <v>684438.83817964466</v>
      </c>
      <c r="M47" s="88">
        <f ca="1">L47/SUM(F41,F47)-1</f>
        <v>0.76004844276347061</v>
      </c>
    </row>
    <row r="48" spans="1:31" ht="16.2" thickTop="1">
      <c r="A48" s="84"/>
      <c r="B48" s="91"/>
      <c r="C48" s="109"/>
      <c r="D48" s="102"/>
      <c r="E48" s="111"/>
      <c r="F48" s="115"/>
      <c r="G48" s="102"/>
      <c r="H48" s="111"/>
      <c r="I48" s="115"/>
      <c r="J48" s="115"/>
      <c r="K48" s="92" t="s">
        <v>40</v>
      </c>
      <c r="L48" s="93">
        <f ca="1">L47-I47</f>
        <v>0</v>
      </c>
      <c r="M48" s="129" t="s">
        <v>0</v>
      </c>
    </row>
  </sheetData>
  <mergeCells count="15">
    <mergeCell ref="A1:I1"/>
    <mergeCell ref="A2:I2"/>
    <mergeCell ref="A3:I3"/>
    <mergeCell ref="A4:I4"/>
    <mergeCell ref="D9:F9"/>
    <mergeCell ref="G9:I9"/>
    <mergeCell ref="K36:M36"/>
    <mergeCell ref="K38:M38"/>
    <mergeCell ref="K45:M45"/>
    <mergeCell ref="K14:M14"/>
    <mergeCell ref="K16:M16"/>
    <mergeCell ref="K18:M18"/>
    <mergeCell ref="K21:M21"/>
    <mergeCell ref="K22:M22"/>
    <mergeCell ref="K34:M34"/>
  </mergeCells>
  <printOptions horizontalCentered="1"/>
  <pageMargins left="0.7" right="0.7" top="0.75" bottom="0.71" header="0.3" footer="0.3"/>
  <pageSetup scale="57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3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3" sqref="A13"/>
    </sheetView>
  </sheetViews>
  <sheetFormatPr defaultRowHeight="15.6"/>
  <cols>
    <col min="1" max="1" width="60.5" bestFit="1" customWidth="1"/>
    <col min="2" max="2" width="2.5" customWidth="1"/>
    <col min="3" max="3" width="11.59765625" bestFit="1" customWidth="1"/>
    <col min="4" max="4" width="10.796875" bestFit="1" customWidth="1"/>
    <col min="5" max="5" width="2.5" customWidth="1"/>
    <col min="6" max="6" width="11.59765625" bestFit="1" customWidth="1"/>
    <col min="7" max="7" width="12.19921875" customWidth="1"/>
    <col min="8" max="8" width="13.5" customWidth="1"/>
    <col min="9" max="9" width="2.5" customWidth="1"/>
    <col min="10" max="10" width="13.8984375" bestFit="1" customWidth="1"/>
    <col min="11" max="11" width="11.296875" bestFit="1" customWidth="1"/>
    <col min="12" max="12" width="11" bestFit="1" customWidth="1"/>
    <col min="13" max="13" width="2.5" customWidth="1"/>
    <col min="14" max="14" width="12.296875" bestFit="1" customWidth="1"/>
    <col min="15" max="15" width="11.59765625" bestFit="1" customWidth="1"/>
    <col min="16" max="16" width="11.296875" bestFit="1" customWidth="1"/>
    <col min="17" max="17" width="2.5" customWidth="1"/>
    <col min="18" max="18" width="9.09765625" style="64" bestFit="1" customWidth="1"/>
    <col min="19" max="19" width="14.8984375" style="64" bestFit="1" customWidth="1"/>
    <col min="20" max="20" width="12.296875" style="64" bestFit="1" customWidth="1"/>
    <col min="21" max="21" width="14.8984375" bestFit="1" customWidth="1"/>
  </cols>
  <sheetData>
    <row r="1" spans="1:21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62"/>
      <c r="J1" s="64"/>
      <c r="K1" s="64"/>
      <c r="L1" s="64"/>
      <c r="M1" s="64"/>
      <c r="N1" s="64"/>
      <c r="O1" s="64"/>
      <c r="P1" s="64"/>
      <c r="Q1" s="64"/>
    </row>
    <row r="2" spans="1:21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62"/>
      <c r="J2" s="64"/>
      <c r="K2" s="64"/>
      <c r="L2" s="64"/>
      <c r="M2" s="64"/>
      <c r="N2" s="64"/>
      <c r="O2" s="64"/>
      <c r="P2" s="64"/>
      <c r="Q2" s="64"/>
    </row>
    <row r="3" spans="1:21">
      <c r="A3" s="509" t="str">
        <f>+'Exhibit No.__(JAP-Prof-Prop)'!B6</f>
        <v>12 MONTHS ENDED SEPTEMBER 2016</v>
      </c>
      <c r="B3" s="509"/>
      <c r="C3" s="509"/>
      <c r="D3" s="509"/>
      <c r="E3" s="509"/>
      <c r="F3" s="509"/>
      <c r="G3" s="509"/>
      <c r="H3" s="509"/>
      <c r="I3" s="65"/>
      <c r="J3" s="64"/>
      <c r="K3" s="64"/>
      <c r="L3" s="64"/>
      <c r="M3" s="64"/>
      <c r="N3" s="64"/>
      <c r="O3" s="64"/>
      <c r="P3" s="64"/>
      <c r="Q3" s="64"/>
    </row>
    <row r="4" spans="1:21">
      <c r="A4" s="510" t="s">
        <v>32</v>
      </c>
      <c r="B4" s="510"/>
      <c r="C4" s="510"/>
      <c r="D4" s="510"/>
      <c r="E4" s="510"/>
      <c r="F4" s="510"/>
      <c r="G4" s="510"/>
      <c r="H4" s="510"/>
      <c r="I4" s="66"/>
      <c r="J4" s="64"/>
      <c r="K4" s="64"/>
      <c r="L4" s="64"/>
      <c r="M4" s="64"/>
      <c r="N4" s="64"/>
      <c r="O4" s="64"/>
      <c r="P4" s="64"/>
      <c r="Q4" s="64"/>
    </row>
    <row r="5" spans="1:21">
      <c r="A5" s="67" t="s">
        <v>205</v>
      </c>
      <c r="B5" s="68"/>
      <c r="C5" s="68"/>
      <c r="D5" s="69"/>
      <c r="E5" s="69"/>
      <c r="F5" s="68"/>
      <c r="G5" s="69"/>
      <c r="H5" s="68"/>
      <c r="I5" s="68"/>
      <c r="J5" s="64"/>
      <c r="K5" s="64"/>
      <c r="L5" s="64"/>
      <c r="M5" s="64"/>
      <c r="N5" s="64"/>
      <c r="O5" s="64"/>
      <c r="P5" s="64"/>
      <c r="Q5" s="64"/>
    </row>
    <row r="6" spans="1:21">
      <c r="A6" s="67"/>
      <c r="B6" s="68"/>
      <c r="C6" s="68"/>
      <c r="D6" s="69"/>
      <c r="E6" s="69"/>
      <c r="F6" s="68"/>
      <c r="G6" s="69"/>
      <c r="H6" s="68"/>
      <c r="I6" s="68"/>
      <c r="J6" s="64"/>
      <c r="K6" s="64"/>
      <c r="L6" s="64"/>
      <c r="M6" s="64"/>
      <c r="N6" s="64"/>
      <c r="O6" s="64"/>
      <c r="P6" s="64"/>
      <c r="Q6" s="64"/>
    </row>
    <row r="7" spans="1:21">
      <c r="A7" s="68"/>
      <c r="B7" s="68"/>
      <c r="C7" s="68"/>
      <c r="D7" s="69"/>
      <c r="E7" s="69"/>
      <c r="F7" s="68"/>
      <c r="G7" s="69"/>
      <c r="H7" s="68"/>
      <c r="I7" s="68"/>
      <c r="J7" s="64"/>
      <c r="K7" s="64"/>
      <c r="L7" s="64"/>
      <c r="M7" s="64"/>
      <c r="N7" s="64"/>
      <c r="O7" s="64"/>
      <c r="P7" s="64"/>
      <c r="Q7" s="64"/>
    </row>
    <row r="8" spans="1:21">
      <c r="A8" s="71"/>
      <c r="B8" s="71"/>
      <c r="C8" s="72"/>
      <c r="D8" s="73"/>
      <c r="E8" s="73"/>
      <c r="F8" s="64"/>
      <c r="G8" s="73"/>
      <c r="H8" s="74"/>
      <c r="I8" s="74"/>
      <c r="J8" s="332"/>
      <c r="K8" s="332"/>
      <c r="L8" s="332"/>
      <c r="M8" s="64"/>
      <c r="N8" s="64"/>
      <c r="O8" s="64"/>
      <c r="P8" s="64"/>
      <c r="Q8" s="64"/>
    </row>
    <row r="9" spans="1:21">
      <c r="A9" s="71"/>
      <c r="B9" s="71"/>
      <c r="C9" s="72" t="s">
        <v>33</v>
      </c>
      <c r="D9" s="540" t="s">
        <v>3</v>
      </c>
      <c r="E9" s="541"/>
      <c r="F9" s="542"/>
      <c r="G9" s="543" t="str">
        <f>+'Exhibit No.__(JAP-Res RD)'!G9</f>
        <v>Proposed Effective December 2017</v>
      </c>
      <c r="H9" s="542"/>
      <c r="I9" s="74"/>
      <c r="J9" s="543" t="s">
        <v>52</v>
      </c>
      <c r="K9" s="541"/>
      <c r="L9" s="542"/>
      <c r="M9" s="64"/>
      <c r="N9" s="543" t="s">
        <v>421</v>
      </c>
      <c r="O9" s="541"/>
      <c r="P9" s="542"/>
      <c r="Q9" s="64"/>
      <c r="R9" s="544" t="s">
        <v>422</v>
      </c>
      <c r="S9" s="545"/>
      <c r="T9" s="545"/>
    </row>
    <row r="10" spans="1:21" ht="28.2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 t="s">
        <v>36</v>
      </c>
      <c r="I10" s="76"/>
      <c r="J10" s="332" t="s">
        <v>213</v>
      </c>
      <c r="K10" s="332" t="s">
        <v>214</v>
      </c>
      <c r="L10" s="332" t="s">
        <v>215</v>
      </c>
      <c r="M10" s="64"/>
      <c r="N10" s="332" t="s">
        <v>213</v>
      </c>
      <c r="O10" s="332" t="s">
        <v>214</v>
      </c>
      <c r="P10" s="332" t="s">
        <v>215</v>
      </c>
      <c r="Q10" s="64"/>
      <c r="R10" s="332" t="s">
        <v>423</v>
      </c>
      <c r="S10" s="332" t="s">
        <v>424</v>
      </c>
      <c r="T10" s="332" t="s">
        <v>425</v>
      </c>
    </row>
    <row r="11" spans="1:21">
      <c r="A11" s="91"/>
      <c r="B11" s="91"/>
      <c r="C11" s="97"/>
      <c r="D11" s="116"/>
      <c r="E11" s="91"/>
      <c r="F11" s="80"/>
      <c r="G11" s="124"/>
      <c r="H11" s="80"/>
      <c r="I11" s="80"/>
      <c r="J11" s="64"/>
      <c r="K11" s="64"/>
      <c r="L11" s="64"/>
      <c r="M11" s="64"/>
      <c r="N11" s="64"/>
      <c r="O11" s="64"/>
      <c r="P11" s="64"/>
      <c r="Q11" s="64"/>
    </row>
    <row r="12" spans="1:21">
      <c r="A12" s="539" t="s">
        <v>211</v>
      </c>
      <c r="B12" s="539"/>
      <c r="C12" s="539"/>
      <c r="D12" s="539"/>
      <c r="E12" s="539"/>
      <c r="F12" s="539"/>
      <c r="G12" s="539"/>
      <c r="H12" s="539"/>
      <c r="I12" s="80"/>
      <c r="J12" s="64"/>
      <c r="K12" s="64"/>
      <c r="L12" s="64"/>
      <c r="M12" s="64"/>
      <c r="N12" s="64"/>
      <c r="O12" s="64"/>
      <c r="P12" s="64"/>
      <c r="Q12" s="64"/>
    </row>
    <row r="13" spans="1:21">
      <c r="A13" s="91" t="str">
        <f>A27</f>
        <v>SCHEDULE 50</v>
      </c>
      <c r="B13" s="91"/>
      <c r="C13" s="329">
        <f>C42</f>
        <v>144</v>
      </c>
      <c r="D13" s="116"/>
      <c r="E13" s="91"/>
      <c r="F13" s="80">
        <f>F46</f>
        <v>18514</v>
      </c>
      <c r="G13" s="124"/>
      <c r="H13" s="80">
        <f ca="1">H46</f>
        <v>15145</v>
      </c>
      <c r="I13" s="80"/>
      <c r="J13" s="328">
        <f>SUM(K13:L13)</f>
        <v>104655</v>
      </c>
      <c r="K13" s="328">
        <f>C44</f>
        <v>179940</v>
      </c>
      <c r="L13" s="328">
        <f>C45</f>
        <v>-75285</v>
      </c>
      <c r="M13" s="64"/>
      <c r="N13" s="80">
        <f>SUM(O13:P13)</f>
        <v>18514</v>
      </c>
      <c r="O13" s="80">
        <f>F40</f>
        <v>19066</v>
      </c>
      <c r="P13" s="80">
        <f>ROUND(O13/($O$22-$O$21)*$P$22,0)</f>
        <v>-552</v>
      </c>
      <c r="Q13" s="64"/>
      <c r="R13" s="80">
        <f t="shared" ref="R13:R21" ca="1" si="0">S13-T13</f>
        <v>0.44000000000050932</v>
      </c>
      <c r="S13" s="80">
        <f ca="1">H40</f>
        <v>15707</v>
      </c>
      <c r="T13" s="468">
        <f ca="1">+'[7]Summary (Base)'!$E$12+'[7]Summary (Base)'!$E$13+'[7]Summary (Base)'!$E$14</f>
        <v>15706.56</v>
      </c>
      <c r="U13" s="441"/>
    </row>
    <row r="14" spans="1:21">
      <c r="A14" s="91" t="str">
        <f>A48</f>
        <v>SCHEDULE 51</v>
      </c>
      <c r="B14" s="91"/>
      <c r="C14" s="329">
        <f>C110</f>
        <v>1755</v>
      </c>
      <c r="D14" s="116"/>
      <c r="E14" s="91"/>
      <c r="F14" s="80">
        <f>F114</f>
        <v>129066</v>
      </c>
      <c r="G14" s="124"/>
      <c r="H14" s="80">
        <f ca="1">H114</f>
        <v>152739</v>
      </c>
      <c r="I14" s="80"/>
      <c r="J14" s="328">
        <f t="shared" ref="J14:J21" si="1">SUM(K14:L14)</f>
        <v>473448.2585</v>
      </c>
      <c r="K14" s="328">
        <f>C112</f>
        <v>459949.408</v>
      </c>
      <c r="L14" s="328">
        <f>C113</f>
        <v>13498.850500000002</v>
      </c>
      <c r="M14" s="64"/>
      <c r="N14" s="80">
        <f t="shared" ref="N14:N21" si="2">SUM(O14:P14)</f>
        <v>129066</v>
      </c>
      <c r="O14" s="80">
        <f>F108</f>
        <v>132913</v>
      </c>
      <c r="P14" s="80">
        <f t="shared" ref="P14:P20" si="3">ROUND(O14/($O$22-$O$21)*$P$22,0)</f>
        <v>-3847</v>
      </c>
      <c r="Q14" s="64"/>
      <c r="R14" s="80">
        <f t="shared" ca="1" si="0"/>
        <v>-0.16255999996792525</v>
      </c>
      <c r="S14" s="80">
        <f ca="1">$H$108</f>
        <v>156658</v>
      </c>
      <c r="T14" s="468">
        <f ca="1">SUM('[7]Summary (Base)'!$E$15:$E$16)</f>
        <v>156658.16255999997</v>
      </c>
      <c r="U14" s="441"/>
    </row>
    <row r="15" spans="1:21">
      <c r="A15" s="91" t="str">
        <f>A116</f>
        <v>SCHEDULE 52</v>
      </c>
      <c r="B15" s="91"/>
      <c r="C15" s="329">
        <f>C140</f>
        <v>30201</v>
      </c>
      <c r="D15" s="116"/>
      <c r="E15" s="91"/>
      <c r="F15" s="80">
        <f>F144</f>
        <v>3091875</v>
      </c>
      <c r="G15" s="124"/>
      <c r="H15" s="80">
        <f ca="1">H144</f>
        <v>2498245</v>
      </c>
      <c r="I15" s="80"/>
      <c r="J15" s="328">
        <f t="shared" si="1"/>
        <v>13754187.789999997</v>
      </c>
      <c r="K15" s="328">
        <f>C142</f>
        <v>13773730.199999997</v>
      </c>
      <c r="L15" s="328">
        <f>C143</f>
        <v>-19542.410000000033</v>
      </c>
      <c r="M15" s="64"/>
      <c r="N15" s="80">
        <f t="shared" si="2"/>
        <v>3091875</v>
      </c>
      <c r="O15" s="80">
        <f>F138</f>
        <v>3184030</v>
      </c>
      <c r="P15" s="80">
        <f t="shared" si="3"/>
        <v>-92155</v>
      </c>
      <c r="Q15" s="64"/>
      <c r="R15" s="80">
        <f t="shared" ca="1" si="0"/>
        <v>0.65216000005602837</v>
      </c>
      <c r="S15" s="80">
        <f ca="1">H138</f>
        <v>2592134</v>
      </c>
      <c r="T15" s="468">
        <f ca="1">SUM('[7]Summary (Base)'!$E$17:$E$18)</f>
        <v>2592133.3478399999</v>
      </c>
      <c r="U15" s="441"/>
    </row>
    <row r="16" spans="1:21">
      <c r="A16" s="91" t="str">
        <f>A147</f>
        <v>SCHEDULE 53</v>
      </c>
      <c r="B16" s="91"/>
      <c r="C16" s="329">
        <f>C293</f>
        <v>29281</v>
      </c>
      <c r="D16" s="116"/>
      <c r="E16" s="91"/>
      <c r="F16" s="80">
        <f>F297</f>
        <v>11257552</v>
      </c>
      <c r="G16" s="124"/>
      <c r="H16" s="80">
        <f ca="1">H297</f>
        <v>12058335</v>
      </c>
      <c r="I16" s="80"/>
      <c r="J16" s="328">
        <f t="shared" si="1"/>
        <v>43416005.963500001</v>
      </c>
      <c r="K16" s="328">
        <f>C295</f>
        <v>46174693.041000001</v>
      </c>
      <c r="L16" s="328">
        <f>C296</f>
        <v>-2758687.0775000006</v>
      </c>
      <c r="M16" s="64"/>
      <c r="N16" s="80">
        <f t="shared" si="2"/>
        <v>11257552</v>
      </c>
      <c r="O16" s="80">
        <f>F291</f>
        <v>11593090</v>
      </c>
      <c r="P16" s="80">
        <f t="shared" si="3"/>
        <v>-335538</v>
      </c>
      <c r="Q16" s="64"/>
      <c r="R16" s="80">
        <f t="shared" ca="1" si="0"/>
        <v>-1.0400000009685755</v>
      </c>
      <c r="S16" s="80">
        <f ca="1">H291</f>
        <v>12400186</v>
      </c>
      <c r="T16" s="468">
        <f ca="1">+'[7]Summary (Base)'!$E$19</f>
        <v>12400187.040000001</v>
      </c>
      <c r="U16" s="441"/>
    </row>
    <row r="17" spans="1:21">
      <c r="A17" s="91" t="str">
        <f>A302</f>
        <v>SCHEDULE 54</v>
      </c>
      <c r="B17" s="91"/>
      <c r="C17" s="329">
        <f>C371</f>
        <v>528</v>
      </c>
      <c r="D17" s="116"/>
      <c r="E17" s="91"/>
      <c r="F17" s="80">
        <f>F375</f>
        <v>873551</v>
      </c>
      <c r="G17" s="124"/>
      <c r="H17" s="80">
        <f ca="1">H375</f>
        <v>689714</v>
      </c>
      <c r="I17" s="80"/>
      <c r="J17" s="328">
        <f t="shared" si="1"/>
        <v>8045663.7919999994</v>
      </c>
      <c r="K17" s="328">
        <f>C373</f>
        <v>8926151.7919999994</v>
      </c>
      <c r="L17" s="328">
        <f>C374</f>
        <v>-880488</v>
      </c>
      <c r="M17" s="64"/>
      <c r="N17" s="80">
        <f t="shared" si="2"/>
        <v>873551</v>
      </c>
      <c r="O17" s="80">
        <f>F369</f>
        <v>899588</v>
      </c>
      <c r="P17" s="80">
        <f t="shared" si="3"/>
        <v>-26037</v>
      </c>
      <c r="Q17" s="64"/>
      <c r="R17" s="80">
        <f t="shared" ca="1" si="0"/>
        <v>-0.80000000004656613</v>
      </c>
      <c r="S17" s="80">
        <f ca="1">H369</f>
        <v>716241</v>
      </c>
      <c r="T17" s="468">
        <f ca="1">+'[7]Summary (Base)'!$E$20</f>
        <v>716241.8</v>
      </c>
      <c r="U17" s="441"/>
    </row>
    <row r="18" spans="1:21">
      <c r="A18" s="91" t="str">
        <f>A378</f>
        <v>SCHEDULES 55 &amp; 56</v>
      </c>
      <c r="B18" s="91"/>
      <c r="C18" s="329">
        <f>C416</f>
        <v>19837</v>
      </c>
      <c r="D18" s="116"/>
      <c r="E18" s="91"/>
      <c r="F18" s="80">
        <f>F420</f>
        <v>1000456</v>
      </c>
      <c r="G18" s="124"/>
      <c r="H18" s="80">
        <f ca="1">H420</f>
        <v>1069386</v>
      </c>
      <c r="I18" s="80"/>
      <c r="J18" s="328">
        <f t="shared" si="1"/>
        <v>3890374.6445000004</v>
      </c>
      <c r="K18" s="328">
        <f>C418</f>
        <v>3893849.0450000004</v>
      </c>
      <c r="L18" s="328">
        <f>C419</f>
        <v>-3474.4005000000179</v>
      </c>
      <c r="M18" s="64"/>
      <c r="N18" s="80">
        <f t="shared" si="2"/>
        <v>953067</v>
      </c>
      <c r="O18" s="80">
        <f>F414-F413-F412</f>
        <v>981474</v>
      </c>
      <c r="P18" s="80">
        <f t="shared" si="3"/>
        <v>-28407</v>
      </c>
      <c r="Q18" s="64"/>
      <c r="R18" s="80">
        <f t="shared" ca="1" si="0"/>
        <v>2.159999999916181</v>
      </c>
      <c r="S18" s="80">
        <f ca="1">H414-H412-H413</f>
        <v>1012566</v>
      </c>
      <c r="T18" s="468">
        <f ca="1">+'[7]Summary (Base)'!$E$21</f>
        <v>1012563.8400000001</v>
      </c>
      <c r="U18" s="441"/>
    </row>
    <row r="19" spans="1:21">
      <c r="A19" s="91" t="str">
        <f>A423</f>
        <v>SCHEDULE 57</v>
      </c>
      <c r="B19" s="91"/>
      <c r="C19" s="329">
        <f>C430</f>
        <v>1310</v>
      </c>
      <c r="D19" s="116"/>
      <c r="E19" s="91"/>
      <c r="F19" s="80">
        <f>F434</f>
        <v>377189</v>
      </c>
      <c r="G19" s="124"/>
      <c r="H19" s="80">
        <f ca="1">H434</f>
        <v>599181</v>
      </c>
      <c r="I19" s="80"/>
      <c r="J19" s="328">
        <f t="shared" si="1"/>
        <v>5939077.1749999998</v>
      </c>
      <c r="K19" s="328">
        <f>C432</f>
        <v>4534791.4849999994</v>
      </c>
      <c r="L19" s="328">
        <f>C433</f>
        <v>1404285.6900000002</v>
      </c>
      <c r="M19" s="64"/>
      <c r="N19" s="80">
        <f t="shared" si="2"/>
        <v>377189</v>
      </c>
      <c r="O19" s="80">
        <f>F428</f>
        <v>388431</v>
      </c>
      <c r="P19" s="80">
        <f t="shared" si="3"/>
        <v>-11242</v>
      </c>
      <c r="Q19" s="64"/>
      <c r="R19" s="80">
        <f t="shared" ca="1" si="0"/>
        <v>-0.14819999993778765</v>
      </c>
      <c r="S19" s="80">
        <f ca="1">H428</f>
        <v>610635</v>
      </c>
      <c r="T19" s="468">
        <f ca="1">+'[7]Summary (Base)'!$E$22</f>
        <v>610635.14819999994</v>
      </c>
      <c r="U19" s="441"/>
    </row>
    <row r="20" spans="1:21">
      <c r="A20" s="91" t="str">
        <f>A437</f>
        <v>SCHEDULES 58 &amp; 59</v>
      </c>
      <c r="B20" s="91"/>
      <c r="C20" s="329">
        <f>C528</f>
        <v>3662</v>
      </c>
      <c r="D20" s="116"/>
      <c r="E20" s="91"/>
      <c r="F20" s="80">
        <f>F532</f>
        <v>419090</v>
      </c>
      <c r="G20" s="124"/>
      <c r="H20" s="80">
        <f ca="1">H532</f>
        <v>405726</v>
      </c>
      <c r="I20" s="80"/>
      <c r="J20" s="328">
        <f t="shared" si="1"/>
        <v>2348936.6825000001</v>
      </c>
      <c r="K20" s="328">
        <f>C530</f>
        <v>2337951.7660000003</v>
      </c>
      <c r="L20" s="328">
        <f>C531</f>
        <v>10984.916500000007</v>
      </c>
      <c r="M20" s="64"/>
      <c r="N20" s="80">
        <f t="shared" si="2"/>
        <v>403384</v>
      </c>
      <c r="O20" s="80">
        <f>F526-F525</f>
        <v>415407</v>
      </c>
      <c r="P20" s="80">
        <f t="shared" si="3"/>
        <v>-12023</v>
      </c>
      <c r="Q20" s="64"/>
      <c r="R20" s="80">
        <f t="shared" ca="1" si="0"/>
        <v>3.4800000000395812</v>
      </c>
      <c r="S20" s="80">
        <f ca="1">H526-H525</f>
        <v>399255</v>
      </c>
      <c r="T20" s="468">
        <f ca="1">+'[7]Summary (Base)'!$E$23</f>
        <v>399251.51999999996</v>
      </c>
      <c r="U20" s="441"/>
    </row>
    <row r="21" spans="1:21">
      <c r="A21" s="91" t="s">
        <v>426</v>
      </c>
      <c r="B21" s="91"/>
      <c r="C21" s="105"/>
      <c r="D21" s="116"/>
      <c r="E21" s="91"/>
      <c r="F21" s="80">
        <f>F533</f>
        <v>0</v>
      </c>
      <c r="G21" s="124"/>
      <c r="H21" s="80"/>
      <c r="I21" s="80"/>
      <c r="J21" s="328">
        <f t="shared" si="1"/>
        <v>0</v>
      </c>
      <c r="K21" s="328">
        <v>0</v>
      </c>
      <c r="L21" s="328">
        <v>0</v>
      </c>
      <c r="M21" s="64"/>
      <c r="N21" s="80">
        <f t="shared" si="2"/>
        <v>63095</v>
      </c>
      <c r="O21" s="80">
        <f>SUM(F412:F413,F525)</f>
        <v>63095</v>
      </c>
      <c r="P21" s="80">
        <v>0</v>
      </c>
      <c r="Q21" s="64"/>
      <c r="R21" s="80">
        <f t="shared" ca="1" si="0"/>
        <v>-0.11999999999534339</v>
      </c>
      <c r="S21" s="80">
        <f ca="1">H412+H413+H525</f>
        <v>104481</v>
      </c>
      <c r="T21" s="468">
        <f ca="1">+'[7]Summary (Base)'!$E$24+'[7]Summary (Base)'!$E$25</f>
        <v>104481.12</v>
      </c>
      <c r="U21" s="441"/>
    </row>
    <row r="22" spans="1:21" ht="16.2" thickBot="1">
      <c r="A22" s="91" t="s">
        <v>212</v>
      </c>
      <c r="B22" s="91"/>
      <c r="C22" s="184">
        <f>SUM(C13:C21)</f>
        <v>86718</v>
      </c>
      <c r="D22" s="116"/>
      <c r="E22" s="91"/>
      <c r="F22" s="131">
        <f>SUM(F13:F21)</f>
        <v>17167293</v>
      </c>
      <c r="G22" s="124"/>
      <c r="H22" s="131">
        <f ca="1">SUM(H13:H21)</f>
        <v>17488471</v>
      </c>
      <c r="I22" s="80"/>
      <c r="J22" s="184">
        <f t="shared" ref="J22:L22" si="4">SUM(J13:J21)</f>
        <v>77972349.305999994</v>
      </c>
      <c r="K22" s="184">
        <f t="shared" si="4"/>
        <v>80281056.737000003</v>
      </c>
      <c r="L22" s="184">
        <f t="shared" si="4"/>
        <v>-2308707.4310000003</v>
      </c>
      <c r="M22" s="64"/>
      <c r="N22" s="131">
        <f>SUM(N13:N21)</f>
        <v>17167293</v>
      </c>
      <c r="O22" s="131">
        <f t="shared" ref="O22" si="5">SUM(O13:O21)</f>
        <v>17677094</v>
      </c>
      <c r="P22" s="403">
        <v>-509800</v>
      </c>
      <c r="Q22" s="64"/>
      <c r="R22" s="131">
        <f ca="1">SUM(R12:R21)</f>
        <v>4.461399999096102</v>
      </c>
      <c r="S22" s="131">
        <f t="shared" ref="S22:T22" ca="1" si="6">SUM(S12:S21)</f>
        <v>18007863</v>
      </c>
      <c r="T22" s="131">
        <f t="shared" ca="1" si="6"/>
        <v>18007858.538600005</v>
      </c>
      <c r="U22" s="442"/>
    </row>
    <row r="23" spans="1:21" ht="16.2" thickTop="1">
      <c r="A23" s="91"/>
      <c r="B23" s="91"/>
      <c r="C23" s="97"/>
      <c r="D23" s="116"/>
      <c r="E23" s="91"/>
      <c r="F23" s="80"/>
      <c r="G23" s="124"/>
      <c r="H23" s="80"/>
      <c r="I23" s="80"/>
      <c r="J23" s="64"/>
      <c r="K23" s="64"/>
      <c r="L23" s="64"/>
      <c r="M23" s="64"/>
      <c r="N23" s="64"/>
      <c r="O23" s="81"/>
      <c r="P23" s="81"/>
      <c r="Q23" s="64"/>
    </row>
    <row r="24" spans="1:21" ht="16.2" thickBot="1">
      <c r="A24" s="91"/>
      <c r="B24" s="91"/>
      <c r="C24" s="97"/>
      <c r="D24" s="116"/>
      <c r="E24" s="91"/>
      <c r="F24" s="80"/>
      <c r="G24" s="124"/>
      <c r="H24" s="131">
        <f ca="1">+'Exhibit No.__(JAP-Rate Spread)'!K28</f>
        <v>17490.298484994477</v>
      </c>
      <c r="I24" s="80"/>
      <c r="J24" s="64"/>
      <c r="K24" s="64"/>
      <c r="L24" s="64"/>
      <c r="M24" s="64"/>
      <c r="N24" s="404"/>
      <c r="O24" s="456">
        <f ca="1">+'Exhibit No.__(JAP-Rate Spread)'!I28</f>
        <v>1.8815167015235074E-2</v>
      </c>
      <c r="P24" s="247">
        <f ca="1">O24</f>
        <v>1.8815167015235074E-2</v>
      </c>
      <c r="Q24" s="64"/>
      <c r="S24" s="440"/>
    </row>
    <row r="25" spans="1:21" ht="16.2" thickTop="1">
      <c r="A25" s="91"/>
      <c r="B25" s="91"/>
      <c r="C25" s="97"/>
      <c r="D25" s="116"/>
      <c r="E25" s="91"/>
      <c r="F25" s="80"/>
      <c r="G25" s="124"/>
      <c r="H25" s="83"/>
      <c r="I25" s="80"/>
      <c r="J25" s="64"/>
      <c r="K25" s="64"/>
      <c r="L25" s="64"/>
      <c r="M25" s="64"/>
      <c r="N25" s="81">
        <f ca="1">SUM(O25:P25)</f>
        <v>323005.50380964304</v>
      </c>
      <c r="O25" s="263">
        <f ca="1">O24*O22</f>
        <v>332597.47595400986</v>
      </c>
      <c r="P25" s="263">
        <f ca="1">P24*P22</f>
        <v>-9591.9721443668404</v>
      </c>
      <c r="Q25" s="64"/>
      <c r="S25" s="440"/>
    </row>
    <row r="26" spans="1:21">
      <c r="A26" s="91"/>
      <c r="B26" s="91"/>
      <c r="C26" s="97"/>
      <c r="D26" s="116"/>
      <c r="E26" s="91"/>
      <c r="F26" s="80"/>
      <c r="G26" s="124"/>
      <c r="H26" s="83"/>
      <c r="I26" s="80"/>
      <c r="J26" s="64"/>
      <c r="K26" s="64"/>
      <c r="L26" s="64"/>
      <c r="M26" s="64"/>
      <c r="N26" s="81">
        <f ca="1">SUM(O26:P26)</f>
        <v>17490299.503809646</v>
      </c>
      <c r="O26" s="245">
        <f ca="1">O25+O22</f>
        <v>18009691.475954011</v>
      </c>
      <c r="P26" s="245">
        <f ca="1">P25+P22</f>
        <v>-519391.97214436682</v>
      </c>
      <c r="Q26" s="64"/>
      <c r="S26" s="440"/>
    </row>
    <row r="27" spans="1:21">
      <c r="A27" s="539" t="s">
        <v>206</v>
      </c>
      <c r="B27" s="539"/>
      <c r="C27" s="539"/>
      <c r="D27" s="539"/>
      <c r="E27" s="539"/>
      <c r="F27" s="539"/>
      <c r="G27" s="539"/>
      <c r="H27" s="539"/>
      <c r="I27" s="91"/>
      <c r="J27" s="64"/>
      <c r="K27" s="64"/>
      <c r="L27" s="64"/>
      <c r="M27" s="64"/>
      <c r="Q27" s="64"/>
    </row>
    <row r="28" spans="1:21">
      <c r="A28" s="91" t="s">
        <v>427</v>
      </c>
      <c r="B28" s="91"/>
      <c r="C28" s="91"/>
      <c r="D28" s="91"/>
      <c r="E28" s="91"/>
      <c r="F28" s="80"/>
      <c r="G28" s="91"/>
      <c r="H28" s="91"/>
      <c r="I28" s="91"/>
      <c r="J28" s="64"/>
      <c r="K28" s="64"/>
      <c r="L28" s="64"/>
      <c r="M28" s="64"/>
      <c r="Q28" s="64"/>
    </row>
    <row r="29" spans="1:21">
      <c r="A29" s="91"/>
      <c r="B29" s="91"/>
      <c r="C29" s="91"/>
      <c r="D29" s="91"/>
      <c r="E29" s="91"/>
      <c r="F29" s="80"/>
      <c r="G29" s="91"/>
      <c r="H29" s="91"/>
      <c r="I29" s="91"/>
      <c r="J29" s="64"/>
      <c r="K29" s="64"/>
      <c r="L29" s="64"/>
      <c r="M29" s="64"/>
      <c r="N29" s="64"/>
      <c r="O29" s="64"/>
      <c r="P29" s="64"/>
      <c r="Q29" s="64"/>
    </row>
    <row r="30" spans="1:21">
      <c r="A30" s="405" t="s">
        <v>428</v>
      </c>
      <c r="B30" s="64"/>
      <c r="C30" s="328">
        <v>59</v>
      </c>
      <c r="D30" s="406">
        <f>+'Tariff Summary Lights'!F6</f>
        <v>0.87</v>
      </c>
      <c r="E30" s="64"/>
      <c r="F30" s="80">
        <f>IF(D30="n/a",0,ROUND(C30*D30*12,0))</f>
        <v>616</v>
      </c>
      <c r="G30" s="406">
        <f ca="1">ROUND(+'[7]JAP-22 Combined Charges'!$J$10,2)</f>
        <v>0.68</v>
      </c>
      <c r="H30" s="80">
        <f ca="1">ROUND(G30*$C30*12,0)</f>
        <v>481</v>
      </c>
      <c r="I30" s="80"/>
      <c r="J30" s="64"/>
      <c r="K30" s="64"/>
      <c r="L30" s="406"/>
      <c r="M30" s="64"/>
      <c r="N30" s="64"/>
      <c r="O30" s="64"/>
      <c r="P30" s="64"/>
      <c r="Q30" s="64"/>
      <c r="S30" s="406"/>
      <c r="T30" s="80"/>
    </row>
    <row r="31" spans="1:21">
      <c r="A31" s="407"/>
      <c r="B31" s="64"/>
      <c r="C31" s="328"/>
      <c r="D31" s="406"/>
      <c r="E31" s="64"/>
      <c r="F31" s="80"/>
      <c r="G31" s="408"/>
      <c r="H31" s="80"/>
      <c r="I31" s="80"/>
      <c r="J31" s="64"/>
      <c r="K31" s="64"/>
      <c r="M31" s="64"/>
      <c r="N31" s="64"/>
      <c r="O31" s="64"/>
      <c r="P31" s="64"/>
      <c r="Q31" s="64"/>
      <c r="S31" s="408"/>
      <c r="T31" s="80"/>
    </row>
    <row r="32" spans="1:21">
      <c r="A32" s="405" t="s">
        <v>429</v>
      </c>
      <c r="B32" s="64"/>
      <c r="C32" s="328">
        <v>13</v>
      </c>
      <c r="D32" s="406">
        <f>+'Tariff Summary Lights'!F7</f>
        <v>5.94</v>
      </c>
      <c r="E32" s="64"/>
      <c r="F32" s="80">
        <f t="shared" ref="F32:F34" si="7">IF(D32="n/a",0,ROUND(C32*D32*12,0))</f>
        <v>927</v>
      </c>
      <c r="G32" s="406">
        <f ca="1">ROUND(+'[7]JAP-22 Combined Charges'!$J$12,2)</f>
        <v>5.19</v>
      </c>
      <c r="H32" s="80">
        <f t="shared" ref="H32:H34" ca="1" si="8">ROUND(G32*$C32*12,0)</f>
        <v>810</v>
      </c>
      <c r="I32" s="80"/>
      <c r="J32" s="64"/>
      <c r="K32" s="64"/>
      <c r="L32" s="406"/>
      <c r="M32" s="64"/>
      <c r="N32" s="64"/>
      <c r="O32" s="64"/>
      <c r="P32" s="64"/>
      <c r="Q32" s="64"/>
      <c r="S32" s="406"/>
      <c r="T32" s="80"/>
    </row>
    <row r="33" spans="1:20">
      <c r="A33" s="405" t="s">
        <v>430</v>
      </c>
      <c r="B33" s="64"/>
      <c r="C33" s="328">
        <v>19</v>
      </c>
      <c r="D33" s="406">
        <f>+'Tariff Summary Lights'!F8</f>
        <v>8.74</v>
      </c>
      <c r="E33" s="64"/>
      <c r="F33" s="80">
        <f t="shared" si="7"/>
        <v>1993</v>
      </c>
      <c r="G33" s="406">
        <f ca="1">ROUND(+'[7]JAP-22 Combined Charges'!$J$13,2)</f>
        <v>7.5</v>
      </c>
      <c r="H33" s="80">
        <f t="shared" ca="1" si="8"/>
        <v>1710</v>
      </c>
      <c r="I33" s="80"/>
      <c r="J33" s="64"/>
      <c r="K33" s="64"/>
      <c r="L33" s="406"/>
      <c r="M33" s="64"/>
      <c r="N33" s="64"/>
      <c r="O33" s="64"/>
      <c r="P33" s="64"/>
      <c r="Q33" s="64"/>
      <c r="S33" s="406"/>
      <c r="T33" s="80"/>
    </row>
    <row r="34" spans="1:20">
      <c r="A34" s="405" t="s">
        <v>431</v>
      </c>
      <c r="B34" s="64"/>
      <c r="C34" s="328">
        <v>22</v>
      </c>
      <c r="D34" s="406">
        <f>+'Tariff Summary Lights'!F9</f>
        <v>17.149999999999999</v>
      </c>
      <c r="E34" s="64"/>
      <c r="F34" s="80">
        <f t="shared" si="7"/>
        <v>4528</v>
      </c>
      <c r="G34" s="406">
        <f ca="1">ROUND(+'[7]JAP-22 Combined Charges'!$J$14,2)</f>
        <v>14.45</v>
      </c>
      <c r="H34" s="80">
        <f t="shared" ca="1" si="8"/>
        <v>3815</v>
      </c>
      <c r="I34" s="80"/>
      <c r="J34" s="64"/>
      <c r="K34" s="64"/>
      <c r="L34" s="406"/>
      <c r="M34" s="64"/>
      <c r="N34" s="64"/>
      <c r="O34" s="64"/>
      <c r="P34" s="64"/>
      <c r="Q34" s="64"/>
      <c r="S34" s="406"/>
      <c r="T34" s="80"/>
    </row>
    <row r="35" spans="1:20">
      <c r="A35" s="407"/>
      <c r="B35" s="64"/>
      <c r="C35" s="328"/>
      <c r="D35" s="408"/>
      <c r="E35" s="64"/>
      <c r="F35" s="80"/>
      <c r="G35" s="408"/>
      <c r="H35" s="80"/>
      <c r="I35" s="80"/>
      <c r="J35" s="64"/>
      <c r="K35" s="64"/>
      <c r="L35" s="406"/>
      <c r="M35" s="64"/>
      <c r="N35" s="64"/>
      <c r="O35" s="64"/>
      <c r="P35" s="64"/>
      <c r="Q35" s="64"/>
      <c r="S35" s="408"/>
      <c r="T35" s="80"/>
    </row>
    <row r="36" spans="1:20">
      <c r="A36" s="405" t="s">
        <v>432</v>
      </c>
      <c r="B36" s="64"/>
      <c r="C36" s="328">
        <v>1</v>
      </c>
      <c r="D36" s="406">
        <f>+'Tariff Summary Lights'!F11</f>
        <v>4.05</v>
      </c>
      <c r="E36" s="64"/>
      <c r="F36" s="80">
        <f t="shared" ref="F36:F39" si="9">IF(D36="n/a",0,ROUND(C36*D36*12,0))</f>
        <v>49</v>
      </c>
      <c r="G36" s="406">
        <f ca="1">ROUND(+'[7]JAP-22 Combined Charges'!$J$15,2)</f>
        <v>3.09</v>
      </c>
      <c r="H36" s="80">
        <f t="shared" ref="H36:H39" ca="1" si="10">ROUND(G36*$C36*12,0)</f>
        <v>37</v>
      </c>
      <c r="I36" s="80"/>
      <c r="J36" s="64"/>
      <c r="K36" s="64"/>
      <c r="L36" s="406"/>
      <c r="M36" s="64"/>
      <c r="N36" s="64"/>
      <c r="O36" s="64"/>
      <c r="P36" s="64"/>
      <c r="Q36" s="64"/>
      <c r="S36" s="406"/>
      <c r="T36" s="80"/>
    </row>
    <row r="37" spans="1:20">
      <c r="A37" s="405" t="s">
        <v>433</v>
      </c>
      <c r="B37" s="64"/>
      <c r="C37" s="328">
        <v>36</v>
      </c>
      <c r="D37" s="406">
        <f>+'Tariff Summary Lights'!F12</f>
        <v>6.85</v>
      </c>
      <c r="E37" s="64"/>
      <c r="F37" s="80">
        <f t="shared" si="9"/>
        <v>2959</v>
      </c>
      <c r="G37" s="406">
        <f ca="1">ROUND(+'[7]JAP-22 Combined Charges'!$J$16,2)</f>
        <v>5.4</v>
      </c>
      <c r="H37" s="80">
        <f t="shared" ca="1" si="10"/>
        <v>2333</v>
      </c>
      <c r="I37" s="80"/>
      <c r="J37" s="64"/>
      <c r="K37" s="64"/>
      <c r="L37" s="406"/>
      <c r="M37" s="64"/>
      <c r="N37" s="64"/>
      <c r="O37" s="64"/>
      <c r="P37" s="64"/>
      <c r="Q37" s="64"/>
      <c r="S37" s="406"/>
      <c r="T37" s="80"/>
    </row>
    <row r="38" spans="1:20">
      <c r="A38" s="405" t="s">
        <v>434</v>
      </c>
      <c r="B38" s="64"/>
      <c r="C38" s="328">
        <v>44</v>
      </c>
      <c r="D38" s="406">
        <f>+'Tariff Summary Lights'!F13</f>
        <v>15.14</v>
      </c>
      <c r="E38" s="64"/>
      <c r="F38" s="80">
        <f t="shared" si="9"/>
        <v>7994</v>
      </c>
      <c r="G38" s="406">
        <f ca="1">ROUND(+'[7]JAP-22 Combined Charges'!$J$17,2)</f>
        <v>12.35</v>
      </c>
      <c r="H38" s="80">
        <f t="shared" ca="1" si="10"/>
        <v>6521</v>
      </c>
      <c r="I38" s="80"/>
      <c r="J38" s="64"/>
      <c r="K38" s="64"/>
      <c r="L38" s="406"/>
      <c r="M38" s="64"/>
      <c r="N38" s="64"/>
      <c r="O38" s="64"/>
      <c r="P38" s="64"/>
      <c r="Q38" s="64"/>
      <c r="S38" s="406"/>
      <c r="T38" s="80"/>
    </row>
    <row r="39" spans="1:20">
      <c r="A39" s="405" t="s">
        <v>435</v>
      </c>
      <c r="B39" s="64"/>
      <c r="C39" s="328">
        <v>0</v>
      </c>
      <c r="D39" s="406">
        <f>+'Tariff Summary Lights'!F14</f>
        <v>28.57</v>
      </c>
      <c r="E39" s="64"/>
      <c r="F39" s="80">
        <f t="shared" si="9"/>
        <v>0</v>
      </c>
      <c r="G39" s="406">
        <f ca="1">ROUND(+'[7]JAP-22 Combined Charges'!$J$18,2)</f>
        <v>21.61</v>
      </c>
      <c r="H39" s="80">
        <f t="shared" ca="1" si="10"/>
        <v>0</v>
      </c>
      <c r="I39" s="80"/>
      <c r="J39" s="64"/>
      <c r="K39" s="64"/>
      <c r="L39" s="406"/>
      <c r="M39" s="64"/>
      <c r="N39" s="64"/>
      <c r="O39" s="64"/>
      <c r="P39" s="64"/>
      <c r="Q39" s="64"/>
      <c r="S39" s="406"/>
      <c r="T39" s="80"/>
    </row>
    <row r="40" spans="1:20">
      <c r="A40" s="409" t="s">
        <v>37</v>
      </c>
      <c r="B40" s="64"/>
      <c r="C40" s="410">
        <f>SUM(C30:C39)</f>
        <v>194</v>
      </c>
      <c r="D40" s="411"/>
      <c r="E40" s="64"/>
      <c r="F40" s="183">
        <f>SUM(F30:F39)</f>
        <v>19066</v>
      </c>
      <c r="G40" s="411"/>
      <c r="H40" s="183">
        <f ca="1">SUM(H30:H39)</f>
        <v>15707</v>
      </c>
      <c r="I40" s="80"/>
      <c r="J40" s="64"/>
      <c r="K40" s="64"/>
      <c r="L40" s="406"/>
      <c r="M40" s="64"/>
      <c r="N40" s="64"/>
      <c r="O40" s="64"/>
      <c r="P40" s="64"/>
      <c r="Q40" s="64"/>
      <c r="T40" s="183"/>
    </row>
    <row r="41" spans="1:20">
      <c r="A41" s="405"/>
      <c r="B41" s="64"/>
      <c r="C41" s="328"/>
      <c r="D41" s="411"/>
      <c r="E41" s="64"/>
      <c r="F41" s="80"/>
      <c r="G41" s="411"/>
      <c r="H41" s="80"/>
      <c r="I41" s="80"/>
      <c r="J41" s="64"/>
      <c r="K41" s="64"/>
      <c r="L41" s="406"/>
      <c r="M41" s="64"/>
      <c r="N41" s="64"/>
      <c r="O41" s="64"/>
      <c r="P41" s="64"/>
      <c r="Q41" s="64"/>
    </row>
    <row r="42" spans="1:20">
      <c r="A42" s="142" t="s">
        <v>186</v>
      </c>
      <c r="B42" s="91"/>
      <c r="C42" s="412">
        <v>144</v>
      </c>
      <c r="D42" s="408"/>
      <c r="E42" s="64"/>
      <c r="F42" s="80"/>
      <c r="G42" s="408"/>
      <c r="H42" s="80"/>
      <c r="I42" s="80"/>
      <c r="J42" s="64"/>
      <c r="K42" s="64"/>
      <c r="L42" s="64"/>
      <c r="M42" s="64"/>
      <c r="N42" s="64"/>
      <c r="O42" s="64"/>
      <c r="P42" s="64"/>
      <c r="Q42" s="64"/>
    </row>
    <row r="43" spans="1:20">
      <c r="A43" s="407"/>
      <c r="B43" s="64"/>
      <c r="C43" s="328"/>
      <c r="D43" s="408"/>
      <c r="E43" s="64"/>
      <c r="F43" s="80"/>
      <c r="G43" s="408"/>
      <c r="H43" s="80"/>
      <c r="I43" s="80"/>
      <c r="J43" s="64"/>
      <c r="K43" s="64"/>
      <c r="L43" s="64"/>
      <c r="M43" s="64"/>
      <c r="N43" s="64"/>
      <c r="O43" s="64"/>
      <c r="P43" s="64"/>
      <c r="Q43" s="64"/>
    </row>
    <row r="44" spans="1:20">
      <c r="A44" s="413" t="s">
        <v>436</v>
      </c>
      <c r="B44" s="414"/>
      <c r="C44" s="415">
        <v>179940</v>
      </c>
      <c r="D44" s="414"/>
      <c r="E44" s="416"/>
      <c r="F44" s="417"/>
      <c r="G44" s="414"/>
      <c r="H44" s="418"/>
      <c r="I44" s="416"/>
      <c r="J44" s="414"/>
      <c r="K44" s="419"/>
      <c r="L44" s="414"/>
      <c r="M44" s="414"/>
      <c r="N44" s="414"/>
      <c r="O44" s="414"/>
      <c r="P44" s="414"/>
      <c r="Q44" s="414"/>
      <c r="R44" s="414"/>
      <c r="S44" s="414"/>
      <c r="T44" s="414"/>
    </row>
    <row r="45" spans="1:20">
      <c r="A45" s="413" t="s">
        <v>437</v>
      </c>
      <c r="B45" s="64"/>
      <c r="C45" s="328">
        <v>-75285</v>
      </c>
      <c r="D45" s="420">
        <f>ROUND(F45/C45,6)</f>
        <v>7.332E-3</v>
      </c>
      <c r="E45" s="421"/>
      <c r="F45" s="80">
        <f>$P$13</f>
        <v>-552</v>
      </c>
      <c r="G45" s="420">
        <f ca="1">ROUND(H45/C45,6)</f>
        <v>7.4650000000000003E-3</v>
      </c>
      <c r="H45" s="80">
        <f ca="1">ROUND(+F45*(1+J45),0)</f>
        <v>-562</v>
      </c>
      <c r="I45" s="421"/>
      <c r="J45" s="110">
        <f ca="1">+'Exhibit No.__(JAP-Rate Spread)'!I28</f>
        <v>1.8815167015235074E-2</v>
      </c>
      <c r="K45" s="521" t="s">
        <v>438</v>
      </c>
      <c r="L45" s="521"/>
      <c r="M45" s="458"/>
      <c r="N45" s="458"/>
      <c r="O45" s="458"/>
      <c r="P45" s="458"/>
      <c r="Q45" s="458"/>
      <c r="R45" s="458"/>
      <c r="S45" s="458"/>
      <c r="T45" s="458"/>
    </row>
    <row r="46" spans="1:20" ht="16.2" thickBot="1">
      <c r="A46" s="143" t="s">
        <v>38</v>
      </c>
      <c r="B46" s="64"/>
      <c r="C46" s="422">
        <f>SUM(C44:C45)</f>
        <v>104655</v>
      </c>
      <c r="D46" s="83"/>
      <c r="E46" s="64"/>
      <c r="F46" s="423">
        <f>SUM(F45,F40)</f>
        <v>18514</v>
      </c>
      <c r="G46" s="83"/>
      <c r="H46" s="423">
        <f ca="1">SUM(H45,H40)</f>
        <v>15145</v>
      </c>
      <c r="I46" s="64"/>
      <c r="J46" s="64"/>
      <c r="K46" s="64"/>
      <c r="L46" s="64"/>
      <c r="M46" s="64"/>
      <c r="N46" s="64"/>
      <c r="O46" s="64"/>
      <c r="P46" s="64"/>
      <c r="Q46" s="64"/>
    </row>
    <row r="47" spans="1:20" ht="16.2" thickTop="1">
      <c r="A47" s="424"/>
      <c r="B47" s="64"/>
      <c r="C47" s="89"/>
      <c r="D47" s="83"/>
      <c r="E47" s="83"/>
      <c r="F47" s="83"/>
      <c r="G47" s="83"/>
      <c r="H47" s="83"/>
      <c r="I47" s="83"/>
      <c r="J47" s="64"/>
      <c r="K47" s="64"/>
      <c r="L47" s="64"/>
      <c r="M47" s="64"/>
      <c r="N47" s="64"/>
      <c r="O47" s="64"/>
      <c r="P47" s="64"/>
      <c r="Q47" s="64"/>
    </row>
    <row r="48" spans="1:20">
      <c r="A48" s="539" t="s">
        <v>49</v>
      </c>
      <c r="B48" s="539"/>
      <c r="C48" s="539"/>
      <c r="D48" s="539"/>
      <c r="E48" s="539"/>
      <c r="F48" s="539"/>
      <c r="G48" s="539"/>
      <c r="H48" s="539"/>
      <c r="I48" s="91"/>
      <c r="J48" s="64"/>
      <c r="K48" s="64"/>
      <c r="L48" s="64"/>
      <c r="M48" s="64"/>
      <c r="N48" s="64"/>
      <c r="O48" s="64"/>
      <c r="P48" s="64"/>
      <c r="Q48" s="64"/>
    </row>
    <row r="49" spans="1:20">
      <c r="A49" s="91"/>
      <c r="B49" s="91"/>
      <c r="C49" s="91"/>
      <c r="D49" s="91"/>
      <c r="E49" s="91"/>
      <c r="F49" s="91"/>
      <c r="G49" s="91"/>
      <c r="H49" s="91"/>
      <c r="I49" s="91"/>
      <c r="J49" s="64"/>
      <c r="K49" s="64"/>
      <c r="L49" s="64"/>
      <c r="M49" s="64"/>
      <c r="N49" s="64"/>
      <c r="O49" s="64"/>
      <c r="P49" s="64"/>
      <c r="Q49" s="64"/>
    </row>
    <row r="50" spans="1:20">
      <c r="A50" s="402" t="s">
        <v>439</v>
      </c>
      <c r="B50" s="64"/>
      <c r="C50" s="328">
        <v>6</v>
      </c>
      <c r="D50" s="406">
        <f>+'Tariff Summary Lights'!F19</f>
        <v>1.1399999999999999</v>
      </c>
      <c r="E50" s="64"/>
      <c r="F50" s="80">
        <f t="shared" ref="F50:F103" si="11">IF(D50="n/a",0,ROUND(C50*D50*12,0))</f>
        <v>82</v>
      </c>
      <c r="G50" s="457">
        <f ca="1">ROUND(+'[7]JAP-22 Combined Charges'!$J$21,2)</f>
        <v>1.39</v>
      </c>
      <c r="H50" s="80">
        <f ca="1">ROUND(G50*$C50*12,0)</f>
        <v>100</v>
      </c>
      <c r="I50" s="91"/>
      <c r="J50" s="64"/>
      <c r="K50" s="64"/>
      <c r="L50" s="81"/>
      <c r="M50" s="64"/>
      <c r="N50" s="64"/>
      <c r="O50" s="64"/>
      <c r="P50" s="64"/>
      <c r="Q50" s="64"/>
      <c r="T50" s="80"/>
    </row>
    <row r="51" spans="1:20">
      <c r="A51" s="402" t="s">
        <v>440</v>
      </c>
      <c r="B51" s="91"/>
      <c r="C51" s="328">
        <v>23</v>
      </c>
      <c r="D51" s="406">
        <f>+'Tariff Summary Lights'!F20</f>
        <v>1.3499999999999999</v>
      </c>
      <c r="E51" s="64"/>
      <c r="F51" s="80">
        <f t="shared" si="11"/>
        <v>373</v>
      </c>
      <c r="G51" s="406">
        <f ca="1">+G50</f>
        <v>1.39</v>
      </c>
      <c r="H51" s="80">
        <f t="shared" ref="H51:H103" ca="1" si="12">ROUND(G51*$C51*12,0)</f>
        <v>384</v>
      </c>
      <c r="I51" s="91"/>
      <c r="J51" s="64"/>
      <c r="K51" s="64"/>
      <c r="L51" s="81"/>
      <c r="M51" s="64"/>
      <c r="N51" s="64"/>
      <c r="O51" s="64"/>
      <c r="P51" s="64"/>
      <c r="Q51" s="64"/>
      <c r="T51" s="80"/>
    </row>
    <row r="52" spans="1:20">
      <c r="A52" s="402" t="s">
        <v>441</v>
      </c>
      <c r="B52" s="91"/>
      <c r="C52" s="328">
        <v>45</v>
      </c>
      <c r="D52" s="406">
        <f>+'Tariff Summary Lights'!F21</f>
        <v>1.49</v>
      </c>
      <c r="E52" s="64"/>
      <c r="F52" s="80">
        <f t="shared" si="11"/>
        <v>805</v>
      </c>
      <c r="G52" s="406">
        <f t="shared" ref="G52:G55" ca="1" si="13">+G51</f>
        <v>1.39</v>
      </c>
      <c r="H52" s="80">
        <f t="shared" ca="1" si="12"/>
        <v>751</v>
      </c>
      <c r="I52" s="91"/>
      <c r="J52" s="64"/>
      <c r="K52" s="64"/>
      <c r="L52" s="81"/>
      <c r="M52" s="64"/>
      <c r="N52" s="64"/>
      <c r="O52" s="64"/>
      <c r="P52" s="64"/>
      <c r="Q52" s="64"/>
      <c r="T52" s="80"/>
    </row>
    <row r="53" spans="1:20">
      <c r="A53" s="402" t="s">
        <v>442</v>
      </c>
      <c r="B53" s="91"/>
      <c r="C53" s="328">
        <v>21</v>
      </c>
      <c r="D53" s="406">
        <f>+'Tariff Summary Lights'!F22</f>
        <v>1.67</v>
      </c>
      <c r="E53" s="64"/>
      <c r="F53" s="80">
        <f t="shared" si="11"/>
        <v>421</v>
      </c>
      <c r="G53" s="406">
        <f t="shared" ca="1" si="13"/>
        <v>1.39</v>
      </c>
      <c r="H53" s="80">
        <f t="shared" ca="1" si="12"/>
        <v>350</v>
      </c>
      <c r="I53" s="91"/>
      <c r="J53" s="64"/>
      <c r="K53" s="64"/>
      <c r="L53" s="81"/>
      <c r="M53" s="64"/>
      <c r="N53" s="64"/>
      <c r="O53" s="64"/>
      <c r="P53" s="64"/>
      <c r="Q53" s="64"/>
      <c r="T53" s="80"/>
    </row>
    <row r="54" spans="1:20">
      <c r="A54" s="402" t="s">
        <v>443</v>
      </c>
      <c r="B54" s="91"/>
      <c r="C54" s="328">
        <v>412</v>
      </c>
      <c r="D54" s="406">
        <f>+'Tariff Summary Lights'!F23</f>
        <v>1.8399999999999999</v>
      </c>
      <c r="E54" s="64"/>
      <c r="F54" s="80">
        <f t="shared" si="11"/>
        <v>9097</v>
      </c>
      <c r="G54" s="406">
        <f t="shared" ca="1" si="13"/>
        <v>1.39</v>
      </c>
      <c r="H54" s="80">
        <f t="shared" ca="1" si="12"/>
        <v>6872</v>
      </c>
      <c r="I54" s="91"/>
      <c r="J54" s="64"/>
      <c r="K54" s="64"/>
      <c r="L54" s="81"/>
      <c r="M54" s="64"/>
      <c r="N54" s="64"/>
      <c r="O54" s="64"/>
      <c r="P54" s="64"/>
      <c r="Q54" s="64"/>
      <c r="T54" s="80"/>
    </row>
    <row r="55" spans="1:20">
      <c r="A55" s="402" t="s">
        <v>444</v>
      </c>
      <c r="B55" s="91"/>
      <c r="C55" s="328">
        <v>35</v>
      </c>
      <c r="D55" s="406">
        <f>+'Tariff Summary Lights'!F24</f>
        <v>2.0299999999999998</v>
      </c>
      <c r="E55" s="64"/>
      <c r="F55" s="80">
        <f t="shared" si="11"/>
        <v>853</v>
      </c>
      <c r="G55" s="406">
        <f t="shared" ca="1" si="13"/>
        <v>1.39</v>
      </c>
      <c r="H55" s="80">
        <f t="shared" ca="1" si="12"/>
        <v>584</v>
      </c>
      <c r="I55" s="91"/>
      <c r="J55" s="64"/>
      <c r="K55" s="64"/>
      <c r="L55" s="81"/>
      <c r="M55" s="64"/>
      <c r="N55" s="64"/>
      <c r="O55" s="64"/>
      <c r="P55" s="64"/>
      <c r="Q55" s="64"/>
      <c r="T55" s="80"/>
    </row>
    <row r="56" spans="1:20">
      <c r="A56" s="402" t="s">
        <v>445</v>
      </c>
      <c r="B56" s="91"/>
      <c r="C56" s="328">
        <v>27</v>
      </c>
      <c r="D56" s="406">
        <f>+'Tariff Summary Lights'!F25</f>
        <v>2.2000000000000002</v>
      </c>
      <c r="E56" s="64"/>
      <c r="F56" s="80">
        <f t="shared" si="11"/>
        <v>713</v>
      </c>
      <c r="G56" s="457">
        <f ca="1">ROUND(+'[7]JAP-22 Combined Charges'!$J$22,2)</f>
        <v>2.3199999999999998</v>
      </c>
      <c r="H56" s="80">
        <f t="shared" ca="1" si="12"/>
        <v>752</v>
      </c>
      <c r="I56" s="91"/>
      <c r="J56" s="64"/>
      <c r="K56" s="64"/>
      <c r="L56" s="81"/>
      <c r="M56" s="64"/>
      <c r="N56" s="64"/>
      <c r="O56" s="64"/>
      <c r="P56" s="64"/>
      <c r="Q56" s="64"/>
      <c r="T56" s="80"/>
    </row>
    <row r="57" spans="1:20">
      <c r="A57" s="402" t="s">
        <v>446</v>
      </c>
      <c r="B57" s="91"/>
      <c r="C57" s="328">
        <v>7</v>
      </c>
      <c r="D57" s="406">
        <f>+'Tariff Summary Lights'!F26</f>
        <v>2.3800000000000003</v>
      </c>
      <c r="E57" s="64"/>
      <c r="F57" s="80">
        <f t="shared" si="11"/>
        <v>200</v>
      </c>
      <c r="G57" s="406">
        <f ca="1">+G56</f>
        <v>2.3199999999999998</v>
      </c>
      <c r="H57" s="80">
        <f t="shared" ca="1" si="12"/>
        <v>195</v>
      </c>
      <c r="I57" s="91"/>
      <c r="J57" s="64"/>
      <c r="K57" s="64"/>
      <c r="L57" s="81"/>
      <c r="M57" s="64"/>
      <c r="N57" s="64"/>
      <c r="O57" s="64"/>
      <c r="P57" s="64"/>
      <c r="Q57" s="64"/>
      <c r="T57" s="80"/>
    </row>
    <row r="58" spans="1:20">
      <c r="A58" s="402" t="s">
        <v>447</v>
      </c>
      <c r="B58" s="91"/>
      <c r="C58" s="328">
        <v>212</v>
      </c>
      <c r="D58" s="406">
        <f>+'Tariff Summary Lights'!F27</f>
        <v>2.5499999999999998</v>
      </c>
      <c r="E58" s="64"/>
      <c r="F58" s="80">
        <f t="shared" si="11"/>
        <v>6487</v>
      </c>
      <c r="G58" s="406">
        <f t="shared" ref="G58:G61" ca="1" si="14">+G57</f>
        <v>2.3199999999999998</v>
      </c>
      <c r="H58" s="80">
        <f t="shared" ca="1" si="12"/>
        <v>5902</v>
      </c>
      <c r="I58" s="91"/>
      <c r="J58" s="64"/>
      <c r="K58" s="64"/>
      <c r="L58" s="81"/>
      <c r="M58" s="64"/>
      <c r="N58" s="64"/>
      <c r="O58" s="64"/>
      <c r="P58" s="64"/>
      <c r="Q58" s="64"/>
      <c r="T58" s="80"/>
    </row>
    <row r="59" spans="1:20">
      <c r="A59" s="402" t="s">
        <v>448</v>
      </c>
      <c r="B59" s="91"/>
      <c r="C59" s="328">
        <v>14</v>
      </c>
      <c r="D59" s="406">
        <f>+'Tariff Summary Lights'!F28</f>
        <v>2.73</v>
      </c>
      <c r="E59" s="64"/>
      <c r="F59" s="80">
        <f t="shared" si="11"/>
        <v>459</v>
      </c>
      <c r="G59" s="406">
        <f t="shared" ca="1" si="14"/>
        <v>2.3199999999999998</v>
      </c>
      <c r="H59" s="80">
        <f t="shared" ca="1" si="12"/>
        <v>390</v>
      </c>
      <c r="I59" s="91"/>
      <c r="J59" s="64"/>
      <c r="K59" s="64"/>
      <c r="L59" s="81"/>
      <c r="M59" s="64"/>
      <c r="N59" s="64"/>
      <c r="O59" s="64"/>
      <c r="P59" s="64"/>
      <c r="Q59" s="64"/>
      <c r="T59" s="80"/>
    </row>
    <row r="60" spans="1:20">
      <c r="A60" s="402" t="s">
        <v>449</v>
      </c>
      <c r="B60" s="91"/>
      <c r="C60" s="328">
        <v>0</v>
      </c>
      <c r="D60" s="406">
        <f>+'Tariff Summary Lights'!F29</f>
        <v>2.9000000000000004</v>
      </c>
      <c r="E60" s="64"/>
      <c r="F60" s="80">
        <f t="shared" si="11"/>
        <v>0</v>
      </c>
      <c r="G60" s="406">
        <f t="shared" ca="1" si="14"/>
        <v>2.3199999999999998</v>
      </c>
      <c r="H60" s="80">
        <f t="shared" ca="1" si="12"/>
        <v>0</v>
      </c>
      <c r="I60" s="91"/>
      <c r="J60" s="64"/>
      <c r="K60" s="64"/>
      <c r="L60" s="81"/>
      <c r="M60" s="64"/>
      <c r="N60" s="64"/>
      <c r="O60" s="64"/>
      <c r="P60" s="64"/>
      <c r="Q60" s="64"/>
      <c r="T60" s="80"/>
    </row>
    <row r="61" spans="1:20">
      <c r="A61" s="402" t="s">
        <v>450</v>
      </c>
      <c r="B61" s="91"/>
      <c r="C61" s="328">
        <v>25</v>
      </c>
      <c r="D61" s="406">
        <f>+'Tariff Summary Lights'!F30</f>
        <v>3.07</v>
      </c>
      <c r="E61" s="64"/>
      <c r="F61" s="80">
        <f t="shared" si="11"/>
        <v>921</v>
      </c>
      <c r="G61" s="406">
        <f t="shared" ca="1" si="14"/>
        <v>2.3199999999999998</v>
      </c>
      <c r="H61" s="80">
        <f t="shared" ca="1" si="12"/>
        <v>696</v>
      </c>
      <c r="I61" s="91"/>
      <c r="J61" s="64"/>
      <c r="K61" s="64"/>
      <c r="L61" s="81"/>
      <c r="M61" s="64"/>
      <c r="N61" s="64"/>
      <c r="O61" s="64"/>
      <c r="P61" s="64"/>
      <c r="Q61" s="64"/>
      <c r="T61" s="80"/>
    </row>
    <row r="62" spans="1:20">
      <c r="A62" s="402" t="s">
        <v>451</v>
      </c>
      <c r="B62" s="91"/>
      <c r="C62" s="328">
        <v>61</v>
      </c>
      <c r="D62" s="406">
        <f>+'Tariff Summary Lights'!F31</f>
        <v>3.26</v>
      </c>
      <c r="E62" s="64"/>
      <c r="F62" s="80">
        <f t="shared" si="11"/>
        <v>2386</v>
      </c>
      <c r="G62" s="457">
        <f ca="1">ROUND(+'[7]JAP-22 Combined Charges'!$J$23,2)</f>
        <v>3.24</v>
      </c>
      <c r="H62" s="80">
        <f t="shared" ca="1" si="12"/>
        <v>2372</v>
      </c>
      <c r="I62" s="91"/>
      <c r="J62" s="64"/>
      <c r="K62" s="64"/>
      <c r="L62" s="81"/>
      <c r="M62" s="64"/>
      <c r="N62" s="64"/>
      <c r="O62" s="64"/>
      <c r="P62" s="64"/>
      <c r="Q62" s="64"/>
      <c r="T62" s="80"/>
    </row>
    <row r="63" spans="1:20">
      <c r="A63" s="402" t="s">
        <v>452</v>
      </c>
      <c r="B63" s="91"/>
      <c r="C63" s="328">
        <v>63</v>
      </c>
      <c r="D63" s="406">
        <f>+'Tariff Summary Lights'!F32</f>
        <v>3.43</v>
      </c>
      <c r="E63" s="64"/>
      <c r="F63" s="80">
        <f t="shared" si="11"/>
        <v>2593</v>
      </c>
      <c r="G63" s="406">
        <f ca="1">+G62</f>
        <v>3.24</v>
      </c>
      <c r="H63" s="80">
        <f t="shared" ca="1" si="12"/>
        <v>2449</v>
      </c>
      <c r="I63" s="91"/>
      <c r="J63" s="64"/>
      <c r="K63" s="64"/>
      <c r="L63" s="81"/>
      <c r="M63" s="64"/>
      <c r="N63" s="64"/>
      <c r="O63" s="64"/>
      <c r="P63" s="64"/>
      <c r="Q63" s="64"/>
      <c r="T63" s="80"/>
    </row>
    <row r="64" spans="1:20">
      <c r="A64" s="402" t="s">
        <v>453</v>
      </c>
      <c r="B64" s="91"/>
      <c r="C64" s="328">
        <v>37</v>
      </c>
      <c r="D64" s="406">
        <f>+'Tariff Summary Lights'!F33</f>
        <v>3.6100000000000003</v>
      </c>
      <c r="E64" s="64"/>
      <c r="F64" s="80">
        <f t="shared" si="11"/>
        <v>1603</v>
      </c>
      <c r="G64" s="406">
        <f t="shared" ref="G64:G67" ca="1" si="15">+G63</f>
        <v>3.24</v>
      </c>
      <c r="H64" s="80">
        <f t="shared" ca="1" si="12"/>
        <v>1439</v>
      </c>
      <c r="I64" s="91"/>
      <c r="J64" s="64"/>
      <c r="K64" s="64"/>
      <c r="L64" s="81"/>
      <c r="M64" s="64"/>
      <c r="N64" s="64"/>
      <c r="O64" s="64"/>
      <c r="P64" s="64"/>
      <c r="Q64" s="64"/>
      <c r="T64" s="80"/>
    </row>
    <row r="65" spans="1:20">
      <c r="A65" s="402" t="s">
        <v>454</v>
      </c>
      <c r="B65" s="91"/>
      <c r="C65" s="328">
        <v>3</v>
      </c>
      <c r="D65" s="406">
        <f>+'Tariff Summary Lights'!F34</f>
        <v>3.78</v>
      </c>
      <c r="E65" s="64"/>
      <c r="F65" s="80">
        <f t="shared" si="11"/>
        <v>136</v>
      </c>
      <c r="G65" s="406">
        <f t="shared" ca="1" si="15"/>
        <v>3.24</v>
      </c>
      <c r="H65" s="80">
        <f t="shared" ca="1" si="12"/>
        <v>117</v>
      </c>
      <c r="I65" s="91"/>
      <c r="J65" s="64"/>
      <c r="K65" s="64"/>
      <c r="L65" s="81"/>
      <c r="M65" s="64"/>
      <c r="N65" s="64"/>
      <c r="O65" s="64"/>
      <c r="P65" s="64"/>
      <c r="Q65" s="64"/>
      <c r="T65" s="80"/>
    </row>
    <row r="66" spans="1:20">
      <c r="A66" s="402" t="s">
        <v>455</v>
      </c>
      <c r="B66" s="91"/>
      <c r="C66" s="328">
        <v>0</v>
      </c>
      <c r="D66" s="406">
        <f>+'Tariff Summary Lights'!F35</f>
        <v>3.96</v>
      </c>
      <c r="E66" s="64"/>
      <c r="F66" s="80">
        <f t="shared" si="11"/>
        <v>0</v>
      </c>
      <c r="G66" s="406">
        <f t="shared" ca="1" si="15"/>
        <v>3.24</v>
      </c>
      <c r="H66" s="80">
        <f t="shared" ca="1" si="12"/>
        <v>0</v>
      </c>
      <c r="I66" s="91"/>
      <c r="J66" s="64"/>
      <c r="K66" s="64"/>
      <c r="L66" s="81"/>
      <c r="M66" s="64"/>
      <c r="N66" s="64"/>
      <c r="O66" s="64"/>
      <c r="P66" s="64"/>
      <c r="Q66" s="64"/>
      <c r="T66" s="80"/>
    </row>
    <row r="67" spans="1:20">
      <c r="A67" s="402" t="s">
        <v>456</v>
      </c>
      <c r="B67" s="91"/>
      <c r="C67" s="328">
        <v>0</v>
      </c>
      <c r="D67" s="406">
        <f>+'Tariff Summary Lights'!F36</f>
        <v>4.13</v>
      </c>
      <c r="E67" s="64"/>
      <c r="F67" s="80">
        <f t="shared" si="11"/>
        <v>0</v>
      </c>
      <c r="G67" s="406">
        <f t="shared" ca="1" si="15"/>
        <v>3.24</v>
      </c>
      <c r="H67" s="80">
        <f t="shared" ca="1" si="12"/>
        <v>0</v>
      </c>
      <c r="I67" s="91"/>
      <c r="J67" s="64"/>
      <c r="K67" s="64"/>
      <c r="L67" s="81"/>
      <c r="M67" s="64"/>
      <c r="N67" s="64"/>
      <c r="O67" s="64"/>
      <c r="P67" s="64"/>
      <c r="Q67" s="64"/>
      <c r="T67" s="80"/>
    </row>
    <row r="68" spans="1:20">
      <c r="A68" s="402" t="s">
        <v>457</v>
      </c>
      <c r="B68" s="91"/>
      <c r="C68" s="328">
        <v>0</v>
      </c>
      <c r="D68" s="406">
        <f>+'Tariff Summary Lights'!F37</f>
        <v>4.3100000000000005</v>
      </c>
      <c r="E68" s="64"/>
      <c r="F68" s="80">
        <f t="shared" si="11"/>
        <v>0</v>
      </c>
      <c r="G68" s="457">
        <f ca="1">ROUND(+'[7]JAP-22 Combined Charges'!$J$24,2)</f>
        <v>4.17</v>
      </c>
      <c r="H68" s="80">
        <f t="shared" ca="1" si="12"/>
        <v>0</v>
      </c>
      <c r="I68" s="91"/>
      <c r="J68" s="64"/>
      <c r="K68" s="64"/>
      <c r="L68" s="81"/>
      <c r="M68" s="64"/>
      <c r="N68" s="64"/>
      <c r="O68" s="64"/>
      <c r="P68" s="64"/>
      <c r="Q68" s="64"/>
      <c r="T68" s="80"/>
    </row>
    <row r="69" spans="1:20">
      <c r="A69" s="402" t="s">
        <v>458</v>
      </c>
      <c r="B69" s="91"/>
      <c r="C69" s="328">
        <v>26</v>
      </c>
      <c r="D69" s="406">
        <f>+'Tariff Summary Lights'!F38</f>
        <v>4.49</v>
      </c>
      <c r="E69" s="64"/>
      <c r="F69" s="80">
        <f t="shared" si="11"/>
        <v>1401</v>
      </c>
      <c r="G69" s="406">
        <f ca="1">+G68</f>
        <v>4.17</v>
      </c>
      <c r="H69" s="80">
        <f t="shared" ca="1" si="12"/>
        <v>1301</v>
      </c>
      <c r="I69" s="91"/>
      <c r="J69" s="64"/>
      <c r="K69" s="64"/>
      <c r="L69" s="81"/>
      <c r="M69" s="64"/>
      <c r="N69" s="64"/>
      <c r="O69" s="64"/>
      <c r="P69" s="64"/>
      <c r="Q69" s="64"/>
      <c r="T69" s="80"/>
    </row>
    <row r="70" spans="1:20">
      <c r="A70" s="402" t="s">
        <v>459</v>
      </c>
      <c r="B70" s="91"/>
      <c r="C70" s="328">
        <v>4</v>
      </c>
      <c r="D70" s="406">
        <f>+'Tariff Summary Lights'!F39</f>
        <v>4.6599999999999993</v>
      </c>
      <c r="E70" s="64"/>
      <c r="F70" s="80">
        <f t="shared" si="11"/>
        <v>224</v>
      </c>
      <c r="G70" s="406">
        <f t="shared" ref="G70:G73" ca="1" si="16">+G69</f>
        <v>4.17</v>
      </c>
      <c r="H70" s="80">
        <f t="shared" ca="1" si="12"/>
        <v>200</v>
      </c>
      <c r="I70" s="91"/>
      <c r="J70" s="64"/>
      <c r="K70" s="64"/>
      <c r="L70" s="81"/>
      <c r="M70" s="64"/>
      <c r="N70" s="64"/>
      <c r="O70" s="64"/>
      <c r="P70" s="64"/>
      <c r="Q70" s="64"/>
      <c r="T70" s="80"/>
    </row>
    <row r="71" spans="1:20">
      <c r="A71" s="402" t="s">
        <v>460</v>
      </c>
      <c r="B71" s="91"/>
      <c r="C71" s="328">
        <v>31</v>
      </c>
      <c r="D71" s="406">
        <f>+'Tariff Summary Lights'!F40</f>
        <v>4.84</v>
      </c>
      <c r="E71" s="64"/>
      <c r="F71" s="80">
        <f t="shared" si="11"/>
        <v>1800</v>
      </c>
      <c r="G71" s="406">
        <f t="shared" ca="1" si="16"/>
        <v>4.17</v>
      </c>
      <c r="H71" s="80">
        <f t="shared" ca="1" si="12"/>
        <v>1551</v>
      </c>
      <c r="I71" s="91"/>
      <c r="J71" s="64"/>
      <c r="K71" s="64"/>
      <c r="L71" s="81"/>
      <c r="M71" s="64"/>
      <c r="N71" s="64"/>
      <c r="O71" s="64"/>
      <c r="P71" s="64"/>
      <c r="Q71" s="64"/>
      <c r="T71" s="80"/>
    </row>
    <row r="72" spans="1:20">
      <c r="A72" s="402" t="s">
        <v>461</v>
      </c>
      <c r="B72" s="91"/>
      <c r="C72" s="328">
        <v>0</v>
      </c>
      <c r="D72" s="406">
        <f>+'Tariff Summary Lights'!F41</f>
        <v>5.01</v>
      </c>
      <c r="E72" s="64"/>
      <c r="F72" s="80">
        <f t="shared" si="11"/>
        <v>0</v>
      </c>
      <c r="G72" s="406">
        <f t="shared" ca="1" si="16"/>
        <v>4.17</v>
      </c>
      <c r="H72" s="80">
        <f t="shared" ca="1" si="12"/>
        <v>0</v>
      </c>
      <c r="I72" s="91"/>
      <c r="J72" s="64"/>
      <c r="K72" s="64"/>
      <c r="L72" s="81"/>
      <c r="M72" s="64"/>
      <c r="N72" s="64"/>
      <c r="O72" s="64"/>
      <c r="P72" s="64"/>
      <c r="Q72" s="64"/>
      <c r="T72" s="80"/>
    </row>
    <row r="73" spans="1:20">
      <c r="A73" s="402" t="s">
        <v>462</v>
      </c>
      <c r="B73" s="91"/>
      <c r="C73" s="328">
        <v>37</v>
      </c>
      <c r="D73" s="406">
        <f>+'Tariff Summary Lights'!F42</f>
        <v>5.1899999999999995</v>
      </c>
      <c r="E73" s="64"/>
      <c r="F73" s="80">
        <f t="shared" si="11"/>
        <v>2304</v>
      </c>
      <c r="G73" s="406">
        <f t="shared" ca="1" si="16"/>
        <v>4.17</v>
      </c>
      <c r="H73" s="80">
        <f t="shared" ca="1" si="12"/>
        <v>1851</v>
      </c>
      <c r="I73" s="91"/>
      <c r="J73" s="64"/>
      <c r="K73" s="64"/>
      <c r="L73" s="81"/>
      <c r="M73" s="64"/>
      <c r="N73" s="64"/>
      <c r="O73" s="64"/>
      <c r="P73" s="64"/>
      <c r="Q73" s="64"/>
      <c r="T73" s="80"/>
    </row>
    <row r="74" spans="1:20">
      <c r="A74" s="402" t="s">
        <v>463</v>
      </c>
      <c r="B74" s="91"/>
      <c r="C74" s="328">
        <v>1</v>
      </c>
      <c r="D74" s="406">
        <f>+'Tariff Summary Lights'!F43</f>
        <v>5.36</v>
      </c>
      <c r="E74" s="64"/>
      <c r="F74" s="80">
        <f t="shared" si="11"/>
        <v>64</v>
      </c>
      <c r="G74" s="457">
        <f ca="1">ROUND(+'[7]JAP-22 Combined Charges'!$J$25,2)</f>
        <v>5.09</v>
      </c>
      <c r="H74" s="80">
        <f t="shared" ca="1" si="12"/>
        <v>61</v>
      </c>
      <c r="I74" s="91"/>
      <c r="J74" s="64"/>
      <c r="K74" s="64"/>
      <c r="L74" s="81"/>
      <c r="M74" s="64"/>
      <c r="N74" s="64"/>
      <c r="O74" s="64"/>
      <c r="P74" s="64"/>
      <c r="Q74" s="64"/>
      <c r="T74" s="80"/>
    </row>
    <row r="75" spans="1:20">
      <c r="A75" s="402" t="s">
        <v>464</v>
      </c>
      <c r="B75" s="91"/>
      <c r="C75" s="328">
        <v>10</v>
      </c>
      <c r="D75" s="406">
        <f>+'Tariff Summary Lights'!F44</f>
        <v>5.54</v>
      </c>
      <c r="E75" s="64"/>
      <c r="F75" s="80">
        <f t="shared" si="11"/>
        <v>665</v>
      </c>
      <c r="G75" s="406">
        <f ca="1">+G74</f>
        <v>5.09</v>
      </c>
      <c r="H75" s="80">
        <f t="shared" ca="1" si="12"/>
        <v>611</v>
      </c>
      <c r="I75" s="91"/>
      <c r="J75" s="64"/>
      <c r="K75" s="64"/>
      <c r="L75" s="81"/>
      <c r="M75" s="64"/>
      <c r="N75" s="64"/>
      <c r="O75" s="64"/>
      <c r="P75" s="64"/>
      <c r="Q75" s="64"/>
      <c r="T75" s="80"/>
    </row>
    <row r="76" spans="1:20">
      <c r="A76" s="402" t="s">
        <v>465</v>
      </c>
      <c r="B76" s="91"/>
      <c r="C76" s="328">
        <v>0</v>
      </c>
      <c r="D76" s="406">
        <f>+'Tariff Summary Lights'!F45</f>
        <v>5.7200000000000006</v>
      </c>
      <c r="E76" s="64"/>
      <c r="F76" s="80">
        <f t="shared" si="11"/>
        <v>0</v>
      </c>
      <c r="G76" s="406">
        <f t="shared" ref="G76:G79" ca="1" si="17">+G75</f>
        <v>5.09</v>
      </c>
      <c r="H76" s="80">
        <f t="shared" ca="1" si="12"/>
        <v>0</v>
      </c>
      <c r="I76" s="91"/>
      <c r="J76" s="64"/>
      <c r="K76" s="64"/>
      <c r="L76" s="81"/>
      <c r="M76" s="64"/>
      <c r="N76" s="64"/>
      <c r="O76" s="64"/>
      <c r="P76" s="64"/>
      <c r="Q76" s="64"/>
      <c r="T76" s="80"/>
    </row>
    <row r="77" spans="1:20">
      <c r="A77" s="402" t="s">
        <v>466</v>
      </c>
      <c r="B77" s="91"/>
      <c r="C77" s="328">
        <v>4</v>
      </c>
      <c r="D77" s="406">
        <f>+'Tariff Summary Lights'!F46</f>
        <v>5.9</v>
      </c>
      <c r="E77" s="64"/>
      <c r="F77" s="80">
        <f t="shared" si="11"/>
        <v>283</v>
      </c>
      <c r="G77" s="406">
        <f t="shared" ca="1" si="17"/>
        <v>5.09</v>
      </c>
      <c r="H77" s="80">
        <f t="shared" ca="1" si="12"/>
        <v>244</v>
      </c>
      <c r="I77" s="91"/>
      <c r="J77" s="64"/>
      <c r="K77" s="64"/>
      <c r="L77" s="81"/>
      <c r="M77" s="64"/>
      <c r="N77" s="64"/>
      <c r="O77" s="64"/>
      <c r="P77" s="64"/>
      <c r="Q77" s="64"/>
      <c r="T77" s="80"/>
    </row>
    <row r="78" spans="1:20">
      <c r="A78" s="402" t="s">
        <v>467</v>
      </c>
      <c r="B78" s="91"/>
      <c r="C78" s="328">
        <v>0</v>
      </c>
      <c r="D78" s="406">
        <f>+'Tariff Summary Lights'!F47</f>
        <v>6.0699999999999994</v>
      </c>
      <c r="E78" s="64"/>
      <c r="F78" s="80">
        <f t="shared" si="11"/>
        <v>0</v>
      </c>
      <c r="G78" s="406">
        <f t="shared" ca="1" si="17"/>
        <v>5.09</v>
      </c>
      <c r="H78" s="80">
        <f t="shared" ca="1" si="12"/>
        <v>0</v>
      </c>
      <c r="I78" s="91"/>
      <c r="J78" s="64"/>
      <c r="K78" s="64"/>
      <c r="L78" s="81"/>
      <c r="M78" s="64"/>
      <c r="N78" s="64"/>
      <c r="O78" s="64"/>
      <c r="P78" s="64"/>
      <c r="Q78" s="64"/>
      <c r="T78" s="80"/>
    </row>
    <row r="79" spans="1:20">
      <c r="A79" s="402" t="s">
        <v>468</v>
      </c>
      <c r="B79" s="91"/>
      <c r="C79" s="328">
        <v>1</v>
      </c>
      <c r="D79" s="406">
        <f>+'Tariff Summary Lights'!F48</f>
        <v>6.25</v>
      </c>
      <c r="E79" s="64"/>
      <c r="F79" s="80">
        <f t="shared" si="11"/>
        <v>75</v>
      </c>
      <c r="G79" s="406">
        <f t="shared" ca="1" si="17"/>
        <v>5.09</v>
      </c>
      <c r="H79" s="80">
        <f t="shared" ca="1" si="12"/>
        <v>61</v>
      </c>
      <c r="I79" s="91"/>
      <c r="J79" s="64"/>
      <c r="K79" s="64"/>
      <c r="L79" s="81"/>
      <c r="M79" s="64"/>
      <c r="N79" s="64"/>
      <c r="O79" s="64"/>
      <c r="P79" s="64"/>
      <c r="Q79" s="64"/>
      <c r="T79" s="80"/>
    </row>
    <row r="80" spans="1:20">
      <c r="A80" s="402" t="s">
        <v>469</v>
      </c>
      <c r="B80" s="91"/>
      <c r="C80" s="328">
        <v>0</v>
      </c>
      <c r="D80" s="406">
        <f>+'Tariff Summary Lights'!F49</f>
        <v>6.42</v>
      </c>
      <c r="E80" s="64"/>
      <c r="F80" s="80">
        <f t="shared" si="11"/>
        <v>0</v>
      </c>
      <c r="G80" s="457">
        <f ca="1">ROUND(+'[7]JAP-22 Combined Charges'!$J$26,2)</f>
        <v>6.02</v>
      </c>
      <c r="H80" s="80">
        <f t="shared" ca="1" si="12"/>
        <v>0</v>
      </c>
      <c r="I80" s="91"/>
      <c r="J80" s="64"/>
      <c r="K80" s="64"/>
      <c r="L80" s="81"/>
      <c r="M80" s="64"/>
      <c r="N80" s="64"/>
      <c r="O80" s="64"/>
      <c r="P80" s="64"/>
      <c r="Q80" s="64"/>
      <c r="T80" s="80"/>
    </row>
    <row r="81" spans="1:20">
      <c r="A81" s="402" t="s">
        <v>470</v>
      </c>
      <c r="B81" s="91"/>
      <c r="C81" s="328">
        <v>0</v>
      </c>
      <c r="D81" s="406">
        <f>+'Tariff Summary Lights'!F50</f>
        <v>6.59</v>
      </c>
      <c r="E81" s="64"/>
      <c r="F81" s="80">
        <f t="shared" si="11"/>
        <v>0</v>
      </c>
      <c r="G81" s="406">
        <f ca="1">+G80</f>
        <v>6.02</v>
      </c>
      <c r="H81" s="80">
        <f t="shared" ca="1" si="12"/>
        <v>0</v>
      </c>
      <c r="I81" s="91"/>
      <c r="J81" s="64"/>
      <c r="K81" s="64"/>
      <c r="L81" s="81"/>
      <c r="M81" s="64"/>
      <c r="N81" s="64"/>
      <c r="O81" s="64"/>
      <c r="P81" s="64"/>
      <c r="Q81" s="64"/>
      <c r="T81" s="80"/>
    </row>
    <row r="82" spans="1:20">
      <c r="A82" s="402" t="s">
        <v>471</v>
      </c>
      <c r="B82" s="91"/>
      <c r="C82" s="328">
        <v>0</v>
      </c>
      <c r="D82" s="406">
        <f>+'Tariff Summary Lights'!F51</f>
        <v>6.7700000000000005</v>
      </c>
      <c r="E82" s="64"/>
      <c r="F82" s="80">
        <f t="shared" si="11"/>
        <v>0</v>
      </c>
      <c r="G82" s="406">
        <f t="shared" ref="G82:G85" ca="1" si="18">+G81</f>
        <v>6.02</v>
      </c>
      <c r="H82" s="80">
        <f t="shared" ca="1" si="12"/>
        <v>0</v>
      </c>
      <c r="I82" s="91"/>
      <c r="J82" s="64"/>
      <c r="K82" s="64"/>
      <c r="L82" s="81"/>
      <c r="M82" s="64"/>
      <c r="N82" s="64"/>
      <c r="O82" s="64"/>
      <c r="P82" s="64"/>
      <c r="Q82" s="64"/>
      <c r="T82" s="80"/>
    </row>
    <row r="83" spans="1:20">
      <c r="A83" s="402" t="s">
        <v>472</v>
      </c>
      <c r="B83" s="91"/>
      <c r="C83" s="328">
        <v>75</v>
      </c>
      <c r="D83" s="406">
        <f>+'Tariff Summary Lights'!F52</f>
        <v>6.95</v>
      </c>
      <c r="E83" s="64"/>
      <c r="F83" s="80">
        <f t="shared" si="11"/>
        <v>6255</v>
      </c>
      <c r="G83" s="406">
        <f t="shared" ca="1" si="18"/>
        <v>6.02</v>
      </c>
      <c r="H83" s="80">
        <f t="shared" ca="1" si="12"/>
        <v>5418</v>
      </c>
      <c r="I83" s="91"/>
      <c r="J83" s="64"/>
      <c r="K83" s="64"/>
      <c r="L83" s="81"/>
      <c r="M83" s="64"/>
      <c r="N83" s="64"/>
      <c r="O83" s="64"/>
      <c r="P83" s="64"/>
      <c r="Q83" s="64"/>
      <c r="T83" s="80"/>
    </row>
    <row r="84" spans="1:20">
      <c r="A84" s="402" t="s">
        <v>473</v>
      </c>
      <c r="B84" s="91"/>
      <c r="C84" s="328">
        <v>17</v>
      </c>
      <c r="D84" s="406">
        <f>+'Tariff Summary Lights'!F53</f>
        <v>7.13</v>
      </c>
      <c r="E84" s="64"/>
      <c r="F84" s="80">
        <f t="shared" si="11"/>
        <v>1455</v>
      </c>
      <c r="G84" s="406">
        <f t="shared" ca="1" si="18"/>
        <v>6.02</v>
      </c>
      <c r="H84" s="80">
        <f t="shared" ca="1" si="12"/>
        <v>1228</v>
      </c>
      <c r="I84" s="91"/>
      <c r="J84" s="64"/>
      <c r="K84" s="64"/>
      <c r="L84" s="81"/>
      <c r="M84" s="64"/>
      <c r="N84" s="64"/>
      <c r="O84" s="64"/>
      <c r="P84" s="64"/>
      <c r="Q84" s="64"/>
      <c r="T84" s="80"/>
    </row>
    <row r="85" spans="1:20">
      <c r="A85" s="402" t="s">
        <v>474</v>
      </c>
      <c r="B85" s="91"/>
      <c r="C85" s="328">
        <v>6</v>
      </c>
      <c r="D85" s="406">
        <f>+'Tariff Summary Lights'!F54</f>
        <v>7.3</v>
      </c>
      <c r="E85" s="64"/>
      <c r="F85" s="80">
        <f t="shared" si="11"/>
        <v>526</v>
      </c>
      <c r="G85" s="406">
        <f t="shared" ca="1" si="18"/>
        <v>6.02</v>
      </c>
      <c r="H85" s="80">
        <f t="shared" ca="1" si="12"/>
        <v>433</v>
      </c>
      <c r="I85" s="91"/>
      <c r="J85" s="64"/>
      <c r="K85" s="64"/>
      <c r="L85" s="81"/>
      <c r="M85" s="64"/>
      <c r="N85" s="64"/>
      <c r="O85" s="64"/>
      <c r="P85" s="64"/>
      <c r="Q85" s="64"/>
      <c r="T85" s="80"/>
    </row>
    <row r="86" spans="1:20">
      <c r="A86" s="402" t="s">
        <v>475</v>
      </c>
      <c r="B86" s="91"/>
      <c r="C86" s="328">
        <v>0</v>
      </c>
      <c r="D86" s="406">
        <f>+'Tariff Summary Lights'!F55</f>
        <v>7.4799999999999995</v>
      </c>
      <c r="E86" s="64"/>
      <c r="F86" s="80">
        <f t="shared" si="11"/>
        <v>0</v>
      </c>
      <c r="G86" s="457">
        <f ca="1">ROUND(+'[7]JAP-22 Combined Charges'!$J$27,2)</f>
        <v>6.95</v>
      </c>
      <c r="H86" s="80">
        <f t="shared" ca="1" si="12"/>
        <v>0</v>
      </c>
      <c r="I86" s="91"/>
      <c r="J86" s="64"/>
      <c r="K86" s="64"/>
      <c r="L86" s="81"/>
      <c r="M86" s="64"/>
      <c r="N86" s="64"/>
      <c r="O86" s="64"/>
      <c r="P86" s="64"/>
      <c r="Q86" s="64"/>
      <c r="T86" s="80"/>
    </row>
    <row r="87" spans="1:20">
      <c r="A87" s="402" t="s">
        <v>476</v>
      </c>
      <c r="B87" s="91"/>
      <c r="C87" s="328">
        <v>0</v>
      </c>
      <c r="D87" s="406">
        <f>+'Tariff Summary Lights'!F56</f>
        <v>7.6499999999999995</v>
      </c>
      <c r="E87" s="64"/>
      <c r="F87" s="80">
        <f t="shared" si="11"/>
        <v>0</v>
      </c>
      <c r="G87" s="406">
        <f ca="1">+G86</f>
        <v>6.95</v>
      </c>
      <c r="H87" s="80">
        <f t="shared" ca="1" si="12"/>
        <v>0</v>
      </c>
      <c r="I87" s="91"/>
      <c r="J87" s="64"/>
      <c r="K87" s="64"/>
      <c r="L87" s="81"/>
      <c r="M87" s="64"/>
      <c r="N87" s="64"/>
      <c r="O87" s="64"/>
      <c r="P87" s="64"/>
      <c r="Q87" s="64"/>
      <c r="T87" s="80"/>
    </row>
    <row r="88" spans="1:20">
      <c r="A88" s="402" t="s">
        <v>477</v>
      </c>
      <c r="B88" s="91"/>
      <c r="C88" s="328">
        <v>0</v>
      </c>
      <c r="D88" s="406">
        <f>+'Tariff Summary Lights'!F57</f>
        <v>7.83</v>
      </c>
      <c r="E88" s="64"/>
      <c r="F88" s="80">
        <f t="shared" si="11"/>
        <v>0</v>
      </c>
      <c r="G88" s="406">
        <f t="shared" ref="G88:G91" ca="1" si="19">+G87</f>
        <v>6.95</v>
      </c>
      <c r="H88" s="80">
        <f t="shared" ca="1" si="12"/>
        <v>0</v>
      </c>
      <c r="I88" s="91"/>
      <c r="J88" s="64"/>
      <c r="K88" s="64"/>
      <c r="L88" s="81"/>
      <c r="M88" s="64"/>
      <c r="N88" s="64"/>
      <c r="O88" s="64"/>
      <c r="P88" s="64"/>
      <c r="Q88" s="64"/>
      <c r="T88" s="80"/>
    </row>
    <row r="89" spans="1:20">
      <c r="A89" s="402" t="s">
        <v>478</v>
      </c>
      <c r="B89" s="91"/>
      <c r="C89" s="328">
        <v>0</v>
      </c>
      <c r="D89" s="406">
        <f>+'Tariff Summary Lights'!F58</f>
        <v>8</v>
      </c>
      <c r="E89" s="64"/>
      <c r="F89" s="80">
        <f t="shared" si="11"/>
        <v>0</v>
      </c>
      <c r="G89" s="406">
        <f t="shared" ca="1" si="19"/>
        <v>6.95</v>
      </c>
      <c r="H89" s="80">
        <f t="shared" ca="1" si="12"/>
        <v>0</v>
      </c>
      <c r="I89" s="91"/>
      <c r="J89" s="64"/>
      <c r="K89" s="64"/>
      <c r="L89" s="81"/>
      <c r="M89" s="64"/>
      <c r="N89" s="64"/>
      <c r="O89" s="64"/>
      <c r="P89" s="64"/>
      <c r="Q89" s="64"/>
      <c r="T89" s="80"/>
    </row>
    <row r="90" spans="1:20">
      <c r="A90" s="402" t="s">
        <v>479</v>
      </c>
      <c r="B90" s="91"/>
      <c r="C90" s="328">
        <v>0</v>
      </c>
      <c r="D90" s="406">
        <f>+'Tariff Summary Lights'!F59</f>
        <v>8.19</v>
      </c>
      <c r="E90" s="64"/>
      <c r="F90" s="80">
        <f t="shared" si="11"/>
        <v>0</v>
      </c>
      <c r="G90" s="406">
        <f t="shared" ca="1" si="19"/>
        <v>6.95</v>
      </c>
      <c r="H90" s="80">
        <f t="shared" ca="1" si="12"/>
        <v>0</v>
      </c>
      <c r="I90" s="91"/>
      <c r="J90" s="64"/>
      <c r="K90" s="64"/>
      <c r="L90" s="81"/>
      <c r="M90" s="64"/>
      <c r="N90" s="64"/>
      <c r="O90" s="64"/>
      <c r="P90" s="64"/>
      <c r="Q90" s="64"/>
      <c r="T90" s="80"/>
    </row>
    <row r="91" spans="1:20">
      <c r="A91" s="402" t="s">
        <v>480</v>
      </c>
      <c r="B91" s="91"/>
      <c r="C91" s="328">
        <v>0</v>
      </c>
      <c r="D91" s="406">
        <f>+'Tariff Summary Lights'!F60</f>
        <v>8.36</v>
      </c>
      <c r="E91" s="64"/>
      <c r="F91" s="80">
        <f t="shared" si="11"/>
        <v>0</v>
      </c>
      <c r="G91" s="406">
        <f t="shared" ca="1" si="19"/>
        <v>6.95</v>
      </c>
      <c r="H91" s="80">
        <f t="shared" ca="1" si="12"/>
        <v>0</v>
      </c>
      <c r="I91" s="91"/>
      <c r="J91" s="64"/>
      <c r="K91" s="64"/>
      <c r="L91" s="81"/>
      <c r="M91" s="64"/>
      <c r="N91" s="64"/>
      <c r="O91" s="64"/>
      <c r="P91" s="64"/>
      <c r="Q91" s="64"/>
      <c r="T91" s="80"/>
    </row>
    <row r="92" spans="1:20">
      <c r="A92" s="402" t="s">
        <v>481</v>
      </c>
      <c r="B92" s="91"/>
      <c r="C92" s="328">
        <v>0</v>
      </c>
      <c r="D92" s="406">
        <f>+'Tariff Summary Lights'!F61</f>
        <v>8.5300000000000011</v>
      </c>
      <c r="E92" s="64"/>
      <c r="F92" s="80">
        <f t="shared" si="11"/>
        <v>0</v>
      </c>
      <c r="G92" s="457">
        <f ca="1">ROUND(+'[7]JAP-22 Combined Charges'!$J$28,2)</f>
        <v>7.87</v>
      </c>
      <c r="H92" s="80">
        <f t="shared" ca="1" si="12"/>
        <v>0</v>
      </c>
      <c r="I92" s="91"/>
      <c r="J92" s="64"/>
      <c r="K92" s="64"/>
      <c r="L92" s="81"/>
      <c r="M92" s="64"/>
      <c r="N92" s="64"/>
      <c r="O92" s="64"/>
      <c r="P92" s="64"/>
      <c r="Q92" s="64"/>
      <c r="T92" s="80"/>
    </row>
    <row r="93" spans="1:20">
      <c r="A93" s="402" t="s">
        <v>482</v>
      </c>
      <c r="B93" s="91"/>
      <c r="C93" s="328">
        <v>0</v>
      </c>
      <c r="D93" s="406">
        <f>+'Tariff Summary Lights'!F62</f>
        <v>8.7100000000000009</v>
      </c>
      <c r="E93" s="64"/>
      <c r="F93" s="80">
        <f t="shared" si="11"/>
        <v>0</v>
      </c>
      <c r="G93" s="406">
        <f ca="1">+G92</f>
        <v>7.87</v>
      </c>
      <c r="H93" s="80">
        <f t="shared" ca="1" si="12"/>
        <v>0</v>
      </c>
      <c r="I93" s="91"/>
      <c r="J93" s="64"/>
      <c r="K93" s="64"/>
      <c r="L93" s="81"/>
      <c r="M93" s="64"/>
      <c r="N93" s="64"/>
      <c r="O93" s="64"/>
      <c r="P93" s="64"/>
      <c r="Q93" s="64"/>
      <c r="T93" s="80"/>
    </row>
    <row r="94" spans="1:20">
      <c r="A94" s="402" t="s">
        <v>483</v>
      </c>
      <c r="B94" s="91"/>
      <c r="C94" s="328">
        <v>0</v>
      </c>
      <c r="D94" s="406">
        <f>+'Tariff Summary Lights'!F63</f>
        <v>8.8800000000000008</v>
      </c>
      <c r="E94" s="64"/>
      <c r="F94" s="80">
        <f t="shared" si="11"/>
        <v>0</v>
      </c>
      <c r="G94" s="406">
        <f t="shared" ref="G94:G97" ca="1" si="20">+G93</f>
        <v>7.87</v>
      </c>
      <c r="H94" s="80">
        <f t="shared" ca="1" si="12"/>
        <v>0</v>
      </c>
      <c r="I94" s="91"/>
      <c r="J94" s="64"/>
      <c r="K94" s="64"/>
      <c r="L94" s="81"/>
      <c r="M94" s="64"/>
      <c r="N94" s="64"/>
      <c r="O94" s="64"/>
      <c r="P94" s="64"/>
      <c r="Q94" s="64"/>
      <c r="T94" s="80"/>
    </row>
    <row r="95" spans="1:20">
      <c r="A95" s="402" t="s">
        <v>484</v>
      </c>
      <c r="B95" s="91"/>
      <c r="C95" s="328">
        <v>21</v>
      </c>
      <c r="D95" s="406">
        <f>+'Tariff Summary Lights'!F64</f>
        <v>9.06</v>
      </c>
      <c r="E95" s="64"/>
      <c r="F95" s="80">
        <f t="shared" si="11"/>
        <v>2283</v>
      </c>
      <c r="G95" s="406">
        <f t="shared" ca="1" si="20"/>
        <v>7.87</v>
      </c>
      <c r="H95" s="80">
        <f t="shared" ca="1" si="12"/>
        <v>1983</v>
      </c>
      <c r="I95" s="91"/>
      <c r="J95" s="64"/>
      <c r="K95" s="64"/>
      <c r="L95" s="81"/>
      <c r="M95" s="64"/>
      <c r="N95" s="64"/>
      <c r="O95" s="64"/>
      <c r="P95" s="64"/>
      <c r="Q95" s="64"/>
      <c r="T95" s="80"/>
    </row>
    <row r="96" spans="1:20">
      <c r="A96" s="402" t="s">
        <v>485</v>
      </c>
      <c r="B96" s="91"/>
      <c r="C96" s="328">
        <v>0</v>
      </c>
      <c r="D96" s="406">
        <f>+'Tariff Summary Lights'!F65</f>
        <v>9.23</v>
      </c>
      <c r="E96" s="64"/>
      <c r="F96" s="80">
        <f t="shared" si="11"/>
        <v>0</v>
      </c>
      <c r="G96" s="406">
        <f t="shared" ca="1" si="20"/>
        <v>7.87</v>
      </c>
      <c r="H96" s="80">
        <f t="shared" ca="1" si="12"/>
        <v>0</v>
      </c>
      <c r="I96" s="91"/>
      <c r="J96" s="64"/>
      <c r="K96" s="64"/>
      <c r="L96" s="81"/>
      <c r="M96" s="64"/>
      <c r="N96" s="64"/>
      <c r="O96" s="64"/>
      <c r="P96" s="64"/>
      <c r="Q96" s="64"/>
      <c r="T96" s="80"/>
    </row>
    <row r="97" spans="1:20">
      <c r="A97" s="402" t="s">
        <v>486</v>
      </c>
      <c r="B97" s="91"/>
      <c r="C97" s="328">
        <v>0</v>
      </c>
      <c r="D97" s="406">
        <f>+'Tariff Summary Lights'!F66</f>
        <v>9.4200000000000017</v>
      </c>
      <c r="E97" s="64"/>
      <c r="F97" s="80">
        <f t="shared" si="11"/>
        <v>0</v>
      </c>
      <c r="G97" s="406">
        <f t="shared" ca="1" si="20"/>
        <v>7.87</v>
      </c>
      <c r="H97" s="80">
        <f t="shared" ca="1" si="12"/>
        <v>0</v>
      </c>
      <c r="I97" s="91"/>
      <c r="J97" s="64"/>
      <c r="K97" s="64"/>
      <c r="L97" s="81"/>
      <c r="M97" s="64"/>
      <c r="N97" s="64"/>
      <c r="O97" s="64"/>
      <c r="P97" s="64"/>
      <c r="Q97" s="64"/>
      <c r="T97" s="80"/>
    </row>
    <row r="98" spans="1:20">
      <c r="A98" s="402" t="s">
        <v>487</v>
      </c>
      <c r="B98" s="91"/>
      <c r="C98" s="328">
        <v>0</v>
      </c>
      <c r="D98" s="406">
        <f>+'Tariff Summary Lights'!F67</f>
        <v>9.59</v>
      </c>
      <c r="E98" s="64"/>
      <c r="F98" s="80">
        <f t="shared" si="11"/>
        <v>0</v>
      </c>
      <c r="G98" s="457">
        <f ca="1">ROUND(+'[7]JAP-22 Combined Charges'!$J$29,2)</f>
        <v>8.8000000000000007</v>
      </c>
      <c r="H98" s="80">
        <f t="shared" ca="1" si="12"/>
        <v>0</v>
      </c>
      <c r="I98" s="91"/>
      <c r="J98" s="64"/>
      <c r="K98" s="64"/>
      <c r="L98" s="81"/>
      <c r="M98" s="64"/>
      <c r="N98" s="64"/>
      <c r="O98" s="64"/>
      <c r="P98" s="64"/>
      <c r="Q98" s="64"/>
      <c r="T98" s="80"/>
    </row>
    <row r="99" spans="1:20">
      <c r="A99" s="402" t="s">
        <v>488</v>
      </c>
      <c r="B99" s="91"/>
      <c r="C99" s="328">
        <v>0</v>
      </c>
      <c r="D99" s="406">
        <f>+'Tariff Summary Lights'!F68</f>
        <v>9.77</v>
      </c>
      <c r="E99" s="64"/>
      <c r="F99" s="80">
        <f t="shared" si="11"/>
        <v>0</v>
      </c>
      <c r="G99" s="406">
        <f ca="1">+G98</f>
        <v>8.8000000000000007</v>
      </c>
      <c r="H99" s="80">
        <f t="shared" ca="1" si="12"/>
        <v>0</v>
      </c>
      <c r="I99" s="91"/>
      <c r="J99" s="64"/>
      <c r="K99" s="64"/>
      <c r="L99" s="81"/>
      <c r="M99" s="64"/>
      <c r="N99" s="64"/>
      <c r="O99" s="64"/>
      <c r="P99" s="64"/>
      <c r="Q99" s="64"/>
      <c r="T99" s="80"/>
    </row>
    <row r="100" spans="1:20">
      <c r="A100" s="402" t="s">
        <v>489</v>
      </c>
      <c r="B100" s="91"/>
      <c r="C100" s="328">
        <v>17</v>
      </c>
      <c r="D100" s="406">
        <f>+'Tariff Summary Lights'!F69</f>
        <v>9.94</v>
      </c>
      <c r="E100" s="64"/>
      <c r="F100" s="80">
        <f t="shared" si="11"/>
        <v>2028</v>
      </c>
      <c r="G100" s="406">
        <f t="shared" ref="G100:G103" ca="1" si="21">+G99</f>
        <v>8.8000000000000007</v>
      </c>
      <c r="H100" s="80">
        <f t="shared" ca="1" si="12"/>
        <v>1795</v>
      </c>
      <c r="I100" s="91"/>
      <c r="J100" s="64"/>
      <c r="K100" s="64"/>
      <c r="L100" s="81"/>
      <c r="M100" s="64"/>
      <c r="N100" s="64"/>
      <c r="O100" s="64"/>
      <c r="P100" s="64"/>
      <c r="Q100" s="64"/>
      <c r="T100" s="80"/>
    </row>
    <row r="101" spans="1:20">
      <c r="A101" s="402" t="s">
        <v>490</v>
      </c>
      <c r="B101" s="91"/>
      <c r="C101" s="328">
        <v>0</v>
      </c>
      <c r="D101" s="406">
        <f>+'Tariff Summary Lights'!F70</f>
        <v>10.119999999999999</v>
      </c>
      <c r="E101" s="64"/>
      <c r="F101" s="80">
        <f t="shared" si="11"/>
        <v>0</v>
      </c>
      <c r="G101" s="406">
        <f t="shared" ca="1" si="21"/>
        <v>8.8000000000000007</v>
      </c>
      <c r="H101" s="80">
        <f t="shared" ca="1" si="12"/>
        <v>0</v>
      </c>
      <c r="I101" s="91"/>
      <c r="J101" s="64"/>
      <c r="K101" s="64"/>
      <c r="L101" s="81"/>
      <c r="M101" s="64"/>
      <c r="N101" s="64"/>
      <c r="O101" s="64"/>
      <c r="P101" s="64"/>
      <c r="Q101" s="64"/>
      <c r="T101" s="80"/>
    </row>
    <row r="102" spans="1:20">
      <c r="A102" s="402" t="s">
        <v>491</v>
      </c>
      <c r="B102" s="91"/>
      <c r="C102" s="328">
        <v>0</v>
      </c>
      <c r="D102" s="406">
        <f>+'Tariff Summary Lights'!F71</f>
        <v>10.29</v>
      </c>
      <c r="E102" s="64"/>
      <c r="F102" s="80">
        <f t="shared" si="11"/>
        <v>0</v>
      </c>
      <c r="G102" s="406">
        <f t="shared" ca="1" si="21"/>
        <v>8.8000000000000007</v>
      </c>
      <c r="H102" s="80">
        <f t="shared" ca="1" si="12"/>
        <v>0</v>
      </c>
      <c r="I102" s="80"/>
      <c r="J102" s="64"/>
      <c r="K102" s="64"/>
      <c r="L102" s="81"/>
      <c r="M102" s="64"/>
      <c r="N102" s="64"/>
      <c r="O102" s="64"/>
      <c r="P102" s="64"/>
      <c r="Q102" s="64"/>
      <c r="T102" s="80"/>
    </row>
    <row r="103" spans="1:20">
      <c r="A103" s="402" t="s">
        <v>492</v>
      </c>
      <c r="B103" s="91"/>
      <c r="C103" s="328">
        <v>0</v>
      </c>
      <c r="D103" s="406">
        <f>+'Tariff Summary Lights'!F72</f>
        <v>10.459999999999999</v>
      </c>
      <c r="E103" s="64"/>
      <c r="F103" s="80">
        <f t="shared" si="11"/>
        <v>0</v>
      </c>
      <c r="G103" s="406">
        <f t="shared" ca="1" si="21"/>
        <v>8.8000000000000007</v>
      </c>
      <c r="H103" s="80">
        <f t="shared" ca="1" si="12"/>
        <v>0</v>
      </c>
      <c r="I103" s="80"/>
      <c r="J103" s="64"/>
      <c r="K103" s="64"/>
      <c r="L103" s="81"/>
      <c r="M103" s="64"/>
      <c r="N103" s="64"/>
      <c r="O103" s="64"/>
      <c r="P103" s="64"/>
      <c r="Q103" s="64"/>
      <c r="T103" s="80"/>
    </row>
    <row r="104" spans="1:20">
      <c r="A104" s="91"/>
      <c r="B104" s="91"/>
      <c r="C104" s="79"/>
      <c r="D104" s="425"/>
      <c r="E104" s="91"/>
      <c r="F104" s="80"/>
      <c r="G104" s="425"/>
      <c r="H104" s="80"/>
      <c r="I104" s="80"/>
      <c r="J104" s="64"/>
      <c r="K104" s="64"/>
      <c r="L104" s="64"/>
      <c r="M104" s="64"/>
      <c r="N104" s="64"/>
      <c r="O104" s="64"/>
      <c r="P104" s="64"/>
      <c r="Q104" s="64"/>
      <c r="T104" s="80"/>
    </row>
    <row r="105" spans="1:20">
      <c r="A105" s="402" t="s">
        <v>493</v>
      </c>
      <c r="B105" s="64"/>
      <c r="C105" s="80">
        <v>0</v>
      </c>
      <c r="D105" s="426">
        <f>+'Tariff Summary Lights'!F16</f>
        <v>1.4670000000000001E-2</v>
      </c>
      <c r="E105" s="416"/>
      <c r="F105" s="80">
        <f t="shared" ref="F105:F106" si="22">ROUND(C105*D105*12,0)</f>
        <v>0</v>
      </c>
      <c r="G105" s="426">
        <f ca="1">ROUND('[7]Sch. 51E&amp;52E Facilities Charge'!$F$11,5)</f>
        <v>1.486E-2</v>
      </c>
      <c r="H105" s="80">
        <f ca="1">ROUND(C105*G105*12,0)</f>
        <v>0</v>
      </c>
      <c r="I105" s="80"/>
      <c r="J105" s="64"/>
      <c r="K105" s="64"/>
      <c r="L105" s="64"/>
      <c r="M105" s="64"/>
      <c r="N105" s="64"/>
      <c r="O105" s="64"/>
      <c r="P105" s="64"/>
      <c r="Q105" s="64"/>
      <c r="T105" s="80"/>
    </row>
    <row r="106" spans="1:20">
      <c r="A106" s="402" t="s">
        <v>494</v>
      </c>
      <c r="B106" s="91"/>
      <c r="C106" s="80">
        <v>4187059</v>
      </c>
      <c r="D106" s="426">
        <f>+'Tariff Summary Lights'!F17</f>
        <v>1.72E-3</v>
      </c>
      <c r="E106" s="416"/>
      <c r="F106" s="80">
        <f t="shared" si="22"/>
        <v>86421</v>
      </c>
      <c r="G106" s="426">
        <f ca="1">ROUND('[7]Sch. 51E&amp;52E Facilities Charge'!$F$12,5)</f>
        <v>2.32E-3</v>
      </c>
      <c r="H106" s="80">
        <f ca="1">ROUND(C106*G106*12,0)</f>
        <v>116568</v>
      </c>
      <c r="I106" s="80"/>
      <c r="J106" s="64"/>
      <c r="K106" s="64"/>
      <c r="L106" s="64"/>
      <c r="M106" s="64"/>
      <c r="N106" s="64"/>
      <c r="O106" s="64"/>
      <c r="P106" s="64"/>
      <c r="Q106" s="64"/>
      <c r="T106" s="80"/>
    </row>
    <row r="107" spans="1:20">
      <c r="A107" s="402"/>
      <c r="B107" s="91"/>
      <c r="C107" s="80"/>
      <c r="D107" s="427"/>
      <c r="E107" s="416"/>
      <c r="F107" s="80"/>
      <c r="G107" s="427"/>
      <c r="H107" s="80"/>
      <c r="I107" s="80"/>
      <c r="J107" s="64"/>
      <c r="K107" s="64"/>
      <c r="L107" s="64"/>
      <c r="M107" s="64"/>
      <c r="N107" s="64"/>
      <c r="O107" s="64"/>
      <c r="P107" s="64"/>
      <c r="Q107" s="64"/>
    </row>
    <row r="108" spans="1:20">
      <c r="A108" s="409" t="s">
        <v>37</v>
      </c>
      <c r="B108" s="64"/>
      <c r="C108" s="428">
        <f>SUM(C50:C103)</f>
        <v>1241</v>
      </c>
      <c r="D108" s="411"/>
      <c r="E108" s="64"/>
      <c r="F108" s="429">
        <f>SUM(F50:F106)</f>
        <v>132913</v>
      </c>
      <c r="G108" s="411"/>
      <c r="H108" s="429">
        <f ca="1">SUM(H50:H106)</f>
        <v>156658</v>
      </c>
      <c r="I108" s="80"/>
      <c r="J108" s="64"/>
      <c r="K108" s="64"/>
      <c r="L108" s="64"/>
      <c r="M108" s="64"/>
      <c r="N108" s="64"/>
      <c r="O108" s="64"/>
      <c r="P108" s="64"/>
      <c r="Q108" s="64"/>
      <c r="T108" s="429"/>
    </row>
    <row r="109" spans="1:20">
      <c r="A109" s="409"/>
      <c r="B109" s="64"/>
      <c r="C109" s="79"/>
      <c r="D109" s="411"/>
      <c r="E109" s="64"/>
      <c r="F109" s="80"/>
      <c r="G109" s="411"/>
      <c r="H109" s="80"/>
      <c r="I109" s="80"/>
      <c r="J109" s="64"/>
      <c r="K109" s="64"/>
      <c r="L109" s="64"/>
      <c r="M109" s="64"/>
      <c r="N109" s="64"/>
      <c r="O109" s="64"/>
      <c r="P109" s="64"/>
      <c r="Q109" s="64"/>
    </row>
    <row r="110" spans="1:20">
      <c r="A110" s="140" t="s">
        <v>186</v>
      </c>
      <c r="B110" s="91"/>
      <c r="C110" s="79">
        <v>1755</v>
      </c>
      <c r="D110" s="414"/>
      <c r="E110" s="416"/>
      <c r="F110" s="80"/>
      <c r="G110" s="414"/>
      <c r="H110" s="80"/>
      <c r="I110" s="80"/>
      <c r="J110" s="64"/>
      <c r="K110" s="64"/>
      <c r="L110" s="64"/>
      <c r="M110" s="64"/>
      <c r="N110" s="64"/>
      <c r="O110" s="64"/>
      <c r="P110" s="64"/>
      <c r="Q110" s="64"/>
    </row>
    <row r="111" spans="1:20">
      <c r="A111" s="140"/>
      <c r="B111" s="91"/>
      <c r="C111" s="109"/>
      <c r="D111" s="414"/>
      <c r="E111" s="416"/>
      <c r="F111" s="80"/>
      <c r="G111" s="414"/>
      <c r="H111" s="80"/>
      <c r="I111" s="80"/>
      <c r="J111" s="64"/>
      <c r="K111" s="64"/>
      <c r="L111" s="64"/>
      <c r="M111" s="64"/>
      <c r="N111" s="64"/>
      <c r="O111" s="64"/>
      <c r="P111" s="64"/>
      <c r="Q111" s="64"/>
    </row>
    <row r="112" spans="1:20">
      <c r="A112" s="413" t="s">
        <v>436</v>
      </c>
      <c r="B112" s="414"/>
      <c r="C112" s="430">
        <v>459949.408</v>
      </c>
      <c r="D112" s="414"/>
      <c r="E112" s="416"/>
      <c r="F112" s="80"/>
      <c r="G112" s="414"/>
      <c r="H112" s="80"/>
      <c r="I112" s="418"/>
      <c r="J112" s="414"/>
      <c r="K112" s="419"/>
      <c r="L112" s="414"/>
      <c r="M112" s="414"/>
      <c r="N112" s="414"/>
      <c r="O112" s="414"/>
      <c r="P112" s="414"/>
      <c r="Q112" s="414"/>
      <c r="R112" s="414"/>
      <c r="S112" s="414"/>
      <c r="T112" s="414"/>
    </row>
    <row r="113" spans="1:20">
      <c r="A113" s="413" t="s">
        <v>437</v>
      </c>
      <c r="B113" s="64"/>
      <c r="C113" s="79">
        <v>13498.850500000002</v>
      </c>
      <c r="D113" s="420">
        <f>ROUND(F113/C113,6)</f>
        <v>-0.28498699999999999</v>
      </c>
      <c r="E113" s="421"/>
      <c r="F113" s="80">
        <f>$P$14</f>
        <v>-3847</v>
      </c>
      <c r="G113" s="420">
        <f ca="1">ROUND(H113/C113,6)</f>
        <v>-0.290321</v>
      </c>
      <c r="H113" s="80">
        <f ca="1">ROUND(+F113*(1+J113),0)</f>
        <v>-3919</v>
      </c>
      <c r="I113" s="421"/>
      <c r="J113" s="110">
        <f ca="1">+$J$45</f>
        <v>1.8815167015235074E-2</v>
      </c>
      <c r="K113" s="521" t="s">
        <v>438</v>
      </c>
      <c r="L113" s="521"/>
      <c r="M113" s="458"/>
      <c r="N113" s="458"/>
      <c r="O113" s="458"/>
      <c r="P113" s="458"/>
      <c r="Q113" s="458"/>
      <c r="R113" s="458"/>
      <c r="S113" s="458"/>
      <c r="T113" s="458"/>
    </row>
    <row r="114" spans="1:20" ht="16.2" thickBot="1">
      <c r="A114" s="143" t="s">
        <v>38</v>
      </c>
      <c r="B114" s="91"/>
      <c r="C114" s="431">
        <f>SUM(C112:C113)</f>
        <v>473448.2585</v>
      </c>
      <c r="D114" s="83"/>
      <c r="E114" s="64"/>
      <c r="F114" s="131">
        <f>SUM(F108:F113)</f>
        <v>129066</v>
      </c>
      <c r="G114" s="83"/>
      <c r="H114" s="131">
        <f ca="1">SUM(H108:H113)</f>
        <v>152739</v>
      </c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20" ht="16.2" thickTop="1">
      <c r="A115" s="91"/>
      <c r="B115" s="91"/>
      <c r="C115" s="91"/>
      <c r="D115" s="432" t="s">
        <v>0</v>
      </c>
      <c r="E115" s="91"/>
      <c r="F115" s="91"/>
      <c r="G115" s="432" t="s">
        <v>0</v>
      </c>
      <c r="H115" s="80" t="s">
        <v>0</v>
      </c>
      <c r="I115" s="80"/>
      <c r="J115" s="64"/>
      <c r="K115" s="64"/>
      <c r="L115" s="64"/>
      <c r="M115" s="64"/>
      <c r="N115" s="64"/>
      <c r="O115" s="64"/>
      <c r="P115" s="64"/>
      <c r="Q115" s="64"/>
    </row>
    <row r="116" spans="1:20">
      <c r="A116" s="539" t="s">
        <v>207</v>
      </c>
      <c r="B116" s="539"/>
      <c r="C116" s="539"/>
      <c r="D116" s="539"/>
      <c r="E116" s="539"/>
      <c r="F116" s="539"/>
      <c r="G116" s="539"/>
      <c r="H116" s="539"/>
      <c r="I116" s="91"/>
      <c r="J116" s="64"/>
      <c r="K116" s="64"/>
      <c r="L116" s="64"/>
      <c r="M116" s="64"/>
      <c r="N116" s="64"/>
      <c r="O116" s="64"/>
      <c r="P116" s="64"/>
      <c r="Q116" s="64"/>
    </row>
    <row r="117" spans="1:20">
      <c r="A117" s="140" t="s">
        <v>495</v>
      </c>
      <c r="B117" s="91"/>
      <c r="C117" s="91"/>
      <c r="D117" s="91"/>
      <c r="E117" s="91"/>
      <c r="F117" s="91"/>
      <c r="G117" s="91"/>
      <c r="H117" s="91"/>
      <c r="I117" s="91"/>
      <c r="J117" s="64"/>
      <c r="K117" s="64"/>
      <c r="L117" s="64"/>
      <c r="M117" s="64"/>
      <c r="N117" s="64"/>
      <c r="O117" s="64"/>
      <c r="P117" s="64"/>
      <c r="Q117" s="64"/>
    </row>
    <row r="118" spans="1:20">
      <c r="A118" s="142" t="s">
        <v>496</v>
      </c>
      <c r="B118" s="91"/>
      <c r="C118" s="328">
        <v>0</v>
      </c>
      <c r="D118" s="406">
        <f>+'Tariff Summary Lights'!F77</f>
        <v>2.02</v>
      </c>
      <c r="E118" s="91"/>
      <c r="F118" s="80">
        <f t="shared" ref="F118:F125" si="23">IF(D118="n/a",0,ROUND(C118*D118*12,0))</f>
        <v>0</v>
      </c>
      <c r="G118" s="406">
        <f ca="1">ROUND('[7]JAP-22 Combined Charges'!J32,2)</f>
        <v>1.54</v>
      </c>
      <c r="H118" s="80">
        <f t="shared" ref="H118:H125" ca="1" si="24">ROUND(G118*$C118*12,0)</f>
        <v>0</v>
      </c>
      <c r="I118" s="91"/>
      <c r="J118" s="162"/>
      <c r="K118" s="81"/>
      <c r="L118" s="64"/>
      <c r="M118" s="64"/>
      <c r="N118" s="64"/>
      <c r="O118" s="64"/>
      <c r="P118" s="64"/>
      <c r="Q118" s="64"/>
      <c r="T118" s="80"/>
    </row>
    <row r="119" spans="1:20">
      <c r="A119" s="141" t="s">
        <v>497</v>
      </c>
      <c r="B119" s="91"/>
      <c r="C119" s="328">
        <v>713</v>
      </c>
      <c r="D119" s="406">
        <f>+'Tariff Summary Lights'!F78</f>
        <v>2.94</v>
      </c>
      <c r="E119" s="91"/>
      <c r="F119" s="80">
        <f t="shared" si="23"/>
        <v>25155</v>
      </c>
      <c r="G119" s="406">
        <f ca="1">ROUND('[7]JAP-22 Combined Charges'!J33,2)</f>
        <v>2.16</v>
      </c>
      <c r="H119" s="80">
        <f t="shared" ca="1" si="24"/>
        <v>18481</v>
      </c>
      <c r="I119" s="91"/>
      <c r="J119" s="162"/>
      <c r="K119" s="81"/>
      <c r="L119" s="64"/>
      <c r="M119" s="64"/>
      <c r="N119" s="64"/>
      <c r="O119" s="64"/>
      <c r="P119" s="64"/>
      <c r="Q119" s="64"/>
      <c r="T119" s="80"/>
    </row>
    <row r="120" spans="1:20">
      <c r="A120" s="141" t="s">
        <v>498</v>
      </c>
      <c r="B120" s="91"/>
      <c r="C120" s="328">
        <v>10587</v>
      </c>
      <c r="D120" s="406">
        <f>+'Tariff Summary Lights'!F79</f>
        <v>4.1500000000000004</v>
      </c>
      <c r="E120" s="91"/>
      <c r="F120" s="80">
        <f t="shared" si="23"/>
        <v>527233</v>
      </c>
      <c r="G120" s="406">
        <f ca="1">ROUND('[7]JAP-22 Combined Charges'!J34,2)</f>
        <v>3.09</v>
      </c>
      <c r="H120" s="80">
        <f t="shared" ca="1" si="24"/>
        <v>392566</v>
      </c>
      <c r="I120" s="91"/>
      <c r="J120" s="162"/>
      <c r="K120" s="81"/>
      <c r="L120" s="64"/>
      <c r="M120" s="64"/>
      <c r="N120" s="64"/>
      <c r="O120" s="64"/>
      <c r="P120" s="64"/>
      <c r="Q120" s="64"/>
      <c r="T120" s="80"/>
    </row>
    <row r="121" spans="1:20">
      <c r="A121" s="141" t="s">
        <v>499</v>
      </c>
      <c r="B121" s="91"/>
      <c r="C121" s="328">
        <v>4812</v>
      </c>
      <c r="D121" s="406">
        <f>+'Tariff Summary Lights'!F80</f>
        <v>6.02</v>
      </c>
      <c r="E121" s="91"/>
      <c r="F121" s="80">
        <f t="shared" si="23"/>
        <v>347619</v>
      </c>
      <c r="G121" s="406">
        <f ca="1">ROUND('[7]JAP-22 Combined Charges'!J35,2)</f>
        <v>4.63</v>
      </c>
      <c r="H121" s="80">
        <f t="shared" ca="1" si="24"/>
        <v>267355</v>
      </c>
      <c r="I121" s="91"/>
      <c r="J121" s="162"/>
      <c r="K121" s="81"/>
      <c r="L121" s="64"/>
      <c r="M121" s="64"/>
      <c r="N121" s="64"/>
      <c r="O121" s="64"/>
      <c r="P121" s="64"/>
      <c r="Q121" s="64"/>
      <c r="T121" s="80"/>
    </row>
    <row r="122" spans="1:20">
      <c r="A122" s="141" t="s">
        <v>500</v>
      </c>
      <c r="B122" s="91"/>
      <c r="C122" s="328">
        <v>1157</v>
      </c>
      <c r="D122" s="406">
        <f>+'Tariff Summary Lights'!F81</f>
        <v>7.9700000000000006</v>
      </c>
      <c r="E122" s="91"/>
      <c r="F122" s="80">
        <f t="shared" si="23"/>
        <v>110655</v>
      </c>
      <c r="G122" s="406">
        <f ca="1">ROUND('[7]JAP-22 Combined Charges'!J36,2)</f>
        <v>6.17</v>
      </c>
      <c r="H122" s="80">
        <f t="shared" ca="1" si="24"/>
        <v>85664</v>
      </c>
      <c r="I122" s="91"/>
      <c r="J122" s="162"/>
      <c r="K122" s="81"/>
      <c r="L122" s="64"/>
      <c r="M122" s="64"/>
      <c r="N122" s="64"/>
      <c r="O122" s="64"/>
      <c r="P122" s="64"/>
      <c r="Q122" s="64"/>
      <c r="T122" s="80"/>
    </row>
    <row r="123" spans="1:20">
      <c r="A123" s="141" t="s">
        <v>501</v>
      </c>
      <c r="B123" s="91"/>
      <c r="C123" s="328">
        <v>1495</v>
      </c>
      <c r="D123" s="406">
        <f>+'Tariff Summary Lights'!F82</f>
        <v>9.91</v>
      </c>
      <c r="E123" s="91"/>
      <c r="F123" s="80">
        <f t="shared" si="23"/>
        <v>177785</v>
      </c>
      <c r="G123" s="406">
        <f ca="1">ROUND('[7]JAP-22 Combined Charges'!J37,2)</f>
        <v>7.72</v>
      </c>
      <c r="H123" s="80">
        <f t="shared" ca="1" si="24"/>
        <v>138497</v>
      </c>
      <c r="I123" s="91"/>
      <c r="J123" s="162"/>
      <c r="K123" s="81"/>
      <c r="L123" s="64"/>
      <c r="M123" s="64"/>
      <c r="N123" s="64"/>
      <c r="O123" s="64"/>
      <c r="P123" s="64"/>
      <c r="Q123" s="64"/>
      <c r="T123" s="80"/>
    </row>
    <row r="124" spans="1:20">
      <c r="A124" s="141" t="s">
        <v>502</v>
      </c>
      <c r="B124" s="91"/>
      <c r="C124" s="328">
        <v>152</v>
      </c>
      <c r="D124" s="406">
        <f>+'Tariff Summary Lights'!F83</f>
        <v>13.51</v>
      </c>
      <c r="E124" s="91"/>
      <c r="F124" s="80">
        <f t="shared" si="23"/>
        <v>24642</v>
      </c>
      <c r="G124" s="406">
        <f ca="1">ROUND('[7]JAP-22 Combined Charges'!J38,2)</f>
        <v>9.57</v>
      </c>
      <c r="H124" s="80">
        <f t="shared" ca="1" si="24"/>
        <v>17456</v>
      </c>
      <c r="I124" s="91"/>
      <c r="J124" s="162"/>
      <c r="K124" s="81"/>
      <c r="L124" s="64"/>
      <c r="M124" s="64"/>
      <c r="N124" s="64"/>
      <c r="O124" s="64"/>
      <c r="P124" s="64"/>
      <c r="Q124" s="64"/>
      <c r="T124" s="80"/>
    </row>
    <row r="125" spans="1:20">
      <c r="A125" s="141" t="s">
        <v>503</v>
      </c>
      <c r="B125" s="91"/>
      <c r="C125" s="328">
        <v>611</v>
      </c>
      <c r="D125" s="406">
        <f>+'Tariff Summary Lights'!F84</f>
        <v>15.45</v>
      </c>
      <c r="E125" s="91"/>
      <c r="F125" s="80">
        <f t="shared" si="23"/>
        <v>113279</v>
      </c>
      <c r="G125" s="406">
        <f ca="1">ROUND('[7]JAP-22 Combined Charges'!J39,2)</f>
        <v>12.35</v>
      </c>
      <c r="H125" s="80">
        <f t="shared" ca="1" si="24"/>
        <v>90550</v>
      </c>
      <c r="I125" s="91"/>
      <c r="J125" s="162"/>
      <c r="K125" s="81"/>
      <c r="L125" s="64"/>
      <c r="M125" s="64"/>
      <c r="N125" s="64"/>
      <c r="O125" s="64"/>
      <c r="P125" s="64"/>
      <c r="Q125" s="64"/>
      <c r="T125" s="80"/>
    </row>
    <row r="126" spans="1:20">
      <c r="A126" s="141"/>
      <c r="B126" s="91"/>
      <c r="C126" s="328"/>
      <c r="D126" s="406"/>
      <c r="E126" s="91"/>
      <c r="F126" s="80"/>
      <c r="G126" s="406"/>
      <c r="H126" s="91"/>
      <c r="I126" s="91"/>
      <c r="J126" s="64"/>
      <c r="K126" s="64"/>
      <c r="L126" s="64"/>
      <c r="M126" s="64"/>
      <c r="N126" s="64"/>
      <c r="O126" s="64"/>
      <c r="P126" s="64"/>
      <c r="Q126" s="64"/>
      <c r="T126" s="80"/>
    </row>
    <row r="127" spans="1:20">
      <c r="A127" s="141" t="s">
        <v>504</v>
      </c>
      <c r="B127" s="91"/>
      <c r="C127" s="328">
        <v>65</v>
      </c>
      <c r="D127" s="406">
        <f>+'Tariff Summary Lights'!F86</f>
        <v>3.19</v>
      </c>
      <c r="E127" s="91"/>
      <c r="F127" s="80">
        <f t="shared" ref="F127:F133" si="25">IF(D127="n/a",0,ROUND(C127*D127*12,0))</f>
        <v>2488</v>
      </c>
      <c r="G127" s="406">
        <f ca="1">ROUND('[7]JAP-22 Combined Charges'!J41,2)</f>
        <v>2.16</v>
      </c>
      <c r="H127" s="80">
        <f t="shared" ref="H127:H133" ca="1" si="26">ROUND(G127*$C127*12,0)</f>
        <v>1685</v>
      </c>
      <c r="I127" s="91"/>
      <c r="J127" s="162"/>
      <c r="K127" s="81"/>
      <c r="L127" s="64"/>
      <c r="M127" s="64"/>
      <c r="N127" s="64"/>
      <c r="O127" s="64"/>
      <c r="P127" s="64"/>
      <c r="Q127" s="64"/>
      <c r="T127" s="80"/>
    </row>
    <row r="128" spans="1:20">
      <c r="A128" s="141" t="s">
        <v>505</v>
      </c>
      <c r="B128" s="91"/>
      <c r="C128" s="328">
        <v>4</v>
      </c>
      <c r="D128" s="406">
        <f>+'Tariff Summary Lights'!F87</f>
        <v>4.0600000000000005</v>
      </c>
      <c r="E128" s="91"/>
      <c r="F128" s="80">
        <f t="shared" si="25"/>
        <v>195</v>
      </c>
      <c r="G128" s="406">
        <f ca="1">ROUND('[7]JAP-22 Combined Charges'!J42,2)</f>
        <v>3.09</v>
      </c>
      <c r="H128" s="80">
        <f t="shared" ca="1" si="26"/>
        <v>148</v>
      </c>
      <c r="I128" s="91"/>
      <c r="J128" s="162"/>
      <c r="K128" s="81"/>
      <c r="L128" s="64"/>
      <c r="M128" s="64"/>
      <c r="N128" s="64"/>
      <c r="O128" s="64"/>
      <c r="P128" s="64"/>
      <c r="Q128" s="64"/>
      <c r="T128" s="80"/>
    </row>
    <row r="129" spans="1:20">
      <c r="A129" s="141" t="s">
        <v>506</v>
      </c>
      <c r="B129" s="91"/>
      <c r="C129" s="328">
        <v>204</v>
      </c>
      <c r="D129" s="406">
        <f>+'Tariff Summary Lights'!F88</f>
        <v>5.8500000000000005</v>
      </c>
      <c r="E129" s="91"/>
      <c r="F129" s="80">
        <f t="shared" si="25"/>
        <v>14321</v>
      </c>
      <c r="G129" s="406">
        <f ca="1">ROUND('[7]JAP-22 Combined Charges'!J43,2)</f>
        <v>4.63</v>
      </c>
      <c r="H129" s="80">
        <f t="shared" ca="1" si="26"/>
        <v>11334</v>
      </c>
      <c r="I129" s="91"/>
      <c r="J129" s="162"/>
      <c r="K129" s="81"/>
      <c r="L129" s="64"/>
      <c r="M129" s="64"/>
      <c r="N129" s="64"/>
      <c r="O129" s="64"/>
      <c r="P129" s="64"/>
      <c r="Q129" s="64"/>
      <c r="T129" s="80"/>
    </row>
    <row r="130" spans="1:20">
      <c r="A130" s="142" t="s">
        <v>507</v>
      </c>
      <c r="B130" s="91"/>
      <c r="C130" s="328">
        <v>222</v>
      </c>
      <c r="D130" s="406">
        <f>+'Tariff Summary Lights'!F89</f>
        <v>6.92</v>
      </c>
      <c r="E130" s="91"/>
      <c r="F130" s="80">
        <f t="shared" si="25"/>
        <v>18435</v>
      </c>
      <c r="G130" s="406">
        <f ca="1">ROUND('[7]JAP-22 Combined Charges'!J44,2)</f>
        <v>5.4</v>
      </c>
      <c r="H130" s="80">
        <f t="shared" ca="1" si="26"/>
        <v>14386</v>
      </c>
      <c r="I130" s="91"/>
      <c r="J130" s="162"/>
      <c r="K130" s="81"/>
      <c r="L130" s="64"/>
      <c r="M130" s="64"/>
      <c r="N130" s="64"/>
      <c r="O130" s="64"/>
      <c r="P130" s="64"/>
      <c r="Q130" s="64"/>
      <c r="T130" s="80"/>
    </row>
    <row r="131" spans="1:20">
      <c r="A131" s="141" t="s">
        <v>508</v>
      </c>
      <c r="B131" s="91"/>
      <c r="C131" s="328">
        <v>61</v>
      </c>
      <c r="D131" s="406">
        <f>+'Tariff Summary Lights'!F90</f>
        <v>9.41</v>
      </c>
      <c r="E131" s="91"/>
      <c r="F131" s="80">
        <f t="shared" si="25"/>
        <v>6888</v>
      </c>
      <c r="G131" s="406">
        <f ca="1">ROUND('[7]JAP-22 Combined Charges'!J45,2)</f>
        <v>7.72</v>
      </c>
      <c r="H131" s="80">
        <f t="shared" ca="1" si="26"/>
        <v>5651</v>
      </c>
      <c r="I131" s="91"/>
      <c r="J131" s="162"/>
      <c r="K131" s="81"/>
      <c r="L131" s="64"/>
      <c r="M131" s="64"/>
      <c r="N131" s="64"/>
      <c r="O131" s="64"/>
      <c r="P131" s="64"/>
      <c r="Q131" s="64"/>
      <c r="T131" s="80"/>
    </row>
    <row r="132" spans="1:20">
      <c r="A132" s="141" t="s">
        <v>509</v>
      </c>
      <c r="B132" s="91"/>
      <c r="C132" s="328">
        <v>60</v>
      </c>
      <c r="D132" s="406">
        <f>+'Tariff Summary Lights'!F91</f>
        <v>14.76</v>
      </c>
      <c r="E132" s="91"/>
      <c r="F132" s="80">
        <f t="shared" si="25"/>
        <v>10627</v>
      </c>
      <c r="G132" s="406">
        <f ca="1">ROUND('[7]JAP-22 Combined Charges'!J46,2)</f>
        <v>12.35</v>
      </c>
      <c r="H132" s="80">
        <f t="shared" ca="1" si="26"/>
        <v>8892</v>
      </c>
      <c r="I132" s="91"/>
      <c r="J132" s="162"/>
      <c r="K132" s="81"/>
      <c r="L132" s="64"/>
      <c r="M132" s="64"/>
      <c r="N132" s="64"/>
      <c r="O132" s="64"/>
      <c r="P132" s="64"/>
      <c r="Q132" s="64"/>
      <c r="T132" s="80"/>
    </row>
    <row r="133" spans="1:20">
      <c r="A133" s="142" t="s">
        <v>510</v>
      </c>
      <c r="B133" s="91"/>
      <c r="C133" s="328">
        <v>18</v>
      </c>
      <c r="D133" s="406">
        <f>+'Tariff Summary Lights'!F92</f>
        <v>35.33</v>
      </c>
      <c r="E133" s="91"/>
      <c r="F133" s="80">
        <f t="shared" si="25"/>
        <v>7631</v>
      </c>
      <c r="G133" s="406">
        <f ca="1">ROUND('[7]JAP-22 Combined Charges'!J47,2)</f>
        <v>30.87</v>
      </c>
      <c r="H133" s="80">
        <f t="shared" ca="1" si="26"/>
        <v>6668</v>
      </c>
      <c r="I133" s="91"/>
      <c r="J133" s="162"/>
      <c r="K133" s="81"/>
      <c r="L133" s="64"/>
      <c r="M133" s="64"/>
      <c r="N133" s="64"/>
      <c r="O133" s="64"/>
      <c r="P133" s="64"/>
      <c r="Q133" s="64"/>
      <c r="T133" s="80"/>
    </row>
    <row r="134" spans="1:20">
      <c r="A134" s="409"/>
      <c r="B134" s="64"/>
      <c r="C134" s="433"/>
      <c r="D134" s="411"/>
      <c r="E134" s="64"/>
      <c r="F134" s="434"/>
      <c r="G134" s="411"/>
      <c r="H134" s="434"/>
      <c r="I134" s="91"/>
      <c r="J134" s="64"/>
      <c r="K134" s="64"/>
      <c r="L134" s="64"/>
      <c r="M134" s="64"/>
      <c r="N134" s="64"/>
      <c r="O134" s="64"/>
      <c r="P134" s="64"/>
      <c r="Q134" s="64"/>
      <c r="T134" s="80"/>
    </row>
    <row r="135" spans="1:20">
      <c r="A135" s="402" t="s">
        <v>493</v>
      </c>
      <c r="B135" s="64"/>
      <c r="C135" s="80">
        <v>0</v>
      </c>
      <c r="D135" s="426">
        <f>+'Tariff Summary Lights'!F74</f>
        <v>1.567E-2</v>
      </c>
      <c r="E135" s="416"/>
      <c r="F135" s="80">
        <f t="shared" ref="F135:F136" si="27">IF(D135="n/a",0,ROUND(C135*D135*12,0))</f>
        <v>0</v>
      </c>
      <c r="G135" s="426">
        <f ca="1">ROUND('[7]Sch. 51E&amp;52E Facilities Charge'!$F$15,5)</f>
        <v>1.486E-2</v>
      </c>
      <c r="H135" s="80">
        <f ca="1">ROUND(C135*G135*12,0)</f>
        <v>0</v>
      </c>
      <c r="I135" s="80"/>
      <c r="J135" s="162"/>
      <c r="K135" s="81"/>
      <c r="L135" s="64"/>
      <c r="M135" s="64"/>
      <c r="N135" s="64"/>
      <c r="O135" s="64"/>
      <c r="P135" s="64"/>
      <c r="Q135" s="64"/>
      <c r="T135" s="80"/>
    </row>
    <row r="136" spans="1:20">
      <c r="A136" s="402" t="s">
        <v>494</v>
      </c>
      <c r="B136" s="91"/>
      <c r="C136" s="80">
        <v>55057501</v>
      </c>
      <c r="D136" s="426">
        <f>+'Tariff Summary Lights'!F75</f>
        <v>2.7200000000000002E-3</v>
      </c>
      <c r="E136" s="416"/>
      <c r="F136" s="80">
        <f t="shared" si="27"/>
        <v>1797077</v>
      </c>
      <c r="G136" s="426">
        <f ca="1">ROUND('[7]Sch. 51E&amp;52E Facilities Charge'!$F$16,5)</f>
        <v>2.32E-3</v>
      </c>
      <c r="H136" s="80">
        <f ca="1">ROUND(C136*G136*12,0)</f>
        <v>1532801</v>
      </c>
      <c r="I136" s="80"/>
      <c r="J136" s="162"/>
      <c r="K136" s="81"/>
      <c r="L136" s="64"/>
      <c r="M136" s="64"/>
      <c r="N136" s="64"/>
      <c r="O136" s="64"/>
      <c r="P136" s="64"/>
      <c r="Q136" s="64"/>
      <c r="T136" s="80"/>
    </row>
    <row r="137" spans="1:20">
      <c r="A137" s="140"/>
      <c r="B137" s="91"/>
      <c r="C137" s="109"/>
      <c r="D137" s="414"/>
      <c r="E137" s="416"/>
      <c r="F137" s="417"/>
      <c r="G137" s="414"/>
      <c r="H137" s="418"/>
      <c r="I137" s="80"/>
      <c r="J137" s="64"/>
      <c r="K137" s="64"/>
      <c r="L137" s="64"/>
      <c r="M137" s="64"/>
      <c r="N137" s="64"/>
      <c r="O137" s="64"/>
      <c r="P137" s="64"/>
      <c r="Q137" s="64"/>
    </row>
    <row r="138" spans="1:20">
      <c r="A138" s="409" t="s">
        <v>37</v>
      </c>
      <c r="B138" s="64"/>
      <c r="C138" s="415">
        <f>SUM(C118:C133)</f>
        <v>20161</v>
      </c>
      <c r="D138" s="411"/>
      <c r="E138" s="64"/>
      <c r="F138" s="183">
        <f>SUM(F118:F136)</f>
        <v>3184030</v>
      </c>
      <c r="G138" s="411"/>
      <c r="H138" s="183">
        <f ca="1">SUM(H118:H136)</f>
        <v>2592134</v>
      </c>
      <c r="I138" s="91"/>
      <c r="J138" s="64"/>
      <c r="K138" s="64"/>
      <c r="L138" s="64"/>
      <c r="M138" s="64"/>
      <c r="N138" s="64"/>
      <c r="O138" s="64"/>
      <c r="P138" s="64"/>
      <c r="Q138" s="64"/>
      <c r="T138" s="183"/>
    </row>
    <row r="139" spans="1:20">
      <c r="A139" s="409"/>
      <c r="B139" s="64"/>
      <c r="C139" s="329"/>
      <c r="D139" s="411"/>
      <c r="E139" s="64"/>
      <c r="F139" s="434"/>
      <c r="G139" s="411"/>
      <c r="H139" s="434"/>
      <c r="I139" s="91"/>
      <c r="J139" s="64"/>
      <c r="K139" s="64"/>
      <c r="L139" s="64"/>
      <c r="M139" s="64"/>
      <c r="N139" s="64"/>
      <c r="O139" s="64"/>
      <c r="P139" s="64"/>
      <c r="Q139" s="64"/>
    </row>
    <row r="140" spans="1:20">
      <c r="A140" s="140" t="s">
        <v>186</v>
      </c>
      <c r="B140" s="91"/>
      <c r="C140" s="412">
        <v>30201</v>
      </c>
      <c r="D140" s="414"/>
      <c r="E140" s="416"/>
      <c r="F140" s="417"/>
      <c r="G140" s="414"/>
      <c r="H140" s="418"/>
      <c r="I140" s="80"/>
      <c r="J140" s="64"/>
      <c r="K140" s="64"/>
      <c r="L140" s="64"/>
      <c r="M140" s="64"/>
      <c r="N140" s="64"/>
      <c r="O140" s="64"/>
      <c r="P140" s="64"/>
      <c r="Q140" s="64"/>
    </row>
    <row r="141" spans="1:20">
      <c r="A141" s="140"/>
      <c r="B141" s="91"/>
      <c r="C141" s="412"/>
      <c r="D141" s="414"/>
      <c r="E141" s="416"/>
      <c r="F141" s="417"/>
      <c r="G141" s="414"/>
      <c r="H141" s="418"/>
      <c r="I141" s="418"/>
      <c r="J141" s="414"/>
      <c r="K141" s="419"/>
      <c r="L141" s="414"/>
      <c r="M141" s="414"/>
      <c r="N141" s="414"/>
      <c r="O141" s="414"/>
      <c r="P141" s="414"/>
      <c r="Q141" s="414"/>
      <c r="R141" s="414"/>
      <c r="S141" s="414"/>
      <c r="T141" s="414"/>
    </row>
    <row r="142" spans="1:20">
      <c r="A142" s="413" t="s">
        <v>436</v>
      </c>
      <c r="B142" s="414"/>
      <c r="C142" s="415">
        <v>13773730.199999997</v>
      </c>
      <c r="D142" s="414"/>
      <c r="E142" s="416"/>
      <c r="F142" s="417"/>
      <c r="G142" s="414"/>
      <c r="H142" s="418"/>
      <c r="I142" s="435"/>
      <c r="J142" s="64"/>
      <c r="K142" s="64"/>
      <c r="L142" s="64"/>
      <c r="M142" s="64"/>
      <c r="N142" s="64"/>
      <c r="O142" s="64"/>
      <c r="P142" s="64"/>
      <c r="Q142" s="64"/>
    </row>
    <row r="143" spans="1:20">
      <c r="A143" s="413" t="s">
        <v>437</v>
      </c>
      <c r="B143" s="64"/>
      <c r="C143" s="328">
        <v>-19542.410000000033</v>
      </c>
      <c r="D143" s="420">
        <f>ROUND(F143/C143,6)</f>
        <v>4.7156419999999999</v>
      </c>
      <c r="E143" s="421"/>
      <c r="F143" s="80">
        <f>$P$15</f>
        <v>-92155</v>
      </c>
      <c r="G143" s="420">
        <f ca="1">ROUND(H143/C143,6)</f>
        <v>4.8043719999999999</v>
      </c>
      <c r="H143" s="80">
        <f ca="1">ROUND(+F143*(1+J143),0)</f>
        <v>-93889</v>
      </c>
      <c r="I143" s="421"/>
      <c r="J143" s="110">
        <f ca="1">+$J$45</f>
        <v>1.8815167015235074E-2</v>
      </c>
      <c r="K143" s="521" t="s">
        <v>438</v>
      </c>
      <c r="L143" s="521"/>
      <c r="M143" s="458"/>
      <c r="N143" s="458"/>
      <c r="O143" s="458"/>
      <c r="P143" s="458"/>
      <c r="Q143" s="458"/>
      <c r="R143" s="458"/>
      <c r="S143" s="458"/>
      <c r="T143" s="458"/>
    </row>
    <row r="144" spans="1:20" ht="16.2" thickBot="1">
      <c r="A144" s="143" t="s">
        <v>38</v>
      </c>
      <c r="B144" s="91"/>
      <c r="C144" s="422">
        <f>SUM(C142:C143)</f>
        <v>13754187.789999997</v>
      </c>
      <c r="D144" s="83"/>
      <c r="E144" s="64"/>
      <c r="F144" s="423">
        <f>SUM(F138:F143)</f>
        <v>3091875</v>
      </c>
      <c r="G144" s="83"/>
      <c r="H144" s="423">
        <f ca="1">SUM(H138:H143)</f>
        <v>2498245</v>
      </c>
      <c r="I144" s="64"/>
      <c r="J144" s="64"/>
      <c r="K144" s="64"/>
      <c r="L144" s="64"/>
      <c r="M144" s="64"/>
      <c r="N144" s="64"/>
      <c r="O144" s="64"/>
      <c r="P144" s="64"/>
      <c r="Q144" s="64"/>
    </row>
    <row r="145" spans="1:20" ht="16.2" thickTop="1">
      <c r="A145" s="91"/>
      <c r="B145" s="91"/>
      <c r="C145" s="91"/>
      <c r="D145" s="432"/>
      <c r="E145" s="91"/>
      <c r="F145" s="91"/>
      <c r="G145" s="432"/>
      <c r="H145" s="80"/>
      <c r="I145" s="80"/>
      <c r="J145" s="64"/>
      <c r="K145" s="64"/>
      <c r="L145" s="64"/>
      <c r="M145" s="64"/>
      <c r="N145" s="64"/>
      <c r="O145" s="64"/>
      <c r="P145" s="64"/>
      <c r="Q145" s="64"/>
    </row>
    <row r="146" spans="1:20">
      <c r="A146" s="91"/>
      <c r="B146" s="91"/>
      <c r="C146" s="91"/>
      <c r="D146" s="432"/>
      <c r="E146" s="91"/>
      <c r="F146" s="91"/>
      <c r="G146" s="432"/>
      <c r="H146" s="80"/>
      <c r="I146" s="80"/>
      <c r="J146" s="64"/>
      <c r="K146" s="64"/>
      <c r="L146" s="64"/>
      <c r="M146" s="64"/>
      <c r="N146" s="64"/>
      <c r="O146" s="64"/>
      <c r="P146" s="64"/>
      <c r="Q146" s="64"/>
    </row>
    <row r="147" spans="1:20">
      <c r="A147" s="539" t="s">
        <v>50</v>
      </c>
      <c r="B147" s="539"/>
      <c r="C147" s="539"/>
      <c r="D147" s="539"/>
      <c r="E147" s="539"/>
      <c r="F147" s="539"/>
      <c r="G147" s="539"/>
      <c r="H147" s="539"/>
      <c r="I147" s="91"/>
      <c r="J147" s="64"/>
      <c r="K147" s="64"/>
      <c r="L147" s="64"/>
      <c r="M147" s="64"/>
      <c r="N147" s="64"/>
      <c r="O147" s="64"/>
      <c r="P147" s="64"/>
      <c r="Q147" s="64"/>
    </row>
    <row r="148" spans="1:20">
      <c r="A148" s="140" t="s">
        <v>511</v>
      </c>
      <c r="B148" s="91"/>
      <c r="C148" s="91"/>
      <c r="D148" s="91"/>
      <c r="E148" s="91"/>
      <c r="F148" s="91"/>
      <c r="G148" s="91"/>
      <c r="H148" s="91"/>
      <c r="I148" s="91"/>
      <c r="J148" s="64"/>
      <c r="K148" s="64"/>
      <c r="L148" s="64"/>
      <c r="M148" s="64"/>
      <c r="N148" s="64"/>
      <c r="O148" s="64"/>
      <c r="P148" s="64"/>
      <c r="Q148" s="64"/>
    </row>
    <row r="149" spans="1:20">
      <c r="A149" s="141" t="s">
        <v>512</v>
      </c>
      <c r="B149" s="91"/>
      <c r="C149" s="328">
        <v>8</v>
      </c>
      <c r="D149" s="406">
        <f>+'Tariff Summary Lights'!F94</f>
        <v>9.0400000000000009</v>
      </c>
      <c r="E149" s="64"/>
      <c r="F149" s="80">
        <f t="shared" ref="F149:F157" si="28">IF(D149="n/a",0,ROUND(C149*D149*12,0))</f>
        <v>868</v>
      </c>
      <c r="G149" s="406">
        <f ca="1">ROUND('[7]JAP-22 Combined Charges'!J50,2)</f>
        <v>10.43</v>
      </c>
      <c r="H149" s="80">
        <f t="shared" ref="H149:H212" ca="1" si="29">ROUND(G149*$C149*12,0)</f>
        <v>1001</v>
      </c>
      <c r="I149" s="91"/>
      <c r="J149" s="64"/>
      <c r="K149" s="64"/>
      <c r="L149" s="81"/>
      <c r="M149" s="64"/>
      <c r="N149" s="64"/>
      <c r="O149" s="64"/>
      <c r="P149" s="64"/>
      <c r="Q149" s="64"/>
      <c r="T149" s="80"/>
    </row>
    <row r="150" spans="1:20">
      <c r="A150" s="141" t="s">
        <v>513</v>
      </c>
      <c r="B150" s="91"/>
      <c r="C150" s="328">
        <v>5846</v>
      </c>
      <c r="D150" s="406">
        <f>+'Tariff Summary Lights'!F95</f>
        <v>10.34</v>
      </c>
      <c r="E150" s="91"/>
      <c r="F150" s="80">
        <f t="shared" si="28"/>
        <v>725372</v>
      </c>
      <c r="G150" s="406">
        <f ca="1">ROUND('[7]JAP-22 Combined Charges'!J51,2)</f>
        <v>11.21</v>
      </c>
      <c r="H150" s="80">
        <f t="shared" ca="1" si="29"/>
        <v>786404</v>
      </c>
      <c r="I150" s="91"/>
      <c r="J150" s="64"/>
      <c r="K150" s="64"/>
      <c r="L150" s="81"/>
      <c r="M150" s="64"/>
      <c r="N150" s="64"/>
      <c r="O150" s="64"/>
      <c r="P150" s="64"/>
      <c r="Q150" s="64"/>
      <c r="T150" s="80"/>
    </row>
    <row r="151" spans="1:20">
      <c r="A151" s="141" t="s">
        <v>514</v>
      </c>
      <c r="B151" s="91"/>
      <c r="C151" s="328">
        <v>41723</v>
      </c>
      <c r="D151" s="406">
        <f>+'Tariff Summary Lights'!F96</f>
        <v>11.66</v>
      </c>
      <c r="E151" s="91"/>
      <c r="F151" s="80">
        <f t="shared" si="28"/>
        <v>5837882</v>
      </c>
      <c r="G151" s="406">
        <f ca="1">ROUND('[7]JAP-22 Combined Charges'!J52,2)</f>
        <v>12.37</v>
      </c>
      <c r="H151" s="80">
        <f t="shared" ca="1" si="29"/>
        <v>6193362</v>
      </c>
      <c r="I151" s="91"/>
      <c r="J151" s="64"/>
      <c r="K151" s="64"/>
      <c r="L151" s="81"/>
      <c r="M151" s="64"/>
      <c r="N151" s="64"/>
      <c r="O151" s="64"/>
      <c r="P151" s="64"/>
      <c r="Q151" s="64"/>
      <c r="T151" s="80"/>
    </row>
    <row r="152" spans="1:20">
      <c r="A152" s="141" t="s">
        <v>515</v>
      </c>
      <c r="B152" s="91"/>
      <c r="C152" s="328">
        <v>5463</v>
      </c>
      <c r="D152" s="406">
        <f>+'Tariff Summary Lights'!F97</f>
        <v>13.78</v>
      </c>
      <c r="E152" s="91"/>
      <c r="F152" s="80">
        <f t="shared" si="28"/>
        <v>903362</v>
      </c>
      <c r="G152" s="406">
        <f ca="1">ROUND('[7]JAP-22 Combined Charges'!J53,2)</f>
        <v>14.32</v>
      </c>
      <c r="H152" s="80">
        <f t="shared" ca="1" si="29"/>
        <v>938762</v>
      </c>
      <c r="I152" s="91"/>
      <c r="J152" s="64"/>
      <c r="K152" s="64"/>
      <c r="L152" s="81"/>
      <c r="M152" s="64"/>
      <c r="N152" s="64"/>
      <c r="O152" s="64"/>
      <c r="P152" s="64"/>
      <c r="Q152" s="64"/>
      <c r="T152" s="80"/>
    </row>
    <row r="153" spans="1:20">
      <c r="A153" s="141" t="s">
        <v>516</v>
      </c>
      <c r="B153" s="91"/>
      <c r="C153" s="328">
        <v>6823</v>
      </c>
      <c r="D153" s="406">
        <f>+'Tariff Summary Lights'!F98</f>
        <v>16.57</v>
      </c>
      <c r="E153" s="91"/>
      <c r="F153" s="80">
        <f t="shared" si="28"/>
        <v>1356685</v>
      </c>
      <c r="G153" s="406">
        <f ca="1">ROUND('[7]JAP-22 Combined Charges'!J54,2)</f>
        <v>16.27</v>
      </c>
      <c r="H153" s="80">
        <f t="shared" ca="1" si="29"/>
        <v>1332123</v>
      </c>
      <c r="I153" s="91"/>
      <c r="J153" s="64"/>
      <c r="K153" s="64"/>
      <c r="L153" s="81"/>
      <c r="M153" s="64"/>
      <c r="N153" s="64"/>
      <c r="O153" s="64"/>
      <c r="P153" s="64"/>
      <c r="Q153" s="64"/>
      <c r="T153" s="80"/>
    </row>
    <row r="154" spans="1:20">
      <c r="A154" s="141" t="s">
        <v>517</v>
      </c>
      <c r="B154" s="91"/>
      <c r="C154" s="328">
        <v>2469</v>
      </c>
      <c r="D154" s="406">
        <f>+'Tariff Summary Lights'!F99</f>
        <v>18.650000000000002</v>
      </c>
      <c r="E154" s="91"/>
      <c r="F154" s="80">
        <f t="shared" si="28"/>
        <v>552562</v>
      </c>
      <c r="G154" s="406">
        <f ca="1">ROUND('[7]JAP-22 Combined Charges'!J55,2)</f>
        <v>18.22</v>
      </c>
      <c r="H154" s="80">
        <f t="shared" ca="1" si="29"/>
        <v>539822</v>
      </c>
      <c r="I154" s="91"/>
      <c r="J154" s="64"/>
      <c r="K154" s="64"/>
      <c r="L154" s="81"/>
      <c r="M154" s="64"/>
      <c r="N154" s="64"/>
      <c r="O154" s="64"/>
      <c r="P154" s="64"/>
      <c r="Q154" s="64"/>
      <c r="T154" s="80"/>
    </row>
    <row r="155" spans="1:20">
      <c r="A155" s="141" t="s">
        <v>518</v>
      </c>
      <c r="B155" s="91"/>
      <c r="C155" s="328">
        <v>22</v>
      </c>
      <c r="D155" s="406">
        <f>+'Tariff Summary Lights'!F100</f>
        <v>21.569999999999997</v>
      </c>
      <c r="E155" s="91"/>
      <c r="F155" s="80">
        <f t="shared" si="28"/>
        <v>5694</v>
      </c>
      <c r="G155" s="406">
        <f ca="1">ROUND('[7]JAP-22 Combined Charges'!J56,2)</f>
        <v>20.55</v>
      </c>
      <c r="H155" s="80">
        <f t="shared" ca="1" si="29"/>
        <v>5425</v>
      </c>
      <c r="I155" s="91"/>
      <c r="J155" s="64"/>
      <c r="K155" s="64"/>
      <c r="L155" s="81"/>
      <c r="M155" s="64"/>
      <c r="N155" s="64"/>
      <c r="O155" s="64"/>
      <c r="P155" s="64"/>
      <c r="Q155" s="64"/>
      <c r="T155" s="80"/>
    </row>
    <row r="156" spans="1:20">
      <c r="A156" s="141" t="s">
        <v>519</v>
      </c>
      <c r="B156" s="91"/>
      <c r="C156" s="328">
        <v>1245</v>
      </c>
      <c r="D156" s="406">
        <f>+'Tariff Summary Lights'!F101</f>
        <v>25.21</v>
      </c>
      <c r="E156" s="91"/>
      <c r="F156" s="80">
        <f t="shared" si="28"/>
        <v>376637</v>
      </c>
      <c r="G156" s="406">
        <f ca="1">ROUND('[7]JAP-22 Combined Charges'!J57,2)</f>
        <v>24.06</v>
      </c>
      <c r="H156" s="80">
        <f t="shared" ca="1" si="29"/>
        <v>359456</v>
      </c>
      <c r="I156" s="91"/>
      <c r="J156" s="64"/>
      <c r="K156" s="64"/>
      <c r="L156" s="81"/>
      <c r="M156" s="64"/>
      <c r="N156" s="64"/>
      <c r="O156" s="64"/>
      <c r="P156" s="64"/>
      <c r="Q156" s="64"/>
      <c r="T156" s="80"/>
    </row>
    <row r="157" spans="1:20">
      <c r="A157" s="141" t="s">
        <v>520</v>
      </c>
      <c r="B157" s="91"/>
      <c r="C157" s="328">
        <v>0</v>
      </c>
      <c r="D157" s="406">
        <f>+'Tariff Summary Lights'!F102</f>
        <v>55.879999999999995</v>
      </c>
      <c r="E157" s="91"/>
      <c r="F157" s="80">
        <f t="shared" si="28"/>
        <v>0</v>
      </c>
      <c r="G157" s="406">
        <f ca="1">ROUND('[7]JAP-22 Combined Charges'!J58,2)</f>
        <v>47.42</v>
      </c>
      <c r="H157" s="80">
        <f t="shared" ca="1" si="29"/>
        <v>0</v>
      </c>
      <c r="I157" s="91"/>
      <c r="J157" s="64"/>
      <c r="K157" s="64"/>
      <c r="L157" s="64"/>
      <c r="M157" s="64"/>
      <c r="N157" s="64"/>
      <c r="O157" s="64"/>
      <c r="P157" s="64"/>
      <c r="Q157" s="64"/>
      <c r="T157" s="80"/>
    </row>
    <row r="158" spans="1:20">
      <c r="A158" s="141"/>
      <c r="B158" s="91"/>
      <c r="C158" s="328"/>
      <c r="D158" s="406"/>
      <c r="E158" s="91"/>
      <c r="F158" s="91"/>
      <c r="G158" s="406"/>
      <c r="H158" s="91"/>
      <c r="I158" s="91"/>
      <c r="J158" s="64"/>
      <c r="K158" s="64"/>
      <c r="L158" s="64"/>
      <c r="M158" s="64"/>
      <c r="N158" s="64"/>
      <c r="O158" s="64"/>
      <c r="P158" s="64"/>
      <c r="Q158" s="64"/>
      <c r="T158" s="80"/>
    </row>
    <row r="159" spans="1:20">
      <c r="A159" s="141" t="s">
        <v>521</v>
      </c>
      <c r="B159" s="91"/>
      <c r="C159" s="328">
        <v>0</v>
      </c>
      <c r="D159" s="406">
        <f>+'Tariff Summary Lights'!F104</f>
        <v>14.13</v>
      </c>
      <c r="E159" s="91"/>
      <c r="F159" s="80">
        <f t="shared" ref="F159:F163" si="30">IF(D159="n/a",0,ROUND(C159*D159*12,0))</f>
        <v>0</v>
      </c>
      <c r="G159" s="406">
        <f ca="1">ROUND('[7]JAP-22 Combined Charges'!J60,2)</f>
        <v>13.86</v>
      </c>
      <c r="H159" s="80">
        <f t="shared" ca="1" si="29"/>
        <v>0</v>
      </c>
      <c r="I159" s="91"/>
      <c r="J159" s="64"/>
      <c r="K159" s="64"/>
      <c r="L159" s="64"/>
      <c r="M159" s="64"/>
      <c r="N159" s="64"/>
      <c r="O159" s="64"/>
      <c r="P159" s="64"/>
      <c r="Q159" s="64"/>
      <c r="T159" s="80"/>
    </row>
    <row r="160" spans="1:20">
      <c r="A160" s="141" t="s">
        <v>522</v>
      </c>
      <c r="B160" s="91"/>
      <c r="C160" s="328">
        <v>0</v>
      </c>
      <c r="D160" s="406">
        <f>+'Tariff Summary Lights'!F105</f>
        <v>15.11</v>
      </c>
      <c r="E160" s="91"/>
      <c r="F160" s="80">
        <f t="shared" si="30"/>
        <v>0</v>
      </c>
      <c r="G160" s="406">
        <f ca="1">ROUND('[7]JAP-22 Combined Charges'!J61,2)</f>
        <v>15.1</v>
      </c>
      <c r="H160" s="80">
        <f t="shared" ca="1" si="29"/>
        <v>0</v>
      </c>
      <c r="I160" s="91"/>
      <c r="J160" s="64"/>
      <c r="K160" s="64"/>
      <c r="L160" s="64"/>
      <c r="M160" s="64"/>
      <c r="N160" s="64"/>
      <c r="O160" s="64"/>
      <c r="P160" s="64"/>
      <c r="Q160" s="64"/>
      <c r="T160" s="80"/>
    </row>
    <row r="161" spans="1:20">
      <c r="A161" s="141" t="s">
        <v>523</v>
      </c>
      <c r="B161" s="91"/>
      <c r="C161" s="328">
        <v>0</v>
      </c>
      <c r="D161" s="406">
        <f>+'Tariff Summary Lights'!F106</f>
        <v>17.440000000000001</v>
      </c>
      <c r="E161" s="91"/>
      <c r="F161" s="80">
        <f t="shared" si="30"/>
        <v>0</v>
      </c>
      <c r="G161" s="406">
        <f ca="1">ROUND('[7]JAP-22 Combined Charges'!J62,2)</f>
        <v>17.170000000000002</v>
      </c>
      <c r="H161" s="80">
        <f t="shared" ca="1" si="29"/>
        <v>0</v>
      </c>
      <c r="I161" s="91"/>
      <c r="J161" s="64"/>
      <c r="K161" s="64"/>
      <c r="L161" s="64"/>
      <c r="M161" s="64"/>
      <c r="N161" s="64"/>
      <c r="O161" s="64"/>
      <c r="P161" s="64"/>
      <c r="Q161" s="64"/>
      <c r="T161" s="80"/>
    </row>
    <row r="162" spans="1:20">
      <c r="A162" s="141" t="s">
        <v>524</v>
      </c>
      <c r="B162" s="91"/>
      <c r="C162" s="328">
        <v>0</v>
      </c>
      <c r="D162" s="406">
        <f>+'Tariff Summary Lights'!F107</f>
        <v>22.43</v>
      </c>
      <c r="E162" s="91"/>
      <c r="F162" s="80">
        <f t="shared" si="30"/>
        <v>0</v>
      </c>
      <c r="G162" s="406">
        <f ca="1">ROUND('[7]JAP-22 Combined Charges'!J63,2)</f>
        <v>21.3</v>
      </c>
      <c r="H162" s="80">
        <f t="shared" ca="1" si="29"/>
        <v>0</v>
      </c>
      <c r="I162" s="91"/>
      <c r="J162" s="64"/>
      <c r="K162" s="64"/>
      <c r="L162" s="64"/>
      <c r="M162" s="64"/>
      <c r="N162" s="64"/>
      <c r="O162" s="64"/>
      <c r="P162" s="64"/>
      <c r="Q162" s="64"/>
      <c r="T162" s="80"/>
    </row>
    <row r="163" spans="1:20">
      <c r="A163" s="141" t="s">
        <v>525</v>
      </c>
      <c r="B163" s="91"/>
      <c r="C163" s="328">
        <v>0</v>
      </c>
      <c r="D163" s="406">
        <f>+'Tariff Summary Lights'!F108</f>
        <v>25.41</v>
      </c>
      <c r="E163" s="91"/>
      <c r="F163" s="80">
        <f t="shared" si="30"/>
        <v>0</v>
      </c>
      <c r="G163" s="406">
        <f ca="1">ROUND('[7]JAP-22 Combined Charges'!J64,2)</f>
        <v>27.49</v>
      </c>
      <c r="H163" s="80">
        <f t="shared" ca="1" si="29"/>
        <v>0</v>
      </c>
      <c r="I163" s="91"/>
      <c r="J163" s="64"/>
      <c r="K163" s="64"/>
      <c r="L163" s="64"/>
      <c r="M163" s="64"/>
      <c r="N163" s="64"/>
      <c r="O163" s="64"/>
      <c r="P163" s="64"/>
      <c r="Q163" s="64"/>
      <c r="T163" s="80"/>
    </row>
    <row r="164" spans="1:20">
      <c r="A164" s="141"/>
      <c r="B164" s="91"/>
      <c r="C164" s="328"/>
      <c r="D164" s="406"/>
      <c r="E164" s="91"/>
      <c r="F164" s="91"/>
      <c r="G164" s="406"/>
      <c r="H164" s="91"/>
      <c r="I164" s="91"/>
      <c r="J164" s="64"/>
      <c r="K164" s="64"/>
      <c r="L164" s="64"/>
      <c r="M164" s="64"/>
      <c r="N164" s="64"/>
      <c r="O164" s="64"/>
      <c r="P164" s="64"/>
      <c r="Q164" s="64"/>
      <c r="T164" s="80"/>
    </row>
    <row r="165" spans="1:20">
      <c r="A165" s="141" t="s">
        <v>526</v>
      </c>
      <c r="B165" s="91"/>
      <c r="C165" s="328"/>
      <c r="D165" s="406">
        <f>+'Tariff Summary Lights'!F110</f>
        <v>7.43</v>
      </c>
      <c r="E165" s="91"/>
      <c r="F165" s="80">
        <f t="shared" ref="F165:F218" si="31">IF(D165="n/a",0,ROUND(C165*D165*12,0))</f>
        <v>0</v>
      </c>
      <c r="G165" s="457">
        <f ca="1">ROUND('[7]JAP-22 Combined Charges'!$J$66,2)</f>
        <v>11.86</v>
      </c>
      <c r="H165" s="80">
        <f t="shared" ca="1" si="29"/>
        <v>0</v>
      </c>
      <c r="I165" s="91"/>
      <c r="J165" s="81"/>
      <c r="K165" s="64"/>
      <c r="L165" s="64"/>
      <c r="M165" s="64"/>
      <c r="N165" s="64"/>
      <c r="O165" s="64"/>
      <c r="P165" s="64"/>
      <c r="Q165" s="64"/>
      <c r="T165" s="80"/>
    </row>
    <row r="166" spans="1:20">
      <c r="A166" s="141" t="s">
        <v>527</v>
      </c>
      <c r="B166" s="91"/>
      <c r="C166" s="328"/>
      <c r="D166" s="406">
        <f>+'Tariff Summary Lights'!F111</f>
        <v>7.6</v>
      </c>
      <c r="E166" s="91"/>
      <c r="F166" s="80">
        <f t="shared" si="31"/>
        <v>0</v>
      </c>
      <c r="G166" s="406">
        <f ca="1">+G165</f>
        <v>11.86</v>
      </c>
      <c r="H166" s="80">
        <f t="shared" ca="1" si="29"/>
        <v>0</v>
      </c>
      <c r="I166" s="91"/>
      <c r="J166" s="64"/>
      <c r="K166" s="64"/>
      <c r="L166" s="64"/>
      <c r="M166" s="64"/>
      <c r="N166" s="64"/>
      <c r="O166" s="64"/>
      <c r="P166" s="64"/>
      <c r="Q166" s="64"/>
      <c r="T166" s="80"/>
    </row>
    <row r="167" spans="1:20">
      <c r="A167" s="141" t="s">
        <v>528</v>
      </c>
      <c r="B167" s="91"/>
      <c r="C167" s="328">
        <v>2093</v>
      </c>
      <c r="D167" s="406">
        <f>+'Tariff Summary Lights'!F112</f>
        <v>7.7799999999999994</v>
      </c>
      <c r="E167" s="91"/>
      <c r="F167" s="80">
        <f t="shared" si="31"/>
        <v>195402</v>
      </c>
      <c r="G167" s="406">
        <f t="shared" ref="G167:G170" ca="1" si="32">+G166</f>
        <v>11.86</v>
      </c>
      <c r="H167" s="80">
        <f t="shared" ca="1" si="29"/>
        <v>297876</v>
      </c>
      <c r="I167" s="91"/>
      <c r="J167" s="64"/>
      <c r="K167" s="64"/>
      <c r="L167" s="81"/>
      <c r="M167" s="64"/>
      <c r="N167" s="64"/>
      <c r="O167" s="64"/>
      <c r="P167" s="64"/>
      <c r="Q167" s="64"/>
      <c r="T167" s="80"/>
    </row>
    <row r="168" spans="1:20">
      <c r="A168" s="141" t="s">
        <v>529</v>
      </c>
      <c r="B168" s="91"/>
      <c r="C168" s="328">
        <v>2</v>
      </c>
      <c r="D168" s="406">
        <f>+'Tariff Summary Lights'!F113</f>
        <v>7.9499999999999993</v>
      </c>
      <c r="E168" s="91"/>
      <c r="F168" s="80">
        <f t="shared" si="31"/>
        <v>191</v>
      </c>
      <c r="G168" s="406">
        <f t="shared" ca="1" si="32"/>
        <v>11.86</v>
      </c>
      <c r="H168" s="80">
        <f t="shared" ca="1" si="29"/>
        <v>285</v>
      </c>
      <c r="I168" s="91"/>
      <c r="J168" s="64"/>
      <c r="K168" s="64"/>
      <c r="L168" s="81"/>
      <c r="M168" s="64"/>
      <c r="N168" s="64"/>
      <c r="O168" s="64"/>
      <c r="P168" s="64"/>
      <c r="Q168" s="64"/>
      <c r="T168" s="80"/>
    </row>
    <row r="169" spans="1:20">
      <c r="A169" s="141" t="s">
        <v>530</v>
      </c>
      <c r="B169" s="91"/>
      <c r="C169" s="328">
        <v>7387</v>
      </c>
      <c r="D169" s="406">
        <f>+'Tariff Summary Lights'!F114</f>
        <v>8.1300000000000008</v>
      </c>
      <c r="E169" s="91"/>
      <c r="F169" s="80">
        <f t="shared" si="31"/>
        <v>720676</v>
      </c>
      <c r="G169" s="406">
        <f t="shared" ca="1" si="32"/>
        <v>11.86</v>
      </c>
      <c r="H169" s="80">
        <f t="shared" ca="1" si="29"/>
        <v>1051318</v>
      </c>
      <c r="I169" s="91"/>
      <c r="J169" s="64"/>
      <c r="K169" s="64"/>
      <c r="L169" s="81"/>
      <c r="M169" s="64"/>
      <c r="N169" s="64"/>
      <c r="O169" s="64"/>
      <c r="P169" s="64"/>
      <c r="Q169" s="64"/>
      <c r="T169" s="80"/>
    </row>
    <row r="170" spans="1:20">
      <c r="A170" s="141" t="s">
        <v>531</v>
      </c>
      <c r="B170" s="91"/>
      <c r="C170" s="328">
        <v>32</v>
      </c>
      <c r="D170" s="406">
        <f>+'Tariff Summary Lights'!F115</f>
        <v>8.31</v>
      </c>
      <c r="E170" s="91"/>
      <c r="F170" s="80">
        <f t="shared" si="31"/>
        <v>3191</v>
      </c>
      <c r="G170" s="406">
        <f t="shared" ca="1" si="32"/>
        <v>11.86</v>
      </c>
      <c r="H170" s="80">
        <f t="shared" ca="1" si="29"/>
        <v>4554</v>
      </c>
      <c r="I170" s="91"/>
      <c r="J170" s="64"/>
      <c r="K170" s="64"/>
      <c r="L170" s="81"/>
      <c r="M170" s="64"/>
      <c r="N170" s="64"/>
      <c r="O170" s="64"/>
      <c r="P170" s="64"/>
      <c r="Q170" s="64"/>
      <c r="T170" s="80"/>
    </row>
    <row r="171" spans="1:20">
      <c r="A171" s="141" t="s">
        <v>532</v>
      </c>
      <c r="B171" s="91"/>
      <c r="C171" s="328">
        <v>22</v>
      </c>
      <c r="D171" s="406">
        <f>+'Tariff Summary Lights'!F116</f>
        <v>8.7800000000000011</v>
      </c>
      <c r="E171" s="91"/>
      <c r="F171" s="80">
        <f t="shared" si="31"/>
        <v>2318</v>
      </c>
      <c r="G171" s="457">
        <f ca="1">ROUND('[7]JAP-22 Combined Charges'!$J$67,2)</f>
        <v>12.96</v>
      </c>
      <c r="H171" s="80">
        <f t="shared" ca="1" si="29"/>
        <v>3421</v>
      </c>
      <c r="I171" s="91"/>
      <c r="J171" s="81"/>
      <c r="K171" s="64"/>
      <c r="L171" s="81"/>
      <c r="M171" s="64"/>
      <c r="N171" s="64"/>
      <c r="O171" s="64"/>
      <c r="P171" s="64"/>
      <c r="Q171" s="64"/>
      <c r="T171" s="80"/>
    </row>
    <row r="172" spans="1:20">
      <c r="A172" s="141" t="s">
        <v>533</v>
      </c>
      <c r="B172" s="91"/>
      <c r="C172" s="328">
        <v>8</v>
      </c>
      <c r="D172" s="406">
        <f>+'Tariff Summary Lights'!F117</f>
        <v>8.9500000000000011</v>
      </c>
      <c r="E172" s="91"/>
      <c r="F172" s="80">
        <f t="shared" si="31"/>
        <v>859</v>
      </c>
      <c r="G172" s="406">
        <f ca="1">+G171</f>
        <v>12.96</v>
      </c>
      <c r="H172" s="80">
        <f t="shared" ca="1" si="29"/>
        <v>1244</v>
      </c>
      <c r="I172" s="91"/>
      <c r="J172" s="81"/>
      <c r="K172" s="64"/>
      <c r="L172" s="81"/>
      <c r="M172" s="64"/>
      <c r="N172" s="64"/>
      <c r="O172" s="64"/>
      <c r="P172" s="64"/>
      <c r="Q172" s="64"/>
      <c r="T172" s="80"/>
    </row>
    <row r="173" spans="1:20">
      <c r="A173" s="141" t="s">
        <v>534</v>
      </c>
      <c r="B173" s="91"/>
      <c r="C173" s="328">
        <v>16</v>
      </c>
      <c r="D173" s="406">
        <f>+'Tariff Summary Lights'!F118</f>
        <v>9.1300000000000008</v>
      </c>
      <c r="E173" s="91"/>
      <c r="F173" s="80">
        <f t="shared" si="31"/>
        <v>1753</v>
      </c>
      <c r="G173" s="406">
        <f t="shared" ref="G173:G176" ca="1" si="33">+G172</f>
        <v>12.96</v>
      </c>
      <c r="H173" s="80">
        <f t="shared" ca="1" si="29"/>
        <v>2488</v>
      </c>
      <c r="I173" s="91"/>
      <c r="J173" s="64"/>
      <c r="K173" s="64"/>
      <c r="L173" s="81"/>
      <c r="M173" s="64"/>
      <c r="N173" s="64"/>
      <c r="O173" s="64"/>
      <c r="P173" s="64"/>
      <c r="Q173" s="64"/>
      <c r="T173" s="80"/>
    </row>
    <row r="174" spans="1:20">
      <c r="A174" s="141" t="s">
        <v>535</v>
      </c>
      <c r="B174" s="91"/>
      <c r="C174" s="328">
        <v>19</v>
      </c>
      <c r="D174" s="406">
        <f>+'Tariff Summary Lights'!F119</f>
        <v>9.3000000000000007</v>
      </c>
      <c r="E174" s="91"/>
      <c r="F174" s="80">
        <f t="shared" si="31"/>
        <v>2120</v>
      </c>
      <c r="G174" s="406">
        <f t="shared" ca="1" si="33"/>
        <v>12.96</v>
      </c>
      <c r="H174" s="80">
        <f t="shared" ca="1" si="29"/>
        <v>2955</v>
      </c>
      <c r="I174" s="91"/>
      <c r="J174" s="64"/>
      <c r="K174" s="64"/>
      <c r="L174" s="81"/>
      <c r="M174" s="64"/>
      <c r="N174" s="64"/>
      <c r="O174" s="64"/>
      <c r="P174" s="64"/>
      <c r="Q174" s="64"/>
      <c r="T174" s="80"/>
    </row>
    <row r="175" spans="1:20">
      <c r="A175" s="141" t="s">
        <v>536</v>
      </c>
      <c r="B175" s="91"/>
      <c r="C175" s="328">
        <v>31</v>
      </c>
      <c r="D175" s="406">
        <f>+'Tariff Summary Lights'!F120</f>
        <v>9.4699999999999989</v>
      </c>
      <c r="E175" s="91"/>
      <c r="F175" s="80">
        <f t="shared" si="31"/>
        <v>3523</v>
      </c>
      <c r="G175" s="406">
        <f t="shared" ca="1" si="33"/>
        <v>12.96</v>
      </c>
      <c r="H175" s="80">
        <f t="shared" ca="1" si="29"/>
        <v>4821</v>
      </c>
      <c r="I175" s="91"/>
      <c r="J175" s="64"/>
      <c r="K175" s="64"/>
      <c r="L175" s="81"/>
      <c r="M175" s="64"/>
      <c r="N175" s="64"/>
      <c r="O175" s="64"/>
      <c r="P175" s="64"/>
      <c r="Q175" s="64"/>
      <c r="T175" s="80"/>
    </row>
    <row r="176" spans="1:20">
      <c r="A176" s="141" t="s">
        <v>537</v>
      </c>
      <c r="B176" s="91"/>
      <c r="C176" s="328">
        <v>1</v>
      </c>
      <c r="D176" s="406">
        <f>+'Tariff Summary Lights'!F121</f>
        <v>9.7999999999999989</v>
      </c>
      <c r="E176" s="91"/>
      <c r="F176" s="80">
        <f t="shared" si="31"/>
        <v>118</v>
      </c>
      <c r="G176" s="406">
        <f t="shared" ca="1" si="33"/>
        <v>12.96</v>
      </c>
      <c r="H176" s="80">
        <f t="shared" ca="1" si="29"/>
        <v>156</v>
      </c>
      <c r="I176" s="91"/>
      <c r="J176" s="64"/>
      <c r="K176" s="64"/>
      <c r="L176" s="81"/>
      <c r="M176" s="64"/>
      <c r="N176" s="64"/>
      <c r="O176" s="64"/>
      <c r="P176" s="64"/>
      <c r="Q176" s="64"/>
      <c r="T176" s="80"/>
    </row>
    <row r="177" spans="1:20">
      <c r="A177" s="141" t="s">
        <v>538</v>
      </c>
      <c r="B177" s="91"/>
      <c r="C177" s="328">
        <v>84</v>
      </c>
      <c r="D177" s="406">
        <f>+'Tariff Summary Lights'!F122</f>
        <v>9.9799999999999986</v>
      </c>
      <c r="E177" s="91"/>
      <c r="F177" s="80">
        <f t="shared" si="31"/>
        <v>10060</v>
      </c>
      <c r="G177" s="457">
        <f ca="1">ROUND('[7]JAP-22 Combined Charges'!$J$68,2)</f>
        <v>14.05</v>
      </c>
      <c r="H177" s="80">
        <f t="shared" ca="1" si="29"/>
        <v>14162</v>
      </c>
      <c r="I177" s="91"/>
      <c r="J177" s="64"/>
      <c r="K177" s="64"/>
      <c r="L177" s="81"/>
      <c r="M177" s="64"/>
      <c r="N177" s="64"/>
      <c r="O177" s="64"/>
      <c r="P177" s="64"/>
      <c r="Q177" s="64"/>
      <c r="T177" s="80"/>
    </row>
    <row r="178" spans="1:20">
      <c r="A178" s="141" t="s">
        <v>539</v>
      </c>
      <c r="B178" s="91"/>
      <c r="C178" s="328">
        <v>136</v>
      </c>
      <c r="D178" s="406">
        <f>+'Tariff Summary Lights'!F123</f>
        <v>10.15</v>
      </c>
      <c r="E178" s="91"/>
      <c r="F178" s="80">
        <f t="shared" si="31"/>
        <v>16565</v>
      </c>
      <c r="G178" s="406">
        <f ca="1">+G177</f>
        <v>14.05</v>
      </c>
      <c r="H178" s="80">
        <f t="shared" ca="1" si="29"/>
        <v>22930</v>
      </c>
      <c r="I178" s="91"/>
      <c r="J178" s="64"/>
      <c r="K178" s="64"/>
      <c r="L178" s="81"/>
      <c r="M178" s="64"/>
      <c r="N178" s="64"/>
      <c r="O178" s="64"/>
      <c r="P178" s="64"/>
      <c r="Q178" s="64"/>
      <c r="T178" s="80"/>
    </row>
    <row r="179" spans="1:20">
      <c r="A179" s="141" t="s">
        <v>540</v>
      </c>
      <c r="B179" s="91"/>
      <c r="C179" s="328">
        <v>417</v>
      </c>
      <c r="D179" s="406">
        <f>+'Tariff Summary Lights'!F124</f>
        <v>10.33</v>
      </c>
      <c r="E179" s="91"/>
      <c r="F179" s="80">
        <f t="shared" si="31"/>
        <v>51691</v>
      </c>
      <c r="G179" s="406">
        <f t="shared" ref="G179:G182" ca="1" si="34">+G178</f>
        <v>14.05</v>
      </c>
      <c r="H179" s="80">
        <f t="shared" ca="1" si="29"/>
        <v>70306</v>
      </c>
      <c r="I179" s="91"/>
      <c r="J179" s="64"/>
      <c r="K179" s="64"/>
      <c r="L179" s="81"/>
      <c r="M179" s="64"/>
      <c r="N179" s="64"/>
      <c r="O179" s="64"/>
      <c r="P179" s="64"/>
      <c r="Q179" s="64"/>
      <c r="T179" s="80"/>
    </row>
    <row r="180" spans="1:20">
      <c r="A180" s="141" t="s">
        <v>541</v>
      </c>
      <c r="B180" s="91"/>
      <c r="C180" s="328">
        <v>2</v>
      </c>
      <c r="D180" s="406">
        <f>+'Tariff Summary Lights'!F125</f>
        <v>10.5</v>
      </c>
      <c r="E180" s="91"/>
      <c r="F180" s="80">
        <f t="shared" si="31"/>
        <v>252</v>
      </c>
      <c r="G180" s="406">
        <f t="shared" ca="1" si="34"/>
        <v>14.05</v>
      </c>
      <c r="H180" s="80">
        <f t="shared" ca="1" si="29"/>
        <v>337</v>
      </c>
      <c r="I180" s="91"/>
      <c r="J180" s="64"/>
      <c r="K180" s="64"/>
      <c r="L180" s="81"/>
      <c r="M180" s="64"/>
      <c r="N180" s="64"/>
      <c r="O180" s="64"/>
      <c r="P180" s="64"/>
      <c r="Q180" s="64"/>
      <c r="T180" s="80"/>
    </row>
    <row r="181" spans="1:20">
      <c r="A181" s="141" t="s">
        <v>542</v>
      </c>
      <c r="B181" s="91"/>
      <c r="C181" s="328">
        <v>1</v>
      </c>
      <c r="D181" s="406">
        <f>+'Tariff Summary Lights'!F126</f>
        <v>10.68</v>
      </c>
      <c r="E181" s="91"/>
      <c r="F181" s="80">
        <f t="shared" si="31"/>
        <v>128</v>
      </c>
      <c r="G181" s="406">
        <f t="shared" ca="1" si="34"/>
        <v>14.05</v>
      </c>
      <c r="H181" s="80">
        <f t="shared" ca="1" si="29"/>
        <v>169</v>
      </c>
      <c r="I181" s="91"/>
      <c r="J181" s="64"/>
      <c r="K181" s="64"/>
      <c r="L181" s="81"/>
      <c r="M181" s="64"/>
      <c r="N181" s="64"/>
      <c r="O181" s="64"/>
      <c r="P181" s="64"/>
      <c r="Q181" s="64"/>
      <c r="T181" s="80"/>
    </row>
    <row r="182" spans="1:20">
      <c r="A182" s="141" t="s">
        <v>543</v>
      </c>
      <c r="B182" s="91"/>
      <c r="C182" s="328">
        <v>2</v>
      </c>
      <c r="D182" s="406">
        <f>+'Tariff Summary Lights'!F127</f>
        <v>10.85</v>
      </c>
      <c r="E182" s="91"/>
      <c r="F182" s="80">
        <f t="shared" si="31"/>
        <v>260</v>
      </c>
      <c r="G182" s="406">
        <f t="shared" ca="1" si="34"/>
        <v>14.05</v>
      </c>
      <c r="H182" s="80">
        <f t="shared" ca="1" si="29"/>
        <v>337</v>
      </c>
      <c r="I182" s="91"/>
      <c r="J182" s="64"/>
      <c r="K182" s="64"/>
      <c r="L182" s="81"/>
      <c r="M182" s="64"/>
      <c r="N182" s="64"/>
      <c r="O182" s="64"/>
      <c r="P182" s="64"/>
      <c r="Q182" s="64"/>
      <c r="T182" s="80"/>
    </row>
    <row r="183" spans="1:20">
      <c r="A183" s="141" t="s">
        <v>544</v>
      </c>
      <c r="B183" s="91"/>
      <c r="C183" s="328">
        <v>16</v>
      </c>
      <c r="D183" s="406">
        <f>+'Tariff Summary Lights'!F128</f>
        <v>11.03</v>
      </c>
      <c r="E183" s="91"/>
      <c r="F183" s="80">
        <f t="shared" si="31"/>
        <v>2118</v>
      </c>
      <c r="G183" s="457">
        <f ca="1">ROUND('[7]JAP-22 Combined Charges'!$J$69,2)</f>
        <v>15.15</v>
      </c>
      <c r="H183" s="80">
        <f t="shared" ca="1" si="29"/>
        <v>2909</v>
      </c>
      <c r="I183" s="91"/>
      <c r="J183" s="64"/>
      <c r="K183" s="64"/>
      <c r="L183" s="81"/>
      <c r="M183" s="64"/>
      <c r="N183" s="64"/>
      <c r="O183" s="64"/>
      <c r="P183" s="64"/>
      <c r="Q183" s="64"/>
      <c r="T183" s="80"/>
    </row>
    <row r="184" spans="1:20">
      <c r="A184" s="141" t="s">
        <v>545</v>
      </c>
      <c r="B184" s="91"/>
      <c r="C184" s="328">
        <v>223</v>
      </c>
      <c r="D184" s="406">
        <f>+'Tariff Summary Lights'!F129</f>
        <v>11.39</v>
      </c>
      <c r="E184" s="91"/>
      <c r="F184" s="80">
        <f t="shared" si="31"/>
        <v>30480</v>
      </c>
      <c r="G184" s="406">
        <f ca="1">+G183</f>
        <v>15.15</v>
      </c>
      <c r="H184" s="80">
        <f t="shared" ca="1" si="29"/>
        <v>40541</v>
      </c>
      <c r="I184" s="91"/>
      <c r="J184" s="64"/>
      <c r="K184" s="64"/>
      <c r="L184" s="81"/>
      <c r="M184" s="64"/>
      <c r="N184" s="64"/>
      <c r="O184" s="64"/>
      <c r="P184" s="64"/>
      <c r="Q184" s="64"/>
      <c r="T184" s="80"/>
    </row>
    <row r="185" spans="1:20">
      <c r="A185" s="141" t="s">
        <v>546</v>
      </c>
      <c r="B185" s="91"/>
      <c r="C185" s="328">
        <v>317</v>
      </c>
      <c r="D185" s="406">
        <f>+'Tariff Summary Lights'!F130</f>
        <v>11.56</v>
      </c>
      <c r="E185" s="91"/>
      <c r="F185" s="80">
        <f t="shared" si="31"/>
        <v>43974</v>
      </c>
      <c r="G185" s="406">
        <f t="shared" ref="G185:G188" ca="1" si="35">+G184</f>
        <v>15.15</v>
      </c>
      <c r="H185" s="80">
        <f t="shared" ca="1" si="29"/>
        <v>57631</v>
      </c>
      <c r="I185" s="91"/>
      <c r="J185" s="64"/>
      <c r="K185" s="64"/>
      <c r="L185" s="81"/>
      <c r="M185" s="64"/>
      <c r="N185" s="64"/>
      <c r="O185" s="64"/>
      <c r="P185" s="64"/>
      <c r="Q185" s="64"/>
      <c r="T185" s="80"/>
    </row>
    <row r="186" spans="1:20">
      <c r="A186" s="141" t="s">
        <v>547</v>
      </c>
      <c r="B186" s="91"/>
      <c r="C186" s="328">
        <v>650</v>
      </c>
      <c r="D186" s="406">
        <f>+'Tariff Summary Lights'!F131</f>
        <v>11.73</v>
      </c>
      <c r="E186" s="91"/>
      <c r="F186" s="80">
        <f t="shared" si="31"/>
        <v>91494</v>
      </c>
      <c r="G186" s="406">
        <f t="shared" ca="1" si="35"/>
        <v>15.15</v>
      </c>
      <c r="H186" s="80">
        <f t="shared" ca="1" si="29"/>
        <v>118170</v>
      </c>
      <c r="I186" s="91"/>
      <c r="J186" s="64"/>
      <c r="K186" s="64"/>
      <c r="L186" s="81"/>
      <c r="M186" s="64"/>
      <c r="N186" s="64"/>
      <c r="O186" s="64"/>
      <c r="P186" s="64"/>
      <c r="Q186" s="64"/>
      <c r="T186" s="80"/>
    </row>
    <row r="187" spans="1:20">
      <c r="A187" s="141" t="s">
        <v>548</v>
      </c>
      <c r="B187" s="91"/>
      <c r="C187" s="328">
        <v>0</v>
      </c>
      <c r="D187" s="406">
        <f>+'Tariff Summary Lights'!F132</f>
        <v>11.91</v>
      </c>
      <c r="E187" s="91"/>
      <c r="F187" s="80">
        <f t="shared" si="31"/>
        <v>0</v>
      </c>
      <c r="G187" s="406">
        <f t="shared" ca="1" si="35"/>
        <v>15.15</v>
      </c>
      <c r="H187" s="80">
        <f t="shared" ca="1" si="29"/>
        <v>0</v>
      </c>
      <c r="I187" s="91"/>
      <c r="J187" s="64"/>
      <c r="K187" s="64"/>
      <c r="L187" s="81"/>
      <c r="M187" s="64"/>
      <c r="N187" s="64"/>
      <c r="O187" s="64"/>
      <c r="P187" s="64"/>
      <c r="Q187" s="64"/>
      <c r="T187" s="80"/>
    </row>
    <row r="188" spans="1:20">
      <c r="A188" s="141" t="s">
        <v>549</v>
      </c>
      <c r="B188" s="91"/>
      <c r="C188" s="328">
        <v>0</v>
      </c>
      <c r="D188" s="406">
        <f>+'Tariff Summary Lights'!F133</f>
        <v>12.08</v>
      </c>
      <c r="E188" s="91"/>
      <c r="F188" s="80">
        <f t="shared" si="31"/>
        <v>0</v>
      </c>
      <c r="G188" s="406">
        <f t="shared" ca="1" si="35"/>
        <v>15.15</v>
      </c>
      <c r="H188" s="80">
        <f t="shared" ca="1" si="29"/>
        <v>0</v>
      </c>
      <c r="I188" s="91"/>
      <c r="J188" s="64"/>
      <c r="K188" s="64"/>
      <c r="L188" s="81"/>
      <c r="M188" s="64"/>
      <c r="N188" s="64"/>
      <c r="O188" s="64"/>
      <c r="P188" s="64"/>
      <c r="Q188" s="64"/>
      <c r="T188" s="80"/>
    </row>
    <row r="189" spans="1:20">
      <c r="A189" s="141" t="s">
        <v>550</v>
      </c>
      <c r="B189" s="91"/>
      <c r="C189" s="328">
        <v>17</v>
      </c>
      <c r="D189" s="406">
        <f>+'Tariff Summary Lights'!F134</f>
        <v>12.26</v>
      </c>
      <c r="E189" s="91"/>
      <c r="F189" s="80">
        <f t="shared" si="31"/>
        <v>2501</v>
      </c>
      <c r="G189" s="457">
        <f ca="1">ROUND('[7]JAP-22 Combined Charges'!$J$70,2)</f>
        <v>16.25</v>
      </c>
      <c r="H189" s="80">
        <f t="shared" ca="1" si="29"/>
        <v>3315</v>
      </c>
      <c r="I189" s="91"/>
      <c r="J189" s="64"/>
      <c r="K189" s="64"/>
      <c r="L189" s="81"/>
      <c r="M189" s="64"/>
      <c r="N189" s="64"/>
      <c r="O189" s="64"/>
      <c r="P189" s="64"/>
      <c r="Q189" s="64"/>
      <c r="T189" s="80"/>
    </row>
    <row r="190" spans="1:20">
      <c r="A190" s="141" t="s">
        <v>551</v>
      </c>
      <c r="B190" s="91"/>
      <c r="C190" s="328">
        <v>0</v>
      </c>
      <c r="D190" s="406">
        <f>+'Tariff Summary Lights'!F135</f>
        <v>12.43</v>
      </c>
      <c r="E190" s="91"/>
      <c r="F190" s="80">
        <f t="shared" si="31"/>
        <v>0</v>
      </c>
      <c r="G190" s="406">
        <f ca="1">+G189</f>
        <v>16.25</v>
      </c>
      <c r="H190" s="80">
        <f t="shared" ca="1" si="29"/>
        <v>0</v>
      </c>
      <c r="I190" s="91"/>
      <c r="J190" s="64"/>
      <c r="K190" s="64"/>
      <c r="L190" s="81"/>
      <c r="M190" s="64"/>
      <c r="N190" s="64"/>
      <c r="O190" s="64"/>
      <c r="P190" s="64"/>
      <c r="Q190" s="64"/>
      <c r="T190" s="80"/>
    </row>
    <row r="191" spans="1:20">
      <c r="A191" s="141" t="s">
        <v>552</v>
      </c>
      <c r="B191" s="91"/>
      <c r="C191" s="328">
        <v>0</v>
      </c>
      <c r="D191" s="406">
        <f>+'Tariff Summary Lights'!F136</f>
        <v>12.62</v>
      </c>
      <c r="E191" s="91"/>
      <c r="F191" s="80">
        <f t="shared" si="31"/>
        <v>0</v>
      </c>
      <c r="G191" s="406">
        <f t="shared" ref="G191:G194" ca="1" si="36">+G190</f>
        <v>16.25</v>
      </c>
      <c r="H191" s="80">
        <f t="shared" ca="1" si="29"/>
        <v>0</v>
      </c>
      <c r="I191" s="91"/>
      <c r="J191" s="64"/>
      <c r="K191" s="64"/>
      <c r="L191" s="81"/>
      <c r="M191" s="64"/>
      <c r="N191" s="64"/>
      <c r="O191" s="64"/>
      <c r="P191" s="64"/>
      <c r="Q191" s="64"/>
      <c r="T191" s="80"/>
    </row>
    <row r="192" spans="1:20">
      <c r="A192" s="141" t="s">
        <v>553</v>
      </c>
      <c r="B192" s="91"/>
      <c r="C192" s="328">
        <v>0</v>
      </c>
      <c r="D192" s="406">
        <f>+'Tariff Summary Lights'!F137</f>
        <v>12.79</v>
      </c>
      <c r="E192" s="91"/>
      <c r="F192" s="80">
        <f t="shared" si="31"/>
        <v>0</v>
      </c>
      <c r="G192" s="406">
        <f t="shared" ca="1" si="36"/>
        <v>16.25</v>
      </c>
      <c r="H192" s="80">
        <f t="shared" ca="1" si="29"/>
        <v>0</v>
      </c>
      <c r="I192" s="91"/>
      <c r="J192" s="64"/>
      <c r="K192" s="64"/>
      <c r="L192" s="81"/>
      <c r="M192" s="64"/>
      <c r="N192" s="64"/>
      <c r="O192" s="64"/>
      <c r="P192" s="64"/>
      <c r="Q192" s="64"/>
      <c r="T192" s="80"/>
    </row>
    <row r="193" spans="1:20">
      <c r="A193" s="141" t="s">
        <v>554</v>
      </c>
      <c r="B193" s="91"/>
      <c r="C193" s="328">
        <v>0</v>
      </c>
      <c r="D193" s="406">
        <f>+'Tariff Summary Lights'!F138</f>
        <v>12.969999999999999</v>
      </c>
      <c r="E193" s="91"/>
      <c r="F193" s="80">
        <f t="shared" si="31"/>
        <v>0</v>
      </c>
      <c r="G193" s="406">
        <f t="shared" ca="1" si="36"/>
        <v>16.25</v>
      </c>
      <c r="H193" s="80">
        <f t="shared" ca="1" si="29"/>
        <v>0</v>
      </c>
      <c r="I193" s="91"/>
      <c r="J193" s="64"/>
      <c r="K193" s="64"/>
      <c r="L193" s="81"/>
      <c r="M193" s="64"/>
      <c r="N193" s="64"/>
      <c r="O193" s="64"/>
      <c r="P193" s="64"/>
      <c r="Q193" s="64"/>
      <c r="T193" s="80"/>
    </row>
    <row r="194" spans="1:20">
      <c r="A194" s="141" t="s">
        <v>555</v>
      </c>
      <c r="B194" s="91"/>
      <c r="C194" s="328">
        <v>0</v>
      </c>
      <c r="D194" s="406">
        <f>+'Tariff Summary Lights'!F139</f>
        <v>14.020000000000001</v>
      </c>
      <c r="E194" s="91"/>
      <c r="F194" s="80">
        <f t="shared" si="31"/>
        <v>0</v>
      </c>
      <c r="G194" s="406">
        <f t="shared" ca="1" si="36"/>
        <v>16.25</v>
      </c>
      <c r="H194" s="80">
        <f t="shared" ca="1" si="29"/>
        <v>0</v>
      </c>
      <c r="I194" s="91"/>
      <c r="J194" s="64"/>
      <c r="K194" s="64"/>
      <c r="L194" s="81"/>
      <c r="M194" s="64"/>
      <c r="N194" s="64"/>
      <c r="O194" s="64"/>
      <c r="P194" s="64"/>
      <c r="Q194" s="64"/>
      <c r="T194" s="80"/>
    </row>
    <row r="195" spans="1:20">
      <c r="A195" s="141" t="s">
        <v>556</v>
      </c>
      <c r="B195" s="91"/>
      <c r="C195" s="328">
        <v>0</v>
      </c>
      <c r="D195" s="406">
        <f>+'Tariff Summary Lights'!F140</f>
        <v>14.200000000000001</v>
      </c>
      <c r="E195" s="91"/>
      <c r="F195" s="80">
        <f t="shared" si="31"/>
        <v>0</v>
      </c>
      <c r="G195" s="457">
        <f ca="1">ROUND('[7]JAP-22 Combined Charges'!$J$71,2)</f>
        <v>17.34</v>
      </c>
      <c r="H195" s="80">
        <f t="shared" ca="1" si="29"/>
        <v>0</v>
      </c>
      <c r="I195" s="91"/>
      <c r="J195" s="64"/>
      <c r="K195" s="64"/>
      <c r="L195" s="81"/>
      <c r="M195" s="64"/>
      <c r="N195" s="64"/>
      <c r="O195" s="64"/>
      <c r="P195" s="64"/>
      <c r="Q195" s="64"/>
      <c r="T195" s="80"/>
    </row>
    <row r="196" spans="1:20">
      <c r="A196" s="141" t="s">
        <v>557</v>
      </c>
      <c r="B196" s="91"/>
      <c r="C196" s="328">
        <v>2</v>
      </c>
      <c r="D196" s="406">
        <f>+'Tariff Summary Lights'!F141</f>
        <v>14.370000000000001</v>
      </c>
      <c r="E196" s="91"/>
      <c r="F196" s="80">
        <f t="shared" si="31"/>
        <v>345</v>
      </c>
      <c r="G196" s="406">
        <f ca="1">+G195</f>
        <v>17.34</v>
      </c>
      <c r="H196" s="80">
        <f t="shared" ca="1" si="29"/>
        <v>416</v>
      </c>
      <c r="I196" s="91"/>
      <c r="J196" s="64"/>
      <c r="K196" s="64"/>
      <c r="L196" s="81"/>
      <c r="M196" s="64"/>
      <c r="N196" s="64"/>
      <c r="O196" s="64"/>
      <c r="P196" s="64"/>
      <c r="Q196" s="64"/>
      <c r="T196" s="80"/>
    </row>
    <row r="197" spans="1:20">
      <c r="A197" s="141" t="s">
        <v>558</v>
      </c>
      <c r="B197" s="91"/>
      <c r="C197" s="328">
        <v>27</v>
      </c>
      <c r="D197" s="406">
        <f>+'Tariff Summary Lights'!F142</f>
        <v>14.55</v>
      </c>
      <c r="E197" s="91"/>
      <c r="F197" s="80">
        <f t="shared" si="31"/>
        <v>4714</v>
      </c>
      <c r="G197" s="406">
        <f t="shared" ref="G197:G200" ca="1" si="37">+G196</f>
        <v>17.34</v>
      </c>
      <c r="H197" s="80">
        <f t="shared" ca="1" si="29"/>
        <v>5618</v>
      </c>
      <c r="I197" s="91"/>
      <c r="J197" s="64"/>
      <c r="K197" s="64"/>
      <c r="L197" s="81"/>
      <c r="M197" s="64"/>
      <c r="N197" s="64"/>
      <c r="O197" s="64"/>
      <c r="P197" s="64"/>
      <c r="Q197" s="64"/>
      <c r="T197" s="80"/>
    </row>
    <row r="198" spans="1:20">
      <c r="A198" s="141" t="s">
        <v>559</v>
      </c>
      <c r="B198" s="91"/>
      <c r="C198" s="328">
        <v>62</v>
      </c>
      <c r="D198" s="406">
        <f>+'Tariff Summary Lights'!F143</f>
        <v>14.729999999999999</v>
      </c>
      <c r="E198" s="91"/>
      <c r="F198" s="80">
        <f t="shared" si="31"/>
        <v>10959</v>
      </c>
      <c r="G198" s="406">
        <f t="shared" ca="1" si="37"/>
        <v>17.34</v>
      </c>
      <c r="H198" s="80">
        <f t="shared" ca="1" si="29"/>
        <v>12901</v>
      </c>
      <c r="I198" s="91"/>
      <c r="J198" s="64"/>
      <c r="K198" s="64"/>
      <c r="L198" s="81"/>
      <c r="M198" s="64"/>
      <c r="N198" s="64"/>
      <c r="O198" s="64"/>
      <c r="P198" s="64"/>
      <c r="Q198" s="64"/>
      <c r="T198" s="80"/>
    </row>
    <row r="199" spans="1:20">
      <c r="A199" s="141" t="s">
        <v>560</v>
      </c>
      <c r="B199" s="91"/>
      <c r="C199" s="328">
        <v>122</v>
      </c>
      <c r="D199" s="406">
        <f>+'Tariff Summary Lights'!F144</f>
        <v>14.909999999999998</v>
      </c>
      <c r="E199" s="91"/>
      <c r="F199" s="80">
        <f t="shared" si="31"/>
        <v>21828</v>
      </c>
      <c r="G199" s="406">
        <f t="shared" ca="1" si="37"/>
        <v>17.34</v>
      </c>
      <c r="H199" s="80">
        <f t="shared" ca="1" si="29"/>
        <v>25386</v>
      </c>
      <c r="I199" s="91"/>
      <c r="J199" s="64"/>
      <c r="K199" s="64"/>
      <c r="L199" s="81"/>
      <c r="M199" s="64"/>
      <c r="N199" s="64"/>
      <c r="O199" s="64"/>
      <c r="P199" s="64"/>
      <c r="Q199" s="64"/>
      <c r="T199" s="80"/>
    </row>
    <row r="200" spans="1:20">
      <c r="A200" s="141" t="s">
        <v>561</v>
      </c>
      <c r="B200" s="91"/>
      <c r="C200" s="328">
        <v>0</v>
      </c>
      <c r="D200" s="406">
        <f>+'Tariff Summary Lights'!F145</f>
        <v>15.08</v>
      </c>
      <c r="E200" s="91"/>
      <c r="F200" s="80">
        <f t="shared" si="31"/>
        <v>0</v>
      </c>
      <c r="G200" s="406">
        <f t="shared" ca="1" si="37"/>
        <v>17.34</v>
      </c>
      <c r="H200" s="80">
        <f t="shared" ca="1" si="29"/>
        <v>0</v>
      </c>
      <c r="I200" s="91"/>
      <c r="J200" s="64"/>
      <c r="K200" s="64"/>
      <c r="L200" s="81"/>
      <c r="M200" s="64"/>
      <c r="N200" s="64"/>
      <c r="O200" s="64"/>
      <c r="P200" s="64"/>
      <c r="Q200" s="64"/>
      <c r="T200" s="80"/>
    </row>
    <row r="201" spans="1:20">
      <c r="A201" s="141" t="s">
        <v>562</v>
      </c>
      <c r="B201" s="91"/>
      <c r="C201" s="328">
        <v>0</v>
      </c>
      <c r="D201" s="406">
        <f>+'Tariff Summary Lights'!F146</f>
        <v>15.26</v>
      </c>
      <c r="E201" s="91"/>
      <c r="F201" s="80">
        <f t="shared" si="31"/>
        <v>0</v>
      </c>
      <c r="G201" s="457">
        <f ca="1">ROUND('[7]JAP-22 Combined Charges'!$J$72,2)</f>
        <v>18.440000000000001</v>
      </c>
      <c r="H201" s="80">
        <f t="shared" ca="1" si="29"/>
        <v>0</v>
      </c>
      <c r="I201" s="91"/>
      <c r="J201" s="64"/>
      <c r="K201" s="64"/>
      <c r="L201" s="81"/>
      <c r="M201" s="64"/>
      <c r="N201" s="64"/>
      <c r="O201" s="64"/>
      <c r="P201" s="64"/>
      <c r="Q201" s="64"/>
      <c r="T201" s="80"/>
    </row>
    <row r="202" spans="1:20">
      <c r="A202" s="141" t="s">
        <v>563</v>
      </c>
      <c r="B202" s="91"/>
      <c r="C202" s="328">
        <v>0</v>
      </c>
      <c r="D202" s="406">
        <f>+'Tariff Summary Lights'!F147</f>
        <v>15.43</v>
      </c>
      <c r="E202" s="91"/>
      <c r="F202" s="80">
        <f t="shared" si="31"/>
        <v>0</v>
      </c>
      <c r="G202" s="406">
        <f ca="1">+G201</f>
        <v>18.440000000000001</v>
      </c>
      <c r="H202" s="80">
        <f t="shared" ca="1" si="29"/>
        <v>0</v>
      </c>
      <c r="I202" s="91"/>
      <c r="J202" s="64"/>
      <c r="K202" s="64"/>
      <c r="L202" s="81"/>
      <c r="M202" s="64"/>
      <c r="N202" s="64"/>
      <c r="O202" s="64"/>
      <c r="P202" s="64"/>
      <c r="Q202" s="64"/>
      <c r="T202" s="80"/>
    </row>
    <row r="203" spans="1:20">
      <c r="A203" s="141" t="s">
        <v>564</v>
      </c>
      <c r="B203" s="91"/>
      <c r="C203" s="328">
        <v>0</v>
      </c>
      <c r="D203" s="406">
        <f>+'Tariff Summary Lights'!F148</f>
        <v>15.6</v>
      </c>
      <c r="E203" s="91"/>
      <c r="F203" s="80">
        <f t="shared" si="31"/>
        <v>0</v>
      </c>
      <c r="G203" s="406">
        <f t="shared" ref="G203:G206" ca="1" si="38">+G202</f>
        <v>18.440000000000001</v>
      </c>
      <c r="H203" s="80">
        <f t="shared" ca="1" si="29"/>
        <v>0</v>
      </c>
      <c r="I203" s="91"/>
      <c r="J203" s="64"/>
      <c r="K203" s="64"/>
      <c r="L203" s="81"/>
      <c r="M203" s="64"/>
      <c r="N203" s="64"/>
      <c r="O203" s="64"/>
      <c r="P203" s="64"/>
      <c r="Q203" s="64"/>
      <c r="T203" s="80"/>
    </row>
    <row r="204" spans="1:20">
      <c r="A204" s="141" t="s">
        <v>565</v>
      </c>
      <c r="B204" s="91"/>
      <c r="C204" s="328">
        <v>0</v>
      </c>
      <c r="D204" s="406">
        <f>+'Tariff Summary Lights'!F149</f>
        <v>15.860000000000001</v>
      </c>
      <c r="E204" s="91"/>
      <c r="F204" s="80">
        <f t="shared" si="31"/>
        <v>0</v>
      </c>
      <c r="G204" s="406">
        <f t="shared" ca="1" si="38"/>
        <v>18.440000000000001</v>
      </c>
      <c r="H204" s="80">
        <f t="shared" ca="1" si="29"/>
        <v>0</v>
      </c>
      <c r="I204" s="91"/>
      <c r="J204" s="64"/>
      <c r="K204" s="64"/>
      <c r="L204" s="81"/>
      <c r="M204" s="64"/>
      <c r="N204" s="64"/>
      <c r="O204" s="64"/>
      <c r="P204" s="64"/>
      <c r="Q204" s="64"/>
      <c r="T204" s="80"/>
    </row>
    <row r="205" spans="1:20">
      <c r="A205" s="141" t="s">
        <v>566</v>
      </c>
      <c r="B205" s="91"/>
      <c r="C205" s="328">
        <v>0</v>
      </c>
      <c r="D205" s="406">
        <f>+'Tariff Summary Lights'!F150</f>
        <v>16.04</v>
      </c>
      <c r="E205" s="91"/>
      <c r="F205" s="80">
        <f t="shared" si="31"/>
        <v>0</v>
      </c>
      <c r="G205" s="406">
        <f t="shared" ca="1" si="38"/>
        <v>18.440000000000001</v>
      </c>
      <c r="H205" s="80">
        <f t="shared" ca="1" si="29"/>
        <v>0</v>
      </c>
      <c r="I205" s="91"/>
      <c r="J205" s="64"/>
      <c r="K205" s="64"/>
      <c r="L205" s="81"/>
      <c r="M205" s="64"/>
      <c r="N205" s="64"/>
      <c r="O205" s="64"/>
      <c r="P205" s="64"/>
      <c r="Q205" s="64"/>
      <c r="T205" s="80"/>
    </row>
    <row r="206" spans="1:20">
      <c r="A206" s="141" t="s">
        <v>567</v>
      </c>
      <c r="B206" s="91"/>
      <c r="C206" s="328">
        <v>0</v>
      </c>
      <c r="D206" s="406">
        <f>+'Tariff Summary Lights'!F151</f>
        <v>16.22</v>
      </c>
      <c r="E206" s="91"/>
      <c r="F206" s="80">
        <f t="shared" si="31"/>
        <v>0</v>
      </c>
      <c r="G206" s="406">
        <f t="shared" ca="1" si="38"/>
        <v>18.440000000000001</v>
      </c>
      <c r="H206" s="80">
        <f t="shared" ca="1" si="29"/>
        <v>0</v>
      </c>
      <c r="I206" s="91"/>
      <c r="J206" s="64"/>
      <c r="K206" s="64"/>
      <c r="L206" s="81"/>
      <c r="M206" s="64"/>
      <c r="N206" s="64"/>
      <c r="O206" s="64"/>
      <c r="P206" s="64"/>
      <c r="Q206" s="64"/>
      <c r="T206" s="80"/>
    </row>
    <row r="207" spans="1:20">
      <c r="A207" s="141" t="s">
        <v>568</v>
      </c>
      <c r="B207" s="91"/>
      <c r="C207" s="328">
        <v>0</v>
      </c>
      <c r="D207" s="406">
        <f>+'Tariff Summary Lights'!F152</f>
        <v>16.389999999999997</v>
      </c>
      <c r="E207" s="91"/>
      <c r="F207" s="80">
        <f t="shared" si="31"/>
        <v>0</v>
      </c>
      <c r="G207" s="457">
        <f ca="1">ROUND('[7]JAP-22 Combined Charges'!$J$73,2)</f>
        <v>19.54</v>
      </c>
      <c r="H207" s="80">
        <f t="shared" ca="1" si="29"/>
        <v>0</v>
      </c>
      <c r="I207" s="91"/>
      <c r="J207" s="64"/>
      <c r="K207" s="64"/>
      <c r="L207" s="81"/>
      <c r="M207" s="64"/>
      <c r="N207" s="64"/>
      <c r="O207" s="64"/>
      <c r="P207" s="64"/>
      <c r="Q207" s="64"/>
      <c r="T207" s="80"/>
    </row>
    <row r="208" spans="1:20">
      <c r="A208" s="141" t="s">
        <v>569</v>
      </c>
      <c r="B208" s="91"/>
      <c r="C208" s="328">
        <v>0</v>
      </c>
      <c r="D208" s="406">
        <f>+'Tariff Summary Lights'!F153</f>
        <v>16.559999999999999</v>
      </c>
      <c r="E208" s="91"/>
      <c r="F208" s="80">
        <f t="shared" si="31"/>
        <v>0</v>
      </c>
      <c r="G208" s="406">
        <f ca="1">+G207</f>
        <v>19.54</v>
      </c>
      <c r="H208" s="80">
        <f t="shared" ca="1" si="29"/>
        <v>0</v>
      </c>
      <c r="I208" s="91"/>
      <c r="J208" s="64"/>
      <c r="K208" s="64"/>
      <c r="L208" s="81"/>
      <c r="M208" s="64"/>
      <c r="N208" s="64"/>
      <c r="O208" s="64"/>
      <c r="P208" s="64"/>
      <c r="Q208" s="64"/>
      <c r="T208" s="80"/>
    </row>
    <row r="209" spans="1:20">
      <c r="A209" s="141" t="s">
        <v>570</v>
      </c>
      <c r="B209" s="91"/>
      <c r="C209" s="328">
        <v>0</v>
      </c>
      <c r="D209" s="406">
        <f>+'Tariff Summary Lights'!F154</f>
        <v>16.740000000000002</v>
      </c>
      <c r="E209" s="91"/>
      <c r="F209" s="80">
        <f t="shared" si="31"/>
        <v>0</v>
      </c>
      <c r="G209" s="406">
        <f t="shared" ref="G209:G212" ca="1" si="39">+G208</f>
        <v>19.54</v>
      </c>
      <c r="H209" s="80">
        <f t="shared" ca="1" si="29"/>
        <v>0</v>
      </c>
      <c r="I209" s="91"/>
      <c r="J209" s="64"/>
      <c r="K209" s="64"/>
      <c r="L209" s="81"/>
      <c r="M209" s="64"/>
      <c r="N209" s="64"/>
      <c r="O209" s="64"/>
      <c r="P209" s="64"/>
      <c r="Q209" s="64"/>
      <c r="T209" s="80"/>
    </row>
    <row r="210" spans="1:20">
      <c r="A210" s="141" t="s">
        <v>571</v>
      </c>
      <c r="B210" s="91"/>
      <c r="C210" s="328">
        <v>25</v>
      </c>
      <c r="D210" s="406">
        <f>+'Tariff Summary Lights'!F155</f>
        <v>16.91</v>
      </c>
      <c r="E210" s="91"/>
      <c r="F210" s="80">
        <f t="shared" si="31"/>
        <v>5073</v>
      </c>
      <c r="G210" s="406">
        <f t="shared" ca="1" si="39"/>
        <v>19.54</v>
      </c>
      <c r="H210" s="80">
        <f t="shared" ca="1" si="29"/>
        <v>5862</v>
      </c>
      <c r="I210" s="91"/>
      <c r="J210" s="64"/>
      <c r="K210" s="64"/>
      <c r="L210" s="81"/>
      <c r="M210" s="64"/>
      <c r="N210" s="64"/>
      <c r="O210" s="64"/>
      <c r="P210" s="64"/>
      <c r="Q210" s="64"/>
      <c r="T210" s="80"/>
    </row>
    <row r="211" spans="1:20">
      <c r="A211" s="141" t="s">
        <v>572</v>
      </c>
      <c r="B211" s="91"/>
      <c r="C211" s="328">
        <v>0</v>
      </c>
      <c r="D211" s="406">
        <f>+'Tariff Summary Lights'!F156</f>
        <v>17.09</v>
      </c>
      <c r="E211" s="91"/>
      <c r="F211" s="80">
        <f t="shared" si="31"/>
        <v>0</v>
      </c>
      <c r="G211" s="406">
        <f t="shared" ca="1" si="39"/>
        <v>19.54</v>
      </c>
      <c r="H211" s="80">
        <f t="shared" ca="1" si="29"/>
        <v>0</v>
      </c>
      <c r="I211" s="91"/>
      <c r="J211" s="64"/>
      <c r="K211" s="64"/>
      <c r="L211" s="81"/>
      <c r="M211" s="64"/>
      <c r="N211" s="64"/>
      <c r="O211" s="64"/>
      <c r="P211" s="64"/>
      <c r="Q211" s="64"/>
      <c r="T211" s="80"/>
    </row>
    <row r="212" spans="1:20">
      <c r="A212" s="141" t="s">
        <v>573</v>
      </c>
      <c r="B212" s="91"/>
      <c r="C212" s="328">
        <v>0</v>
      </c>
      <c r="D212" s="406">
        <f>+'Tariff Summary Lights'!F157</f>
        <v>17.27</v>
      </c>
      <c r="E212" s="91"/>
      <c r="F212" s="80">
        <f t="shared" si="31"/>
        <v>0</v>
      </c>
      <c r="G212" s="406">
        <f t="shared" ca="1" si="39"/>
        <v>19.54</v>
      </c>
      <c r="H212" s="80">
        <f t="shared" ca="1" si="29"/>
        <v>0</v>
      </c>
      <c r="I212" s="91"/>
      <c r="J212" s="64"/>
      <c r="K212" s="64"/>
      <c r="L212" s="81"/>
      <c r="M212" s="64"/>
      <c r="N212" s="64"/>
      <c r="O212" s="64"/>
      <c r="P212" s="64"/>
      <c r="Q212" s="64"/>
      <c r="T212" s="80"/>
    </row>
    <row r="213" spans="1:20">
      <c r="A213" s="141" t="s">
        <v>574</v>
      </c>
      <c r="B213" s="91"/>
      <c r="C213" s="328">
        <v>0</v>
      </c>
      <c r="D213" s="406">
        <f>+'Tariff Summary Lights'!F158</f>
        <v>17.45</v>
      </c>
      <c r="E213" s="91"/>
      <c r="F213" s="80">
        <f t="shared" si="31"/>
        <v>0</v>
      </c>
      <c r="G213" s="457">
        <f ca="1">ROUND('[7]JAP-22 Combined Charges'!$J$74,2)</f>
        <v>20.63</v>
      </c>
      <c r="H213" s="80">
        <f t="shared" ref="H213:H218" ca="1" si="40">ROUND(G213*$C213*12,0)</f>
        <v>0</v>
      </c>
      <c r="I213" s="91"/>
      <c r="J213" s="64"/>
      <c r="K213" s="64"/>
      <c r="L213" s="81"/>
      <c r="M213" s="64"/>
      <c r="N213" s="64"/>
      <c r="O213" s="64"/>
      <c r="P213" s="64"/>
      <c r="Q213" s="64"/>
      <c r="T213" s="80"/>
    </row>
    <row r="214" spans="1:20">
      <c r="A214" s="141" t="s">
        <v>575</v>
      </c>
      <c r="B214" s="91"/>
      <c r="C214" s="328">
        <v>0</v>
      </c>
      <c r="D214" s="406">
        <f>+'Tariff Summary Lights'!F159</f>
        <v>17.62</v>
      </c>
      <c r="E214" s="91"/>
      <c r="F214" s="80">
        <f t="shared" si="31"/>
        <v>0</v>
      </c>
      <c r="G214" s="406">
        <f ca="1">+G213</f>
        <v>20.63</v>
      </c>
      <c r="H214" s="80">
        <f t="shared" ca="1" si="40"/>
        <v>0</v>
      </c>
      <c r="I214" s="91"/>
      <c r="J214" s="64"/>
      <c r="K214" s="64"/>
      <c r="L214" s="81"/>
      <c r="M214" s="64"/>
      <c r="N214" s="64"/>
      <c r="O214" s="64"/>
      <c r="P214" s="64"/>
      <c r="Q214" s="64"/>
      <c r="T214" s="80"/>
    </row>
    <row r="215" spans="1:20">
      <c r="A215" s="141" t="s">
        <v>576</v>
      </c>
      <c r="B215" s="91"/>
      <c r="C215" s="328">
        <v>11</v>
      </c>
      <c r="D215" s="406">
        <f>+'Tariff Summary Lights'!F160</f>
        <v>18.22</v>
      </c>
      <c r="E215" s="91"/>
      <c r="F215" s="80">
        <f t="shared" si="31"/>
        <v>2405</v>
      </c>
      <c r="G215" s="406">
        <f t="shared" ref="G215:G218" ca="1" si="41">+G214</f>
        <v>20.63</v>
      </c>
      <c r="H215" s="80">
        <f t="shared" ca="1" si="40"/>
        <v>2723</v>
      </c>
      <c r="I215" s="91"/>
      <c r="J215" s="64"/>
      <c r="K215" s="64"/>
      <c r="L215" s="81"/>
      <c r="M215" s="64"/>
      <c r="N215" s="64"/>
      <c r="O215" s="64"/>
      <c r="P215" s="64"/>
      <c r="Q215" s="64"/>
      <c r="T215" s="80"/>
    </row>
    <row r="216" spans="1:20">
      <c r="A216" s="141" t="s">
        <v>577</v>
      </c>
      <c r="B216" s="91"/>
      <c r="C216" s="328">
        <v>0</v>
      </c>
      <c r="D216" s="406">
        <f>+'Tariff Summary Lights'!F161</f>
        <v>18.399999999999999</v>
      </c>
      <c r="E216" s="91"/>
      <c r="F216" s="80">
        <f t="shared" si="31"/>
        <v>0</v>
      </c>
      <c r="G216" s="406">
        <f t="shared" ca="1" si="41"/>
        <v>20.63</v>
      </c>
      <c r="H216" s="80">
        <f t="shared" ca="1" si="40"/>
        <v>0</v>
      </c>
      <c r="I216" s="91"/>
      <c r="J216" s="64"/>
      <c r="K216" s="64"/>
      <c r="L216" s="81"/>
      <c r="M216" s="64"/>
      <c r="N216" s="64"/>
      <c r="O216" s="64"/>
      <c r="P216" s="64"/>
      <c r="Q216" s="64"/>
      <c r="T216" s="80"/>
    </row>
    <row r="217" spans="1:20">
      <c r="A217" s="141" t="s">
        <v>578</v>
      </c>
      <c r="B217" s="91"/>
      <c r="C217" s="328">
        <v>63</v>
      </c>
      <c r="D217" s="406">
        <f>+'Tariff Summary Lights'!F162</f>
        <v>18.57</v>
      </c>
      <c r="E217" s="91"/>
      <c r="F217" s="80">
        <f t="shared" si="31"/>
        <v>14039</v>
      </c>
      <c r="G217" s="406">
        <f t="shared" ca="1" si="41"/>
        <v>20.63</v>
      </c>
      <c r="H217" s="80">
        <f t="shared" ca="1" si="40"/>
        <v>15596</v>
      </c>
      <c r="I217" s="91"/>
      <c r="J217" s="64"/>
      <c r="K217" s="64"/>
      <c r="L217" s="81"/>
      <c r="M217" s="64"/>
      <c r="N217" s="64"/>
      <c r="O217" s="64"/>
      <c r="P217" s="64"/>
      <c r="Q217" s="64"/>
      <c r="T217" s="80"/>
    </row>
    <row r="218" spans="1:20">
      <c r="A218" s="141" t="s">
        <v>579</v>
      </c>
      <c r="B218" s="91"/>
      <c r="C218" s="328">
        <v>0</v>
      </c>
      <c r="D218" s="406">
        <f>+'Tariff Summary Lights'!F163</f>
        <v>18.75</v>
      </c>
      <c r="E218" s="91"/>
      <c r="F218" s="80">
        <f t="shared" si="31"/>
        <v>0</v>
      </c>
      <c r="G218" s="406">
        <f t="shared" ca="1" si="41"/>
        <v>20.63</v>
      </c>
      <c r="H218" s="80">
        <f t="shared" ca="1" si="40"/>
        <v>0</v>
      </c>
      <c r="I218" s="91"/>
      <c r="J218" s="64"/>
      <c r="K218" s="64"/>
      <c r="L218" s="81"/>
      <c r="M218" s="64"/>
      <c r="N218" s="64"/>
      <c r="O218" s="64"/>
      <c r="P218" s="64"/>
      <c r="Q218" s="64"/>
      <c r="T218" s="80"/>
    </row>
    <row r="219" spans="1:20">
      <c r="A219" s="141"/>
      <c r="B219" s="91"/>
      <c r="C219" s="328"/>
      <c r="D219" s="406"/>
      <c r="E219" s="91"/>
      <c r="F219" s="91"/>
      <c r="G219" s="406"/>
      <c r="H219" s="91"/>
      <c r="I219" s="91"/>
      <c r="J219" s="64"/>
      <c r="K219" s="64"/>
      <c r="L219" s="81"/>
      <c r="M219" s="64"/>
      <c r="N219" s="64"/>
      <c r="O219" s="64"/>
      <c r="P219" s="64"/>
      <c r="Q219" s="64"/>
      <c r="T219" s="80"/>
    </row>
    <row r="220" spans="1:20">
      <c r="A220" s="141" t="s">
        <v>580</v>
      </c>
      <c r="B220" s="91"/>
      <c r="C220" s="328">
        <v>5</v>
      </c>
      <c r="D220" s="406">
        <f>+'Tariff Summary Lights'!F165</f>
        <v>4.1000000000000005</v>
      </c>
      <c r="E220" s="91"/>
      <c r="F220" s="80">
        <f t="shared" ref="F220:F228" si="42">IF(D220="n/a",0,ROUND(C220*D220*12,0))</f>
        <v>246</v>
      </c>
      <c r="G220" s="457">
        <f ca="1">ROUND('[7]JAP-22 Combined Charges'!J76,2)</f>
        <v>3.64</v>
      </c>
      <c r="H220" s="80">
        <f t="shared" ref="H220:H228" ca="1" si="43">ROUND(G220*$C220*12,0)</f>
        <v>218</v>
      </c>
      <c r="I220" s="91"/>
      <c r="J220" s="64"/>
      <c r="K220" s="64"/>
      <c r="L220" s="81"/>
      <c r="M220" s="64"/>
      <c r="N220" s="64"/>
      <c r="O220" s="64"/>
      <c r="P220" s="64"/>
      <c r="Q220" s="64"/>
      <c r="T220" s="80"/>
    </row>
    <row r="221" spans="1:20">
      <c r="A221" s="141" t="s">
        <v>581</v>
      </c>
      <c r="B221" s="91"/>
      <c r="C221" s="328">
        <v>91</v>
      </c>
      <c r="D221" s="406">
        <f>+'Tariff Summary Lights'!F166</f>
        <v>5.1099999999999994</v>
      </c>
      <c r="E221" s="91"/>
      <c r="F221" s="80">
        <f t="shared" si="42"/>
        <v>5580</v>
      </c>
      <c r="G221" s="457">
        <f ca="1">ROUND('[7]JAP-22 Combined Charges'!J77,2)</f>
        <v>4.26</v>
      </c>
      <c r="H221" s="80">
        <f t="shared" ca="1" si="43"/>
        <v>4652</v>
      </c>
      <c r="I221" s="91"/>
      <c r="J221" s="64"/>
      <c r="K221" s="64"/>
      <c r="L221" s="81"/>
      <c r="M221" s="64"/>
      <c r="N221" s="64"/>
      <c r="O221" s="64"/>
      <c r="P221" s="64"/>
      <c r="Q221" s="64"/>
      <c r="T221" s="80"/>
    </row>
    <row r="222" spans="1:20">
      <c r="A222" s="141" t="s">
        <v>582</v>
      </c>
      <c r="B222" s="91"/>
      <c r="C222" s="328">
        <v>409</v>
      </c>
      <c r="D222" s="406">
        <f>+'Tariff Summary Lights'!F167</f>
        <v>6.28</v>
      </c>
      <c r="E222" s="91"/>
      <c r="F222" s="80">
        <f t="shared" si="42"/>
        <v>30822</v>
      </c>
      <c r="G222" s="457">
        <f ca="1">ROUND('[7]JAP-22 Combined Charges'!J78,2)</f>
        <v>5.19</v>
      </c>
      <c r="H222" s="80">
        <f t="shared" ca="1" si="43"/>
        <v>25473</v>
      </c>
      <c r="I222" s="91"/>
      <c r="J222" s="64"/>
      <c r="K222" s="64"/>
      <c r="L222" s="81"/>
      <c r="M222" s="64"/>
      <c r="N222" s="64"/>
      <c r="O222" s="64"/>
      <c r="P222" s="64"/>
      <c r="Q222" s="64"/>
      <c r="T222" s="80"/>
    </row>
    <row r="223" spans="1:20">
      <c r="A223" s="141" t="s">
        <v>583</v>
      </c>
      <c r="B223" s="91"/>
      <c r="C223" s="328">
        <v>259</v>
      </c>
      <c r="D223" s="406">
        <f>+'Tariff Summary Lights'!F168</f>
        <v>8.2100000000000009</v>
      </c>
      <c r="E223" s="91"/>
      <c r="F223" s="80">
        <f t="shared" si="42"/>
        <v>25517</v>
      </c>
      <c r="G223" s="457">
        <f ca="1">ROUND('[7]JAP-22 Combined Charges'!J79,2)</f>
        <v>6.73</v>
      </c>
      <c r="H223" s="80">
        <f t="shared" ca="1" si="43"/>
        <v>20917</v>
      </c>
      <c r="I223" s="91"/>
      <c r="J223" s="64"/>
      <c r="K223" s="64"/>
      <c r="L223" s="81"/>
      <c r="M223" s="64"/>
      <c r="N223" s="64"/>
      <c r="O223" s="64"/>
      <c r="P223" s="64"/>
      <c r="Q223" s="64"/>
      <c r="T223" s="80"/>
    </row>
    <row r="224" spans="1:20">
      <c r="A224" s="141" t="s">
        <v>584</v>
      </c>
      <c r="B224" s="91"/>
      <c r="C224" s="328">
        <v>817</v>
      </c>
      <c r="D224" s="406">
        <f>+'Tariff Summary Lights'!F169</f>
        <v>10.14</v>
      </c>
      <c r="E224" s="91"/>
      <c r="F224" s="80">
        <f t="shared" si="42"/>
        <v>99413</v>
      </c>
      <c r="G224" s="457">
        <f ca="1">ROUND('[7]JAP-22 Combined Charges'!J80,2)</f>
        <v>8.27</v>
      </c>
      <c r="H224" s="80">
        <f t="shared" ca="1" si="43"/>
        <v>81079</v>
      </c>
      <c r="I224" s="91"/>
      <c r="J224" s="64"/>
      <c r="K224" s="64"/>
      <c r="L224" s="81"/>
      <c r="M224" s="64"/>
      <c r="N224" s="64"/>
      <c r="O224" s="64"/>
      <c r="P224" s="64"/>
      <c r="Q224" s="64"/>
      <c r="T224" s="80"/>
    </row>
    <row r="225" spans="1:20">
      <c r="A225" s="141" t="s">
        <v>585</v>
      </c>
      <c r="B225" s="91"/>
      <c r="C225" s="328">
        <v>570</v>
      </c>
      <c r="D225" s="406">
        <f>+'Tariff Summary Lights'!F170</f>
        <v>12.139999999999999</v>
      </c>
      <c r="E225" s="91"/>
      <c r="F225" s="80">
        <f t="shared" si="42"/>
        <v>83038</v>
      </c>
      <c r="G225" s="457">
        <f ca="1">ROUND('[7]JAP-22 Combined Charges'!J81,2)</f>
        <v>9.82</v>
      </c>
      <c r="H225" s="80">
        <f t="shared" ca="1" si="43"/>
        <v>67169</v>
      </c>
      <c r="I225" s="91"/>
      <c r="J225" s="64"/>
      <c r="K225" s="64"/>
      <c r="L225" s="81"/>
      <c r="M225" s="64"/>
      <c r="N225" s="64"/>
      <c r="O225" s="64"/>
      <c r="P225" s="64"/>
      <c r="Q225" s="64"/>
      <c r="T225" s="80"/>
    </row>
    <row r="226" spans="1:20">
      <c r="A226" s="141" t="s">
        <v>586</v>
      </c>
      <c r="B226" s="91"/>
      <c r="C226" s="328">
        <v>19</v>
      </c>
      <c r="D226" s="406">
        <f>+'Tariff Summary Lights'!F171</f>
        <v>14.629999999999999</v>
      </c>
      <c r="E226" s="91"/>
      <c r="F226" s="80">
        <f t="shared" si="42"/>
        <v>3336</v>
      </c>
      <c r="G226" s="457">
        <f ca="1">ROUND('[7]JAP-22 Combined Charges'!J82,2)</f>
        <v>11.67</v>
      </c>
      <c r="H226" s="80">
        <f t="shared" ca="1" si="43"/>
        <v>2661</v>
      </c>
      <c r="I226" s="91"/>
      <c r="J226" s="64"/>
      <c r="K226" s="64"/>
      <c r="L226" s="81"/>
      <c r="M226" s="64"/>
      <c r="N226" s="64"/>
      <c r="O226" s="64"/>
      <c r="P226" s="64"/>
      <c r="Q226" s="64"/>
      <c r="T226" s="80"/>
    </row>
    <row r="227" spans="1:20">
      <c r="A227" s="141" t="s">
        <v>587</v>
      </c>
      <c r="B227" s="91"/>
      <c r="C227" s="328">
        <v>964</v>
      </c>
      <c r="D227" s="406">
        <f>+'Tariff Summary Lights'!F172</f>
        <v>17.689999999999998</v>
      </c>
      <c r="E227" s="91"/>
      <c r="F227" s="80">
        <f t="shared" si="42"/>
        <v>204638</v>
      </c>
      <c r="G227" s="457">
        <f ca="1">ROUND('[7]JAP-22 Combined Charges'!J83,2)</f>
        <v>14.45</v>
      </c>
      <c r="H227" s="80">
        <f t="shared" ca="1" si="43"/>
        <v>167158</v>
      </c>
      <c r="I227" s="91"/>
      <c r="J227" s="64"/>
      <c r="K227" s="64"/>
      <c r="L227" s="81"/>
      <c r="M227" s="64"/>
      <c r="N227" s="64"/>
      <c r="O227" s="64"/>
      <c r="P227" s="64"/>
      <c r="Q227" s="64"/>
      <c r="T227" s="80"/>
    </row>
    <row r="228" spans="1:20">
      <c r="A228" s="141" t="s">
        <v>588</v>
      </c>
      <c r="B228" s="91"/>
      <c r="C228" s="328">
        <v>0</v>
      </c>
      <c r="D228" s="406">
        <f>+'Tariff Summary Lights'!F173</f>
        <v>42.79</v>
      </c>
      <c r="E228" s="91"/>
      <c r="F228" s="80">
        <f t="shared" si="42"/>
        <v>0</v>
      </c>
      <c r="G228" s="457">
        <f ca="1">ROUND('[7]JAP-22 Combined Charges'!J84,2)</f>
        <v>32.97</v>
      </c>
      <c r="H228" s="80">
        <f t="shared" ca="1" si="43"/>
        <v>0</v>
      </c>
      <c r="I228" s="91"/>
      <c r="J228" s="64"/>
      <c r="K228" s="64"/>
      <c r="L228" s="81"/>
      <c r="M228" s="64"/>
      <c r="N228" s="64"/>
      <c r="O228" s="64"/>
      <c r="P228" s="64"/>
      <c r="Q228" s="64"/>
      <c r="T228" s="80"/>
    </row>
    <row r="229" spans="1:20">
      <c r="A229" s="141"/>
      <c r="B229" s="91"/>
      <c r="C229" s="328"/>
      <c r="D229" s="406"/>
      <c r="E229" s="91"/>
      <c r="F229" s="91"/>
      <c r="G229" s="406"/>
      <c r="H229" s="91"/>
      <c r="I229" s="91"/>
      <c r="J229" s="64"/>
      <c r="K229" s="64"/>
      <c r="L229" s="81"/>
      <c r="M229" s="64"/>
      <c r="N229" s="64"/>
      <c r="O229" s="64"/>
      <c r="P229" s="64"/>
      <c r="Q229" s="64"/>
      <c r="T229" s="80"/>
    </row>
    <row r="230" spans="1:20">
      <c r="A230" s="141" t="s">
        <v>589</v>
      </c>
      <c r="B230" s="91"/>
      <c r="C230" s="328">
        <v>0</v>
      </c>
      <c r="D230" s="406">
        <f>+'Tariff Summary Lights'!F175</f>
        <v>9.1100000000000012</v>
      </c>
      <c r="E230" s="91"/>
      <c r="F230" s="80">
        <f t="shared" ref="F230:F235" si="44">IF(D230="n/a",0,ROUND(C230*D230*12,0))</f>
        <v>0</v>
      </c>
      <c r="G230" s="457">
        <f ca="1">ROUND('[7]JAP-22 Combined Charges'!J86,2)</f>
        <v>6.36</v>
      </c>
      <c r="H230" s="80">
        <f t="shared" ref="H230:H235" ca="1" si="45">ROUND(G230*$C230*12,0)</f>
        <v>0</v>
      </c>
      <c r="I230" s="91"/>
      <c r="J230" s="64"/>
      <c r="K230" s="64"/>
      <c r="L230" s="81"/>
      <c r="M230" s="64"/>
      <c r="N230" s="64"/>
      <c r="O230" s="64"/>
      <c r="P230" s="64"/>
      <c r="Q230" s="64"/>
      <c r="T230" s="80"/>
    </row>
    <row r="231" spans="1:20">
      <c r="A231" s="141" t="s">
        <v>590</v>
      </c>
      <c r="B231" s="91"/>
      <c r="C231" s="328">
        <v>0</v>
      </c>
      <c r="D231" s="406">
        <f>+'Tariff Summary Lights'!F176</f>
        <v>9.9799999999999986</v>
      </c>
      <c r="E231" s="91"/>
      <c r="F231" s="80">
        <f t="shared" si="44"/>
        <v>0</v>
      </c>
      <c r="G231" s="457">
        <f ca="1">ROUND('[7]JAP-22 Combined Charges'!J87,2)</f>
        <v>7.28</v>
      </c>
      <c r="H231" s="80">
        <f t="shared" ca="1" si="45"/>
        <v>0</v>
      </c>
      <c r="I231" s="91"/>
      <c r="J231" s="64"/>
      <c r="K231" s="64"/>
      <c r="L231" s="81"/>
      <c r="M231" s="64"/>
      <c r="N231" s="64"/>
      <c r="O231" s="64"/>
      <c r="P231" s="64"/>
      <c r="Q231" s="64"/>
      <c r="T231" s="80"/>
    </row>
    <row r="232" spans="1:20">
      <c r="A232" s="141" t="s">
        <v>591</v>
      </c>
      <c r="B232" s="91"/>
      <c r="C232" s="328">
        <v>0</v>
      </c>
      <c r="D232" s="406">
        <f>+'Tariff Summary Lights'!F177</f>
        <v>12.09</v>
      </c>
      <c r="E232" s="91"/>
      <c r="F232" s="80">
        <f t="shared" si="44"/>
        <v>0</v>
      </c>
      <c r="G232" s="457">
        <f ca="1">ROUND('[7]JAP-22 Combined Charges'!J88,2)</f>
        <v>8.83</v>
      </c>
      <c r="H232" s="80">
        <f t="shared" ca="1" si="45"/>
        <v>0</v>
      </c>
      <c r="I232" s="91"/>
      <c r="J232" s="64"/>
      <c r="K232" s="64"/>
      <c r="L232" s="81"/>
      <c r="M232" s="64"/>
      <c r="N232" s="64"/>
      <c r="O232" s="64"/>
      <c r="P232" s="64"/>
      <c r="Q232" s="64"/>
      <c r="T232" s="80"/>
    </row>
    <row r="233" spans="1:20">
      <c r="A233" s="141" t="s">
        <v>592</v>
      </c>
      <c r="B233" s="91"/>
      <c r="C233" s="328">
        <v>4</v>
      </c>
      <c r="D233" s="406">
        <f>+'Tariff Summary Lights'!F178</f>
        <v>15.579999999999998</v>
      </c>
      <c r="E233" s="91"/>
      <c r="F233" s="80">
        <f t="shared" si="44"/>
        <v>748</v>
      </c>
      <c r="G233" s="457">
        <f ca="1">ROUND('[7]JAP-22 Combined Charges'!J89,2)</f>
        <v>9.6</v>
      </c>
      <c r="H233" s="80">
        <f t="shared" ca="1" si="45"/>
        <v>461</v>
      </c>
      <c r="I233" s="91"/>
      <c r="J233" s="64"/>
      <c r="K233" s="64"/>
      <c r="L233" s="81"/>
      <c r="M233" s="64"/>
      <c r="N233" s="64"/>
      <c r="O233" s="64"/>
      <c r="P233" s="64"/>
      <c r="Q233" s="64"/>
      <c r="T233" s="80"/>
    </row>
    <row r="234" spans="1:20">
      <c r="A234" s="141" t="s">
        <v>593</v>
      </c>
      <c r="B234" s="91"/>
      <c r="C234" s="328">
        <v>0</v>
      </c>
      <c r="D234" s="406">
        <f>+'Tariff Summary Lights'!F179</f>
        <v>16.079999999999998</v>
      </c>
      <c r="E234" s="91"/>
      <c r="F234" s="80">
        <f t="shared" si="44"/>
        <v>0</v>
      </c>
      <c r="G234" s="457">
        <f ca="1">ROUND('[7]JAP-22 Combined Charges'!J90,2)</f>
        <v>11.91</v>
      </c>
      <c r="H234" s="80">
        <f t="shared" ca="1" si="45"/>
        <v>0</v>
      </c>
      <c r="I234" s="91"/>
      <c r="J234" s="64"/>
      <c r="K234" s="64"/>
      <c r="L234" s="81"/>
      <c r="M234" s="64"/>
      <c r="N234" s="64"/>
      <c r="O234" s="64"/>
      <c r="P234" s="64"/>
      <c r="Q234" s="64"/>
      <c r="T234" s="80"/>
    </row>
    <row r="235" spans="1:20">
      <c r="A235" s="141" t="s">
        <v>594</v>
      </c>
      <c r="B235" s="91"/>
      <c r="C235" s="328">
        <v>0</v>
      </c>
      <c r="D235" s="406">
        <f>+'Tariff Summary Lights'!F180</f>
        <v>18.09</v>
      </c>
      <c r="E235" s="91"/>
      <c r="F235" s="80">
        <f t="shared" si="44"/>
        <v>0</v>
      </c>
      <c r="G235" s="457">
        <f ca="1">ROUND('[7]JAP-22 Combined Charges'!J91,2)</f>
        <v>16.55</v>
      </c>
      <c r="H235" s="80">
        <f t="shared" ca="1" si="45"/>
        <v>0</v>
      </c>
      <c r="I235" s="91"/>
      <c r="J235" s="64"/>
      <c r="K235" s="64"/>
      <c r="L235" s="81"/>
      <c r="M235" s="64"/>
      <c r="N235" s="64"/>
      <c r="O235" s="64"/>
      <c r="P235" s="64"/>
      <c r="Q235" s="64"/>
      <c r="T235" s="80"/>
    </row>
    <row r="236" spans="1:20">
      <c r="A236" s="141"/>
      <c r="B236" s="91"/>
      <c r="C236" s="328"/>
      <c r="D236" s="406"/>
      <c r="E236" s="91"/>
      <c r="F236" s="91"/>
      <c r="G236" s="406"/>
      <c r="H236" s="91"/>
      <c r="I236" s="91"/>
      <c r="J236" s="64"/>
      <c r="K236" s="64"/>
      <c r="L236" s="81"/>
      <c r="M236" s="64"/>
      <c r="N236" s="64"/>
      <c r="O236" s="64"/>
      <c r="P236" s="64"/>
      <c r="Q236" s="64"/>
      <c r="T236" s="80"/>
    </row>
    <row r="237" spans="1:20">
      <c r="A237" s="141" t="s">
        <v>595</v>
      </c>
      <c r="B237" s="91"/>
      <c r="C237" s="328">
        <v>42</v>
      </c>
      <c r="D237" s="406">
        <f>+'Tariff Summary Lights'!F182</f>
        <v>2.4899999999999998</v>
      </c>
      <c r="E237" s="91"/>
      <c r="F237" s="80">
        <f t="shared" ref="F237:F290" si="46">IF(D237="n/a",0,ROUND(C237*D237*12,0))</f>
        <v>1255</v>
      </c>
      <c r="G237" s="457">
        <f ca="1">ROUND('[7]JAP-22 Combined Charges'!$J$93,2)</f>
        <v>1.81</v>
      </c>
      <c r="H237" s="80">
        <f t="shared" ref="H237:H290" ca="1" si="47">ROUND(G237*$C237*12,0)</f>
        <v>912</v>
      </c>
      <c r="I237" s="91"/>
      <c r="J237" s="64"/>
      <c r="K237" s="64"/>
      <c r="L237" s="81"/>
      <c r="M237" s="64"/>
      <c r="N237" s="64"/>
      <c r="O237" s="64"/>
      <c r="P237" s="64"/>
      <c r="Q237" s="64"/>
      <c r="T237" s="80"/>
    </row>
    <row r="238" spans="1:20">
      <c r="A238" s="141" t="s">
        <v>596</v>
      </c>
      <c r="B238" s="91"/>
      <c r="C238" s="328">
        <v>3</v>
      </c>
      <c r="D238" s="406">
        <f>+'Tariff Summary Lights'!F183</f>
        <v>2.67</v>
      </c>
      <c r="E238" s="91"/>
      <c r="F238" s="80">
        <f t="shared" si="46"/>
        <v>96</v>
      </c>
      <c r="G238" s="406">
        <f ca="1">+G237</f>
        <v>1.81</v>
      </c>
      <c r="H238" s="80">
        <f t="shared" ca="1" si="47"/>
        <v>65</v>
      </c>
      <c r="I238" s="91"/>
      <c r="J238" s="64"/>
      <c r="K238" s="64"/>
      <c r="L238" s="81"/>
      <c r="M238" s="64"/>
      <c r="N238" s="64"/>
      <c r="O238" s="64"/>
      <c r="P238" s="64"/>
      <c r="Q238" s="64"/>
      <c r="T238" s="80"/>
    </row>
    <row r="239" spans="1:20">
      <c r="A239" s="141" t="s">
        <v>597</v>
      </c>
      <c r="B239" s="91"/>
      <c r="C239" s="328">
        <v>70</v>
      </c>
      <c r="D239" s="406">
        <f>+'Tariff Summary Lights'!F184</f>
        <v>2.8400000000000003</v>
      </c>
      <c r="E239" s="91"/>
      <c r="F239" s="80">
        <f t="shared" si="46"/>
        <v>2386</v>
      </c>
      <c r="G239" s="406">
        <f t="shared" ref="G239:G242" ca="1" si="48">+G238</f>
        <v>1.81</v>
      </c>
      <c r="H239" s="80">
        <f t="shared" ca="1" si="47"/>
        <v>1520</v>
      </c>
      <c r="I239" s="91"/>
      <c r="J239" s="64"/>
      <c r="K239" s="64"/>
      <c r="L239" s="81"/>
      <c r="M239" s="64"/>
      <c r="N239" s="64"/>
      <c r="O239" s="64"/>
      <c r="P239" s="64"/>
      <c r="Q239" s="64"/>
      <c r="T239" s="80"/>
    </row>
    <row r="240" spans="1:20">
      <c r="A240" s="141" t="s">
        <v>598</v>
      </c>
      <c r="B240" s="91"/>
      <c r="C240" s="328">
        <v>171</v>
      </c>
      <c r="D240" s="406">
        <f>+'Tariff Summary Lights'!F185</f>
        <v>3.02</v>
      </c>
      <c r="E240" s="91"/>
      <c r="F240" s="80">
        <f t="shared" si="46"/>
        <v>6197</v>
      </c>
      <c r="G240" s="406">
        <f t="shared" ca="1" si="48"/>
        <v>1.81</v>
      </c>
      <c r="H240" s="80">
        <f t="shared" ca="1" si="47"/>
        <v>3714</v>
      </c>
      <c r="I240" s="91"/>
      <c r="J240" s="64"/>
      <c r="K240" s="64"/>
      <c r="L240" s="81"/>
      <c r="M240" s="64"/>
      <c r="N240" s="64"/>
      <c r="O240" s="64"/>
      <c r="P240" s="64"/>
      <c r="Q240" s="64"/>
      <c r="T240" s="80"/>
    </row>
    <row r="241" spans="1:20">
      <c r="A241" s="141" t="s">
        <v>599</v>
      </c>
      <c r="B241" s="91"/>
      <c r="C241" s="328">
        <v>10</v>
      </c>
      <c r="D241" s="406">
        <f>+'Tariff Summary Lights'!F186</f>
        <v>3.19</v>
      </c>
      <c r="E241" s="91"/>
      <c r="F241" s="80">
        <f t="shared" si="46"/>
        <v>383</v>
      </c>
      <c r="G241" s="406">
        <f t="shared" ca="1" si="48"/>
        <v>1.81</v>
      </c>
      <c r="H241" s="80">
        <f t="shared" ca="1" si="47"/>
        <v>217</v>
      </c>
      <c r="I241" s="91"/>
      <c r="J241" s="64"/>
      <c r="K241" s="64"/>
      <c r="L241" s="81"/>
      <c r="M241" s="64"/>
      <c r="N241" s="64"/>
      <c r="O241" s="64"/>
      <c r="P241" s="64"/>
      <c r="Q241" s="64"/>
      <c r="T241" s="80"/>
    </row>
    <row r="242" spans="1:20">
      <c r="A242" s="141" t="s">
        <v>600</v>
      </c>
      <c r="B242" s="91"/>
      <c r="C242" s="328">
        <v>0</v>
      </c>
      <c r="D242" s="406">
        <f>+'Tariff Summary Lights'!F187</f>
        <v>3.37</v>
      </c>
      <c r="E242" s="91"/>
      <c r="F242" s="80">
        <f t="shared" si="46"/>
        <v>0</v>
      </c>
      <c r="G242" s="406">
        <f t="shared" ca="1" si="48"/>
        <v>1.81</v>
      </c>
      <c r="H242" s="80">
        <f t="shared" ca="1" si="47"/>
        <v>0</v>
      </c>
      <c r="I242" s="91"/>
      <c r="J242" s="64"/>
      <c r="K242" s="64"/>
      <c r="L242" s="81"/>
      <c r="M242" s="64"/>
      <c r="N242" s="64"/>
      <c r="O242" s="64"/>
      <c r="P242" s="64"/>
      <c r="Q242" s="64"/>
      <c r="T242" s="80"/>
    </row>
    <row r="243" spans="1:20">
      <c r="A243" s="141" t="s">
        <v>601</v>
      </c>
      <c r="B243" s="91"/>
      <c r="C243" s="328">
        <v>0</v>
      </c>
      <c r="D243" s="406">
        <f>+'Tariff Summary Lights'!F188</f>
        <v>3.5500000000000003</v>
      </c>
      <c r="E243" s="91"/>
      <c r="F243" s="80">
        <f t="shared" si="46"/>
        <v>0</v>
      </c>
      <c r="G243" s="457">
        <f ca="1">ROUND('[7]JAP-22 Combined Charges'!$J$94,2)</f>
        <v>2.74</v>
      </c>
      <c r="H243" s="80">
        <f t="shared" ca="1" si="47"/>
        <v>0</v>
      </c>
      <c r="I243" s="91"/>
      <c r="J243" s="64"/>
      <c r="K243" s="64"/>
      <c r="L243" s="81"/>
      <c r="M243" s="64"/>
      <c r="N243" s="64"/>
      <c r="O243" s="64"/>
      <c r="P243" s="64"/>
      <c r="Q243" s="64"/>
      <c r="T243" s="80"/>
    </row>
    <row r="244" spans="1:20">
      <c r="A244" s="141" t="s">
        <v>602</v>
      </c>
      <c r="B244" s="91"/>
      <c r="C244" s="328">
        <v>1</v>
      </c>
      <c r="D244" s="406">
        <f>+'Tariff Summary Lights'!F189</f>
        <v>3.7199999999999998</v>
      </c>
      <c r="E244" s="91"/>
      <c r="F244" s="80">
        <f t="shared" si="46"/>
        <v>45</v>
      </c>
      <c r="G244" s="406">
        <f ca="1">+G243</f>
        <v>2.74</v>
      </c>
      <c r="H244" s="80">
        <f t="shared" ca="1" si="47"/>
        <v>33</v>
      </c>
      <c r="I244" s="91"/>
      <c r="J244" s="64"/>
      <c r="K244" s="64"/>
      <c r="L244" s="81"/>
      <c r="M244" s="64"/>
      <c r="N244" s="64"/>
      <c r="O244" s="64"/>
      <c r="P244" s="64"/>
      <c r="Q244" s="64"/>
      <c r="T244" s="80"/>
    </row>
    <row r="245" spans="1:20">
      <c r="A245" s="141" t="s">
        <v>603</v>
      </c>
      <c r="B245" s="91"/>
      <c r="C245" s="328">
        <v>0</v>
      </c>
      <c r="D245" s="406">
        <f>+'Tariff Summary Lights'!F190</f>
        <v>3.8999999999999995</v>
      </c>
      <c r="E245" s="91"/>
      <c r="F245" s="80">
        <f t="shared" si="46"/>
        <v>0</v>
      </c>
      <c r="G245" s="406">
        <f t="shared" ref="G245:G248" ca="1" si="49">+G244</f>
        <v>2.74</v>
      </c>
      <c r="H245" s="80">
        <f t="shared" ca="1" si="47"/>
        <v>0</v>
      </c>
      <c r="I245" s="91"/>
      <c r="J245" s="64"/>
      <c r="K245" s="64"/>
      <c r="L245" s="81"/>
      <c r="M245" s="64"/>
      <c r="N245" s="64"/>
      <c r="O245" s="64"/>
      <c r="P245" s="64"/>
      <c r="Q245" s="64"/>
      <c r="T245" s="80"/>
    </row>
    <row r="246" spans="1:20">
      <c r="A246" s="141" t="s">
        <v>604</v>
      </c>
      <c r="B246" s="91"/>
      <c r="C246" s="328">
        <v>0</v>
      </c>
      <c r="D246" s="406">
        <f>+'Tariff Summary Lights'!F191</f>
        <v>4.07</v>
      </c>
      <c r="E246" s="91"/>
      <c r="F246" s="80">
        <f t="shared" si="46"/>
        <v>0</v>
      </c>
      <c r="G246" s="406">
        <f t="shared" ca="1" si="49"/>
        <v>2.74</v>
      </c>
      <c r="H246" s="80">
        <f t="shared" ca="1" si="47"/>
        <v>0</v>
      </c>
      <c r="I246" s="91"/>
      <c r="J246" s="64"/>
      <c r="K246" s="64"/>
      <c r="L246" s="81"/>
      <c r="M246" s="64"/>
      <c r="N246" s="64"/>
      <c r="O246" s="64"/>
      <c r="P246" s="64"/>
      <c r="Q246" s="64"/>
      <c r="T246" s="80"/>
    </row>
    <row r="247" spans="1:20">
      <c r="A247" s="141" t="s">
        <v>605</v>
      </c>
      <c r="B247" s="91"/>
      <c r="C247" s="328">
        <v>408</v>
      </c>
      <c r="D247" s="406">
        <f>+'Tariff Summary Lights'!F192</f>
        <v>4.25</v>
      </c>
      <c r="E247" s="91"/>
      <c r="F247" s="80">
        <f t="shared" si="46"/>
        <v>20808</v>
      </c>
      <c r="G247" s="406">
        <f t="shared" ca="1" si="49"/>
        <v>2.74</v>
      </c>
      <c r="H247" s="80">
        <f t="shared" ca="1" si="47"/>
        <v>13415</v>
      </c>
      <c r="I247" s="91"/>
      <c r="J247" s="64"/>
      <c r="K247" s="64"/>
      <c r="L247" s="81"/>
      <c r="M247" s="64"/>
      <c r="N247" s="64"/>
      <c r="O247" s="64"/>
      <c r="P247" s="64"/>
      <c r="Q247" s="64"/>
      <c r="T247" s="80"/>
    </row>
    <row r="248" spans="1:20">
      <c r="A248" s="141" t="s">
        <v>606</v>
      </c>
      <c r="B248" s="91"/>
      <c r="C248" s="328">
        <v>0</v>
      </c>
      <c r="D248" s="406">
        <f>+'Tariff Summary Lights'!F193</f>
        <v>4.42</v>
      </c>
      <c r="E248" s="91"/>
      <c r="F248" s="80">
        <f t="shared" si="46"/>
        <v>0</v>
      </c>
      <c r="G248" s="406">
        <f t="shared" ca="1" si="49"/>
        <v>2.74</v>
      </c>
      <c r="H248" s="80">
        <f t="shared" ca="1" si="47"/>
        <v>0</v>
      </c>
      <c r="I248" s="91"/>
      <c r="J248" s="64"/>
      <c r="K248" s="64"/>
      <c r="L248" s="81"/>
      <c r="M248" s="64"/>
      <c r="N248" s="64"/>
      <c r="O248" s="64"/>
      <c r="P248" s="64"/>
      <c r="Q248" s="64"/>
      <c r="T248" s="80"/>
    </row>
    <row r="249" spans="1:20">
      <c r="A249" s="141" t="s">
        <v>607</v>
      </c>
      <c r="B249" s="91"/>
      <c r="C249" s="328">
        <v>244</v>
      </c>
      <c r="D249" s="406">
        <f>+'Tariff Summary Lights'!F194</f>
        <v>4.6100000000000003</v>
      </c>
      <c r="E249" s="91"/>
      <c r="F249" s="80">
        <f t="shared" si="46"/>
        <v>13498</v>
      </c>
      <c r="G249" s="457">
        <f ca="1">ROUND('[7]JAP-22 Combined Charges'!$J$95,2)</f>
        <v>3.66</v>
      </c>
      <c r="H249" s="80">
        <f t="shared" ca="1" si="47"/>
        <v>10716</v>
      </c>
      <c r="I249" s="91"/>
      <c r="J249" s="64"/>
      <c r="K249" s="64"/>
      <c r="L249" s="81"/>
      <c r="M249" s="64"/>
      <c r="N249" s="64"/>
      <c r="O249" s="64"/>
      <c r="P249" s="64"/>
      <c r="Q249" s="64"/>
      <c r="T249" s="80"/>
    </row>
    <row r="250" spans="1:20">
      <c r="A250" s="141" t="s">
        <v>608</v>
      </c>
      <c r="B250" s="91"/>
      <c r="C250" s="328">
        <v>0</v>
      </c>
      <c r="D250" s="406">
        <f>+'Tariff Summary Lights'!F195</f>
        <v>4.7799999999999994</v>
      </c>
      <c r="E250" s="91"/>
      <c r="F250" s="80">
        <f t="shared" si="46"/>
        <v>0</v>
      </c>
      <c r="G250" s="406">
        <f ca="1">+G249</f>
        <v>3.66</v>
      </c>
      <c r="H250" s="80">
        <f t="shared" ca="1" si="47"/>
        <v>0</v>
      </c>
      <c r="I250" s="91"/>
      <c r="J250" s="64"/>
      <c r="K250" s="64"/>
      <c r="L250" s="81"/>
      <c r="M250" s="64"/>
      <c r="N250" s="64"/>
      <c r="O250" s="64"/>
      <c r="P250" s="64"/>
      <c r="Q250" s="64"/>
      <c r="T250" s="80"/>
    </row>
    <row r="251" spans="1:20">
      <c r="A251" s="141" t="s">
        <v>609</v>
      </c>
      <c r="B251" s="91"/>
      <c r="C251" s="328">
        <v>208</v>
      </c>
      <c r="D251" s="406">
        <f>+'Tariff Summary Lights'!F196</f>
        <v>4.96</v>
      </c>
      <c r="E251" s="91"/>
      <c r="F251" s="80">
        <f t="shared" si="46"/>
        <v>12380</v>
      </c>
      <c r="G251" s="406">
        <f t="shared" ref="G251:G254" ca="1" si="50">+G250</f>
        <v>3.66</v>
      </c>
      <c r="H251" s="80">
        <f t="shared" ca="1" si="47"/>
        <v>9135</v>
      </c>
      <c r="I251" s="91"/>
      <c r="J251" s="64"/>
      <c r="K251" s="64"/>
      <c r="L251" s="81"/>
      <c r="M251" s="64"/>
      <c r="N251" s="64"/>
      <c r="O251" s="64"/>
      <c r="P251" s="64"/>
      <c r="Q251" s="64"/>
      <c r="T251" s="80"/>
    </row>
    <row r="252" spans="1:20">
      <c r="A252" s="141" t="s">
        <v>610</v>
      </c>
      <c r="B252" s="91"/>
      <c r="C252" s="328">
        <v>0</v>
      </c>
      <c r="D252" s="406">
        <f>+'Tariff Summary Lights'!F197</f>
        <v>5.13</v>
      </c>
      <c r="E252" s="91"/>
      <c r="F252" s="80">
        <f t="shared" si="46"/>
        <v>0</v>
      </c>
      <c r="G252" s="406">
        <f t="shared" ca="1" si="50"/>
        <v>3.66</v>
      </c>
      <c r="H252" s="80">
        <f t="shared" ca="1" si="47"/>
        <v>0</v>
      </c>
      <c r="I252" s="91"/>
      <c r="J252" s="64"/>
      <c r="K252" s="64"/>
      <c r="L252" s="81"/>
      <c r="M252" s="64"/>
      <c r="N252" s="64"/>
      <c r="O252" s="64"/>
      <c r="P252" s="64"/>
      <c r="Q252" s="64"/>
      <c r="T252" s="80"/>
    </row>
    <row r="253" spans="1:20">
      <c r="A253" s="141" t="s">
        <v>611</v>
      </c>
      <c r="B253" s="91"/>
      <c r="C253" s="328">
        <v>0</v>
      </c>
      <c r="D253" s="406">
        <f>+'Tariff Summary Lights'!F198</f>
        <v>5.3</v>
      </c>
      <c r="E253" s="91"/>
      <c r="F253" s="80">
        <f t="shared" si="46"/>
        <v>0</v>
      </c>
      <c r="G253" s="406">
        <f t="shared" ca="1" si="50"/>
        <v>3.66</v>
      </c>
      <c r="H253" s="80">
        <f t="shared" ca="1" si="47"/>
        <v>0</v>
      </c>
      <c r="I253" s="91"/>
      <c r="J253" s="64"/>
      <c r="K253" s="64"/>
      <c r="L253" s="81"/>
      <c r="M253" s="64"/>
      <c r="N253" s="64"/>
      <c r="O253" s="64"/>
      <c r="P253" s="64"/>
      <c r="Q253" s="64"/>
      <c r="T253" s="80"/>
    </row>
    <row r="254" spans="1:20">
      <c r="A254" s="141" t="s">
        <v>612</v>
      </c>
      <c r="B254" s="91"/>
      <c r="C254" s="328">
        <v>0</v>
      </c>
      <c r="D254" s="406">
        <f>+'Tariff Summary Lights'!F199</f>
        <v>5.48</v>
      </c>
      <c r="E254" s="91"/>
      <c r="F254" s="80">
        <f t="shared" si="46"/>
        <v>0</v>
      </c>
      <c r="G254" s="406">
        <f t="shared" ca="1" si="50"/>
        <v>3.66</v>
      </c>
      <c r="H254" s="80">
        <f t="shared" ca="1" si="47"/>
        <v>0</v>
      </c>
      <c r="I254" s="91"/>
      <c r="J254" s="64"/>
      <c r="K254" s="64"/>
      <c r="L254" s="81"/>
      <c r="M254" s="64"/>
      <c r="N254" s="64"/>
      <c r="O254" s="64"/>
      <c r="P254" s="64"/>
      <c r="Q254" s="64"/>
      <c r="T254" s="80"/>
    </row>
    <row r="255" spans="1:20">
      <c r="A255" s="141" t="s">
        <v>613</v>
      </c>
      <c r="B255" s="91"/>
      <c r="C255" s="328">
        <v>0</v>
      </c>
      <c r="D255" s="406">
        <f>+'Tariff Summary Lights'!F200</f>
        <v>5.65</v>
      </c>
      <c r="E255" s="91"/>
      <c r="F255" s="80">
        <f t="shared" si="46"/>
        <v>0</v>
      </c>
      <c r="G255" s="457">
        <f ca="1">ROUND('[7]JAP-22 Combined Charges'!$J$96,2)</f>
        <v>4.59</v>
      </c>
      <c r="H255" s="80">
        <f t="shared" ca="1" si="47"/>
        <v>0</v>
      </c>
      <c r="I255" s="91"/>
      <c r="J255" s="64"/>
      <c r="K255" s="64"/>
      <c r="L255" s="81"/>
      <c r="M255" s="64"/>
      <c r="N255" s="64"/>
      <c r="O255" s="64"/>
      <c r="P255" s="64"/>
      <c r="Q255" s="64"/>
      <c r="T255" s="80"/>
    </row>
    <row r="256" spans="1:20">
      <c r="A256" s="141" t="s">
        <v>614</v>
      </c>
      <c r="B256" s="91"/>
      <c r="C256" s="328">
        <v>0</v>
      </c>
      <c r="D256" s="406">
        <f>+'Tariff Summary Lights'!F201</f>
        <v>5.84</v>
      </c>
      <c r="E256" s="91"/>
      <c r="F256" s="80">
        <f t="shared" si="46"/>
        <v>0</v>
      </c>
      <c r="G256" s="406">
        <f ca="1">+G255</f>
        <v>4.59</v>
      </c>
      <c r="H256" s="80">
        <f t="shared" ca="1" si="47"/>
        <v>0</v>
      </c>
      <c r="I256" s="91"/>
      <c r="J256" s="64"/>
      <c r="K256" s="64"/>
      <c r="L256" s="81"/>
      <c r="M256" s="64"/>
      <c r="N256" s="64"/>
      <c r="O256" s="64"/>
      <c r="P256" s="64"/>
      <c r="Q256" s="64"/>
      <c r="T256" s="80"/>
    </row>
    <row r="257" spans="1:20">
      <c r="A257" s="141" t="s">
        <v>615</v>
      </c>
      <c r="B257" s="91"/>
      <c r="C257" s="328">
        <v>2</v>
      </c>
      <c r="D257" s="406">
        <f>+'Tariff Summary Lights'!F202</f>
        <v>6.01</v>
      </c>
      <c r="E257" s="91"/>
      <c r="F257" s="80">
        <f t="shared" si="46"/>
        <v>144</v>
      </c>
      <c r="G257" s="406">
        <f t="shared" ref="G257:G260" ca="1" si="51">+G256</f>
        <v>4.59</v>
      </c>
      <c r="H257" s="80">
        <f t="shared" ca="1" si="47"/>
        <v>110</v>
      </c>
      <c r="I257" s="91"/>
      <c r="J257" s="64"/>
      <c r="K257" s="64"/>
      <c r="L257" s="81"/>
      <c r="M257" s="64"/>
      <c r="N257" s="64"/>
      <c r="O257" s="64"/>
      <c r="P257" s="64"/>
      <c r="Q257" s="64"/>
      <c r="T257" s="80"/>
    </row>
    <row r="258" spans="1:20">
      <c r="A258" s="141" t="s">
        <v>616</v>
      </c>
      <c r="B258" s="91"/>
      <c r="C258" s="328">
        <v>8</v>
      </c>
      <c r="D258" s="406">
        <f>+'Tariff Summary Lights'!F203</f>
        <v>6.1899999999999995</v>
      </c>
      <c r="E258" s="91"/>
      <c r="F258" s="80">
        <f t="shared" si="46"/>
        <v>594</v>
      </c>
      <c r="G258" s="406">
        <f t="shared" ca="1" si="51"/>
        <v>4.59</v>
      </c>
      <c r="H258" s="80">
        <f t="shared" ca="1" si="47"/>
        <v>441</v>
      </c>
      <c r="I258" s="91"/>
      <c r="J258" s="64"/>
      <c r="K258" s="64"/>
      <c r="L258" s="81"/>
      <c r="M258" s="64"/>
      <c r="N258" s="64"/>
      <c r="O258" s="64"/>
      <c r="P258" s="64"/>
      <c r="Q258" s="64"/>
      <c r="T258" s="80"/>
    </row>
    <row r="259" spans="1:20">
      <c r="A259" s="141" t="s">
        <v>617</v>
      </c>
      <c r="B259" s="91"/>
      <c r="C259" s="328">
        <v>0</v>
      </c>
      <c r="D259" s="406">
        <f>+'Tariff Summary Lights'!F204</f>
        <v>6.3599999999999994</v>
      </c>
      <c r="E259" s="91"/>
      <c r="F259" s="80">
        <f t="shared" si="46"/>
        <v>0</v>
      </c>
      <c r="G259" s="406">
        <f t="shared" ca="1" si="51"/>
        <v>4.59</v>
      </c>
      <c r="H259" s="80">
        <f t="shared" ca="1" si="47"/>
        <v>0</v>
      </c>
      <c r="I259" s="91"/>
      <c r="J259" s="64"/>
      <c r="K259" s="64"/>
      <c r="L259" s="64"/>
      <c r="M259" s="64"/>
      <c r="N259" s="64"/>
      <c r="O259" s="64"/>
      <c r="P259" s="64"/>
      <c r="Q259" s="64"/>
      <c r="T259" s="80"/>
    </row>
    <row r="260" spans="1:20">
      <c r="A260" s="141" t="s">
        <v>618</v>
      </c>
      <c r="B260" s="91"/>
      <c r="C260" s="328">
        <v>0</v>
      </c>
      <c r="D260" s="406">
        <f>+'Tariff Summary Lights'!F205</f>
        <v>6.54</v>
      </c>
      <c r="E260" s="91"/>
      <c r="F260" s="80">
        <f t="shared" si="46"/>
        <v>0</v>
      </c>
      <c r="G260" s="406">
        <f t="shared" ca="1" si="51"/>
        <v>4.59</v>
      </c>
      <c r="H260" s="80">
        <f t="shared" ca="1" si="47"/>
        <v>0</v>
      </c>
      <c r="I260" s="91"/>
      <c r="J260" s="64"/>
      <c r="K260" s="64"/>
      <c r="L260" s="64"/>
      <c r="M260" s="64"/>
      <c r="N260" s="64"/>
      <c r="O260" s="64"/>
      <c r="P260" s="64"/>
      <c r="Q260" s="64"/>
      <c r="T260" s="80"/>
    </row>
    <row r="261" spans="1:20">
      <c r="A261" s="141" t="s">
        <v>619</v>
      </c>
      <c r="B261" s="91"/>
      <c r="C261" s="328">
        <v>0</v>
      </c>
      <c r="D261" s="406">
        <f>+'Tariff Summary Lights'!F206</f>
        <v>6.71</v>
      </c>
      <c r="E261" s="91"/>
      <c r="F261" s="80">
        <f t="shared" si="46"/>
        <v>0</v>
      </c>
      <c r="G261" s="457">
        <f ca="1">ROUND('[7]JAP-22 Combined Charges'!$J$97,2)</f>
        <v>5.51</v>
      </c>
      <c r="H261" s="80">
        <f t="shared" ca="1" si="47"/>
        <v>0</v>
      </c>
      <c r="I261" s="91"/>
      <c r="J261" s="64"/>
      <c r="K261" s="64"/>
      <c r="L261" s="64"/>
      <c r="M261" s="64"/>
      <c r="N261" s="64"/>
      <c r="O261" s="64"/>
      <c r="P261" s="64"/>
      <c r="Q261" s="64"/>
      <c r="T261" s="80"/>
    </row>
    <row r="262" spans="1:20">
      <c r="A262" s="141" t="s">
        <v>620</v>
      </c>
      <c r="B262" s="91"/>
      <c r="C262" s="328">
        <v>0</v>
      </c>
      <c r="D262" s="406">
        <f>+'Tariff Summary Lights'!F207</f>
        <v>6.89</v>
      </c>
      <c r="E262" s="91"/>
      <c r="F262" s="80">
        <f t="shared" si="46"/>
        <v>0</v>
      </c>
      <c r="G262" s="406">
        <f ca="1">+G261</f>
        <v>5.51</v>
      </c>
      <c r="H262" s="80">
        <f t="shared" ca="1" si="47"/>
        <v>0</v>
      </c>
      <c r="I262" s="91"/>
      <c r="J262" s="64"/>
      <c r="K262" s="64"/>
      <c r="L262" s="64"/>
      <c r="M262" s="64"/>
      <c r="N262" s="64"/>
      <c r="O262" s="64"/>
      <c r="P262" s="64"/>
      <c r="Q262" s="64"/>
      <c r="T262" s="80"/>
    </row>
    <row r="263" spans="1:20">
      <c r="A263" s="141" t="s">
        <v>621</v>
      </c>
      <c r="B263" s="91"/>
      <c r="C263" s="328">
        <v>972</v>
      </c>
      <c r="D263" s="406">
        <f>+'Tariff Summary Lights'!F208</f>
        <v>7.07</v>
      </c>
      <c r="E263" s="91"/>
      <c r="F263" s="80">
        <f t="shared" si="46"/>
        <v>82464</v>
      </c>
      <c r="G263" s="406">
        <f t="shared" ref="G263:G266" ca="1" si="52">+G262</f>
        <v>5.51</v>
      </c>
      <c r="H263" s="80">
        <f t="shared" ca="1" si="47"/>
        <v>64269</v>
      </c>
      <c r="I263" s="91"/>
      <c r="J263" s="64"/>
      <c r="K263" s="64"/>
      <c r="L263" s="64"/>
      <c r="M263" s="64"/>
      <c r="N263" s="64"/>
      <c r="O263" s="64"/>
      <c r="P263" s="64"/>
      <c r="Q263" s="64"/>
      <c r="T263" s="80"/>
    </row>
    <row r="264" spans="1:20">
      <c r="A264" s="141" t="s">
        <v>622</v>
      </c>
      <c r="B264" s="91"/>
      <c r="C264" s="328">
        <v>15</v>
      </c>
      <c r="D264" s="406">
        <f>+'Tariff Summary Lights'!F209</f>
        <v>7.2399999999999993</v>
      </c>
      <c r="E264" s="91"/>
      <c r="F264" s="80">
        <f t="shared" si="46"/>
        <v>1303</v>
      </c>
      <c r="G264" s="406">
        <f t="shared" ca="1" si="52"/>
        <v>5.51</v>
      </c>
      <c r="H264" s="80">
        <f t="shared" ca="1" si="47"/>
        <v>992</v>
      </c>
      <c r="I264" s="91"/>
      <c r="J264" s="64"/>
      <c r="K264" s="64"/>
      <c r="L264" s="64"/>
      <c r="M264" s="64"/>
      <c r="N264" s="64"/>
      <c r="O264" s="64"/>
      <c r="P264" s="64"/>
      <c r="Q264" s="64"/>
      <c r="T264" s="80"/>
    </row>
    <row r="265" spans="1:20">
      <c r="A265" s="141" t="s">
        <v>623</v>
      </c>
      <c r="B265" s="91"/>
      <c r="C265" s="328">
        <v>0</v>
      </c>
      <c r="D265" s="406">
        <f>+'Tariff Summary Lights'!F210</f>
        <v>7.42</v>
      </c>
      <c r="E265" s="91"/>
      <c r="F265" s="80">
        <f t="shared" si="46"/>
        <v>0</v>
      </c>
      <c r="G265" s="406">
        <f t="shared" ca="1" si="52"/>
        <v>5.51</v>
      </c>
      <c r="H265" s="80">
        <f t="shared" ca="1" si="47"/>
        <v>0</v>
      </c>
      <c r="I265" s="91"/>
      <c r="J265" s="64"/>
      <c r="K265" s="64"/>
      <c r="L265" s="64"/>
      <c r="M265" s="64"/>
      <c r="N265" s="64"/>
      <c r="O265" s="64"/>
      <c r="P265" s="64"/>
      <c r="Q265" s="64"/>
      <c r="T265" s="80"/>
    </row>
    <row r="266" spans="1:20">
      <c r="A266" s="141" t="s">
        <v>624</v>
      </c>
      <c r="B266" s="91"/>
      <c r="C266" s="328">
        <v>0</v>
      </c>
      <c r="D266" s="406">
        <f>+'Tariff Summary Lights'!F211</f>
        <v>7.59</v>
      </c>
      <c r="E266" s="91"/>
      <c r="F266" s="80">
        <f t="shared" si="46"/>
        <v>0</v>
      </c>
      <c r="G266" s="406">
        <f t="shared" ca="1" si="52"/>
        <v>5.51</v>
      </c>
      <c r="H266" s="80">
        <f t="shared" ca="1" si="47"/>
        <v>0</v>
      </c>
      <c r="I266" s="91"/>
      <c r="J266" s="64"/>
      <c r="K266" s="64"/>
      <c r="L266" s="64"/>
      <c r="M266" s="64"/>
      <c r="N266" s="64"/>
      <c r="O266" s="64"/>
      <c r="P266" s="64"/>
      <c r="Q266" s="64"/>
      <c r="T266" s="80"/>
    </row>
    <row r="267" spans="1:20">
      <c r="A267" s="141" t="s">
        <v>625</v>
      </c>
      <c r="B267" s="91"/>
      <c r="C267" s="328">
        <v>0</v>
      </c>
      <c r="D267" s="406">
        <f>+'Tariff Summary Lights'!F212</f>
        <v>7.77</v>
      </c>
      <c r="E267" s="91"/>
      <c r="F267" s="80">
        <f t="shared" si="46"/>
        <v>0</v>
      </c>
      <c r="G267" s="457">
        <f ca="1">ROUND('[7]JAP-22 Combined Charges'!$J$98,2)</f>
        <v>6.44</v>
      </c>
      <c r="H267" s="80">
        <f t="shared" ca="1" si="47"/>
        <v>0</v>
      </c>
      <c r="I267" s="91"/>
      <c r="J267" s="64"/>
      <c r="K267" s="64"/>
      <c r="L267" s="64"/>
      <c r="M267" s="64"/>
      <c r="N267" s="64"/>
      <c r="O267" s="64"/>
      <c r="P267" s="64"/>
      <c r="Q267" s="64"/>
      <c r="T267" s="80"/>
    </row>
    <row r="268" spans="1:20">
      <c r="A268" s="141" t="s">
        <v>626</v>
      </c>
      <c r="B268" s="91"/>
      <c r="C268" s="328">
        <v>0</v>
      </c>
      <c r="D268" s="406">
        <f>+'Tariff Summary Lights'!F213</f>
        <v>7.9399999999999995</v>
      </c>
      <c r="E268" s="91"/>
      <c r="F268" s="80">
        <f t="shared" si="46"/>
        <v>0</v>
      </c>
      <c r="G268" s="406">
        <f ca="1">+G267</f>
        <v>6.44</v>
      </c>
      <c r="H268" s="80">
        <f t="shared" ca="1" si="47"/>
        <v>0</v>
      </c>
      <c r="I268" s="91"/>
      <c r="J268" s="64"/>
      <c r="K268" s="64"/>
      <c r="L268" s="64"/>
      <c r="M268" s="64"/>
      <c r="N268" s="64"/>
      <c r="O268" s="64"/>
      <c r="P268" s="64"/>
      <c r="Q268" s="64"/>
      <c r="T268" s="80"/>
    </row>
    <row r="269" spans="1:20">
      <c r="A269" s="141" t="s">
        <v>627</v>
      </c>
      <c r="B269" s="91"/>
      <c r="C269" s="328">
        <v>0</v>
      </c>
      <c r="D269" s="406">
        <f>+'Tariff Summary Lights'!F214</f>
        <v>8.1199999999999992</v>
      </c>
      <c r="E269" s="91"/>
      <c r="F269" s="80">
        <f t="shared" si="46"/>
        <v>0</v>
      </c>
      <c r="G269" s="406">
        <f t="shared" ref="G269:G272" ca="1" si="53">+G268</f>
        <v>6.44</v>
      </c>
      <c r="H269" s="80">
        <f t="shared" ca="1" si="47"/>
        <v>0</v>
      </c>
      <c r="I269" s="91"/>
      <c r="J269" s="64"/>
      <c r="K269" s="64"/>
      <c r="L269" s="64"/>
      <c r="M269" s="64"/>
      <c r="N269" s="64"/>
      <c r="O269" s="64"/>
      <c r="P269" s="64"/>
      <c r="Q269" s="64"/>
      <c r="T269" s="80"/>
    </row>
    <row r="270" spans="1:20">
      <c r="A270" s="141" t="s">
        <v>628</v>
      </c>
      <c r="B270" s="91"/>
      <c r="C270" s="328">
        <v>1</v>
      </c>
      <c r="D270" s="406">
        <f>+'Tariff Summary Lights'!F215</f>
        <v>8.3000000000000007</v>
      </c>
      <c r="E270" s="91"/>
      <c r="F270" s="80">
        <f t="shared" si="46"/>
        <v>100</v>
      </c>
      <c r="G270" s="406">
        <f t="shared" ca="1" si="53"/>
        <v>6.44</v>
      </c>
      <c r="H270" s="80">
        <f t="shared" ca="1" si="47"/>
        <v>77</v>
      </c>
      <c r="I270" s="91"/>
      <c r="J270" s="64"/>
      <c r="K270" s="64"/>
      <c r="L270" s="64"/>
      <c r="M270" s="64"/>
      <c r="N270" s="64"/>
      <c r="O270" s="64"/>
      <c r="P270" s="64"/>
      <c r="Q270" s="64"/>
      <c r="T270" s="80"/>
    </row>
    <row r="271" spans="1:20">
      <c r="A271" s="141" t="s">
        <v>629</v>
      </c>
      <c r="B271" s="91"/>
      <c r="C271" s="328">
        <v>0</v>
      </c>
      <c r="D271" s="406">
        <f>+'Tariff Summary Lights'!F216</f>
        <v>8.48</v>
      </c>
      <c r="E271" s="91"/>
      <c r="F271" s="80">
        <f t="shared" si="46"/>
        <v>0</v>
      </c>
      <c r="G271" s="406">
        <f t="shared" ca="1" si="53"/>
        <v>6.44</v>
      </c>
      <c r="H271" s="80">
        <f t="shared" ca="1" si="47"/>
        <v>0</v>
      </c>
      <c r="I271" s="91"/>
      <c r="J271" s="64"/>
      <c r="K271" s="64"/>
      <c r="L271" s="64"/>
      <c r="M271" s="64"/>
      <c r="N271" s="64"/>
      <c r="O271" s="64"/>
      <c r="P271" s="64"/>
      <c r="Q271" s="64"/>
      <c r="T271" s="80"/>
    </row>
    <row r="272" spans="1:20">
      <c r="A272" s="141" t="s">
        <v>630</v>
      </c>
      <c r="B272" s="91"/>
      <c r="C272" s="328">
        <v>0</v>
      </c>
      <c r="D272" s="406">
        <f>+'Tariff Summary Lights'!F217</f>
        <v>8.65</v>
      </c>
      <c r="E272" s="91"/>
      <c r="F272" s="80">
        <f t="shared" si="46"/>
        <v>0</v>
      </c>
      <c r="G272" s="406">
        <f t="shared" ca="1" si="53"/>
        <v>6.44</v>
      </c>
      <c r="H272" s="80">
        <f t="shared" ca="1" si="47"/>
        <v>0</v>
      </c>
      <c r="I272" s="91"/>
      <c r="J272" s="64"/>
      <c r="K272" s="64"/>
      <c r="L272" s="64"/>
      <c r="M272" s="64"/>
      <c r="N272" s="64"/>
      <c r="O272" s="64"/>
      <c r="P272" s="64"/>
      <c r="Q272" s="64"/>
      <c r="T272" s="80"/>
    </row>
    <row r="273" spans="1:20">
      <c r="A273" s="141" t="s">
        <v>631</v>
      </c>
      <c r="B273" s="91"/>
      <c r="C273" s="328">
        <v>0</v>
      </c>
      <c r="D273" s="406">
        <f>+'Tariff Summary Lights'!F218</f>
        <v>8.83</v>
      </c>
      <c r="E273" s="91"/>
      <c r="F273" s="80">
        <f t="shared" si="46"/>
        <v>0</v>
      </c>
      <c r="G273" s="457">
        <f ca="1">ROUND('[7]JAP-22 Combined Charges'!$J$99,2)</f>
        <v>7.37</v>
      </c>
      <c r="H273" s="80">
        <f t="shared" ca="1" si="47"/>
        <v>0</v>
      </c>
      <c r="I273" s="91"/>
      <c r="J273" s="64"/>
      <c r="K273" s="64"/>
      <c r="L273" s="64"/>
      <c r="M273" s="64"/>
      <c r="N273" s="64"/>
      <c r="O273" s="64"/>
      <c r="P273" s="64"/>
      <c r="Q273" s="64"/>
      <c r="T273" s="80"/>
    </row>
    <row r="274" spans="1:20">
      <c r="A274" s="141" t="s">
        <v>632</v>
      </c>
      <c r="B274" s="91"/>
      <c r="C274" s="328">
        <v>0</v>
      </c>
      <c r="D274" s="406">
        <f>+'Tariff Summary Lights'!F219</f>
        <v>9</v>
      </c>
      <c r="E274" s="91"/>
      <c r="F274" s="80">
        <f t="shared" si="46"/>
        <v>0</v>
      </c>
      <c r="G274" s="406">
        <f ca="1">+G273</f>
        <v>7.37</v>
      </c>
      <c r="H274" s="80">
        <f t="shared" ca="1" si="47"/>
        <v>0</v>
      </c>
      <c r="I274" s="91"/>
      <c r="J274" s="64"/>
      <c r="K274" s="64"/>
      <c r="L274" s="64"/>
      <c r="M274" s="64"/>
      <c r="N274" s="64"/>
      <c r="O274" s="64"/>
      <c r="P274" s="64"/>
      <c r="Q274" s="64"/>
      <c r="T274" s="80"/>
    </row>
    <row r="275" spans="1:20">
      <c r="A275" s="141" t="s">
        <v>633</v>
      </c>
      <c r="B275" s="91"/>
      <c r="C275" s="328">
        <v>0</v>
      </c>
      <c r="D275" s="406">
        <f>+'Tariff Summary Lights'!F220</f>
        <v>9.1700000000000017</v>
      </c>
      <c r="E275" s="91"/>
      <c r="F275" s="80">
        <f t="shared" si="46"/>
        <v>0</v>
      </c>
      <c r="G275" s="406">
        <f t="shared" ref="G275:G278" ca="1" si="54">+G274</f>
        <v>7.37</v>
      </c>
      <c r="H275" s="80">
        <f t="shared" ca="1" si="47"/>
        <v>0</v>
      </c>
      <c r="I275" s="91"/>
      <c r="J275" s="64"/>
      <c r="K275" s="64"/>
      <c r="L275" s="64"/>
      <c r="M275" s="64"/>
      <c r="N275" s="64"/>
      <c r="O275" s="64"/>
      <c r="P275" s="64"/>
      <c r="Q275" s="64"/>
      <c r="T275" s="80"/>
    </row>
    <row r="276" spans="1:20">
      <c r="A276" s="141" t="s">
        <v>634</v>
      </c>
      <c r="B276" s="91"/>
      <c r="C276" s="328">
        <v>0</v>
      </c>
      <c r="D276" s="406">
        <f>+'Tariff Summary Lights'!F221</f>
        <v>9.3500000000000014</v>
      </c>
      <c r="E276" s="91"/>
      <c r="F276" s="80">
        <f t="shared" si="46"/>
        <v>0</v>
      </c>
      <c r="G276" s="406">
        <f t="shared" ca="1" si="54"/>
        <v>7.37</v>
      </c>
      <c r="H276" s="80">
        <f t="shared" ca="1" si="47"/>
        <v>0</v>
      </c>
      <c r="I276" s="91"/>
      <c r="J276" s="64"/>
      <c r="K276" s="64"/>
      <c r="L276" s="64"/>
      <c r="M276" s="64"/>
      <c r="N276" s="64"/>
      <c r="O276" s="64"/>
      <c r="P276" s="64"/>
      <c r="Q276" s="64"/>
      <c r="T276" s="80"/>
    </row>
    <row r="277" spans="1:20">
      <c r="A277" s="141" t="s">
        <v>635</v>
      </c>
      <c r="B277" s="91"/>
      <c r="C277" s="328">
        <v>0</v>
      </c>
      <c r="D277" s="406">
        <f>+'Tariff Summary Lights'!F222</f>
        <v>9.5299999999999994</v>
      </c>
      <c r="E277" s="91"/>
      <c r="F277" s="80">
        <f t="shared" si="46"/>
        <v>0</v>
      </c>
      <c r="G277" s="406">
        <f t="shared" ca="1" si="54"/>
        <v>7.37</v>
      </c>
      <c r="H277" s="80">
        <f t="shared" ca="1" si="47"/>
        <v>0</v>
      </c>
      <c r="I277" s="91"/>
      <c r="J277" s="64"/>
      <c r="K277" s="64"/>
      <c r="L277" s="64"/>
      <c r="M277" s="64"/>
      <c r="N277" s="64"/>
      <c r="O277" s="64"/>
      <c r="P277" s="64"/>
      <c r="Q277" s="64"/>
      <c r="T277" s="80"/>
    </row>
    <row r="278" spans="1:20">
      <c r="A278" s="141" t="s">
        <v>636</v>
      </c>
      <c r="B278" s="91"/>
      <c r="C278" s="328">
        <v>0</v>
      </c>
      <c r="D278" s="406">
        <f>+'Tariff Summary Lights'!F223</f>
        <v>9.7099999999999991</v>
      </c>
      <c r="E278" s="91"/>
      <c r="F278" s="80">
        <f t="shared" si="46"/>
        <v>0</v>
      </c>
      <c r="G278" s="406">
        <f t="shared" ca="1" si="54"/>
        <v>7.37</v>
      </c>
      <c r="H278" s="80">
        <f t="shared" ca="1" si="47"/>
        <v>0</v>
      </c>
      <c r="I278" s="91"/>
      <c r="J278" s="64"/>
      <c r="K278" s="64"/>
      <c r="L278" s="64"/>
      <c r="M278" s="64"/>
      <c r="N278" s="64"/>
      <c r="O278" s="64"/>
      <c r="P278" s="64"/>
      <c r="Q278" s="64"/>
      <c r="T278" s="80"/>
    </row>
    <row r="279" spans="1:20">
      <c r="A279" s="141" t="s">
        <v>637</v>
      </c>
      <c r="B279" s="91"/>
      <c r="C279" s="328">
        <v>0</v>
      </c>
      <c r="D279" s="406">
        <f>+'Tariff Summary Lights'!F224</f>
        <v>9.879999999999999</v>
      </c>
      <c r="E279" s="91"/>
      <c r="F279" s="80">
        <f t="shared" si="46"/>
        <v>0</v>
      </c>
      <c r="G279" s="457">
        <f ca="1">ROUND('[7]JAP-22 Combined Charges'!$J$100,2)</f>
        <v>8.2899999999999991</v>
      </c>
      <c r="H279" s="80">
        <f t="shared" ca="1" si="47"/>
        <v>0</v>
      </c>
      <c r="I279" s="91"/>
      <c r="J279" s="64"/>
      <c r="K279" s="64"/>
      <c r="L279" s="64"/>
      <c r="M279" s="64"/>
      <c r="N279" s="64"/>
      <c r="O279" s="64"/>
      <c r="P279" s="64"/>
      <c r="Q279" s="64"/>
      <c r="T279" s="80"/>
    </row>
    <row r="280" spans="1:20">
      <c r="A280" s="141" t="s">
        <v>638</v>
      </c>
      <c r="B280" s="91"/>
      <c r="C280" s="328">
        <v>0</v>
      </c>
      <c r="D280" s="406">
        <f>+'Tariff Summary Lights'!F225</f>
        <v>10.059999999999999</v>
      </c>
      <c r="E280" s="91"/>
      <c r="F280" s="80">
        <f t="shared" si="46"/>
        <v>0</v>
      </c>
      <c r="G280" s="406">
        <f ca="1">+G279</f>
        <v>8.2899999999999991</v>
      </c>
      <c r="H280" s="80">
        <f t="shared" ca="1" si="47"/>
        <v>0</v>
      </c>
      <c r="I280" s="91"/>
      <c r="J280" s="64"/>
      <c r="K280" s="64"/>
      <c r="L280" s="64"/>
      <c r="M280" s="64"/>
      <c r="N280" s="64"/>
      <c r="O280" s="64"/>
      <c r="P280" s="64"/>
      <c r="Q280" s="64"/>
      <c r="T280" s="80"/>
    </row>
    <row r="281" spans="1:20">
      <c r="A281" s="141" t="s">
        <v>639</v>
      </c>
      <c r="B281" s="91"/>
      <c r="C281" s="328">
        <v>0</v>
      </c>
      <c r="D281" s="406">
        <f>+'Tariff Summary Lights'!F226</f>
        <v>10.23</v>
      </c>
      <c r="E281" s="91"/>
      <c r="F281" s="80">
        <f t="shared" si="46"/>
        <v>0</v>
      </c>
      <c r="G281" s="406">
        <f t="shared" ref="G281:G284" ca="1" si="55">+G280</f>
        <v>8.2899999999999991</v>
      </c>
      <c r="H281" s="80">
        <f t="shared" ca="1" si="47"/>
        <v>0</v>
      </c>
      <c r="I281" s="91"/>
      <c r="J281" s="64"/>
      <c r="K281" s="64"/>
      <c r="L281" s="64"/>
      <c r="M281" s="64"/>
      <c r="N281" s="64"/>
      <c r="O281" s="64"/>
      <c r="P281" s="64"/>
      <c r="Q281" s="64"/>
      <c r="T281" s="80"/>
    </row>
    <row r="282" spans="1:20">
      <c r="A282" s="141" t="s">
        <v>640</v>
      </c>
      <c r="B282" s="91"/>
      <c r="C282" s="328">
        <v>0</v>
      </c>
      <c r="D282" s="406">
        <f>+'Tariff Summary Lights'!F227</f>
        <v>10.41</v>
      </c>
      <c r="E282" s="91"/>
      <c r="F282" s="80">
        <f t="shared" si="46"/>
        <v>0</v>
      </c>
      <c r="G282" s="406">
        <f t="shared" ca="1" si="55"/>
        <v>8.2899999999999991</v>
      </c>
      <c r="H282" s="80">
        <f t="shared" ca="1" si="47"/>
        <v>0</v>
      </c>
      <c r="I282" s="91"/>
      <c r="J282" s="64"/>
      <c r="K282" s="64"/>
      <c r="L282" s="64"/>
      <c r="M282" s="64"/>
      <c r="N282" s="64"/>
      <c r="O282" s="64"/>
      <c r="P282" s="64"/>
      <c r="Q282" s="64"/>
      <c r="T282" s="80"/>
    </row>
    <row r="283" spans="1:20">
      <c r="A283" s="141" t="s">
        <v>641</v>
      </c>
      <c r="B283" s="91"/>
      <c r="C283" s="328">
        <v>0</v>
      </c>
      <c r="D283" s="406">
        <f>+'Tariff Summary Lights'!F228</f>
        <v>10.58</v>
      </c>
      <c r="E283" s="91"/>
      <c r="F283" s="80">
        <f t="shared" si="46"/>
        <v>0</v>
      </c>
      <c r="G283" s="406">
        <f t="shared" ca="1" si="55"/>
        <v>8.2899999999999991</v>
      </c>
      <c r="H283" s="80">
        <f t="shared" ca="1" si="47"/>
        <v>0</v>
      </c>
      <c r="I283" s="91"/>
      <c r="J283" s="64"/>
      <c r="K283" s="64"/>
      <c r="L283" s="64"/>
      <c r="M283" s="64"/>
      <c r="N283" s="64"/>
      <c r="O283" s="64"/>
      <c r="P283" s="64"/>
      <c r="Q283" s="64"/>
      <c r="T283" s="80"/>
    </row>
    <row r="284" spans="1:20">
      <c r="A284" s="141" t="s">
        <v>642</v>
      </c>
      <c r="B284" s="91"/>
      <c r="C284" s="328">
        <v>0</v>
      </c>
      <c r="D284" s="406">
        <f>+'Tariff Summary Lights'!F229</f>
        <v>10.76</v>
      </c>
      <c r="E284" s="91"/>
      <c r="F284" s="80">
        <f t="shared" si="46"/>
        <v>0</v>
      </c>
      <c r="G284" s="406">
        <f t="shared" ca="1" si="55"/>
        <v>8.2899999999999991</v>
      </c>
      <c r="H284" s="80">
        <f t="shared" ca="1" si="47"/>
        <v>0</v>
      </c>
      <c r="I284" s="91"/>
      <c r="J284" s="64"/>
      <c r="K284" s="64"/>
      <c r="L284" s="64"/>
      <c r="M284" s="64"/>
      <c r="N284" s="64"/>
      <c r="O284" s="64"/>
      <c r="P284" s="64"/>
      <c r="Q284" s="64"/>
      <c r="T284" s="80"/>
    </row>
    <row r="285" spans="1:20">
      <c r="A285" s="141" t="s">
        <v>643</v>
      </c>
      <c r="B285" s="91"/>
      <c r="C285" s="328">
        <v>0</v>
      </c>
      <c r="D285" s="406">
        <f>+'Tariff Summary Lights'!F230</f>
        <v>10.94</v>
      </c>
      <c r="E285" s="91"/>
      <c r="F285" s="80">
        <f t="shared" si="46"/>
        <v>0</v>
      </c>
      <c r="G285" s="457">
        <f ca="1">ROUND('[7]JAP-22 Combined Charges'!$J$101,2)</f>
        <v>9.2200000000000006</v>
      </c>
      <c r="H285" s="80">
        <f t="shared" ca="1" si="47"/>
        <v>0</v>
      </c>
      <c r="I285" s="91"/>
      <c r="J285" s="64"/>
      <c r="K285" s="64"/>
      <c r="L285" s="64"/>
      <c r="M285" s="64"/>
      <c r="N285" s="64"/>
      <c r="O285" s="64"/>
      <c r="P285" s="64"/>
      <c r="Q285" s="64"/>
      <c r="T285" s="80"/>
    </row>
    <row r="286" spans="1:20">
      <c r="A286" s="141" t="s">
        <v>644</v>
      </c>
      <c r="B286" s="91"/>
      <c r="C286" s="328">
        <v>0</v>
      </c>
      <c r="D286" s="406">
        <f>+'Tariff Summary Lights'!F231</f>
        <v>11.110000000000001</v>
      </c>
      <c r="E286" s="91"/>
      <c r="F286" s="80">
        <f t="shared" si="46"/>
        <v>0</v>
      </c>
      <c r="G286" s="406">
        <f ca="1">+G285</f>
        <v>9.2200000000000006</v>
      </c>
      <c r="H286" s="80">
        <f t="shared" ca="1" si="47"/>
        <v>0</v>
      </c>
      <c r="I286" s="91"/>
      <c r="J286" s="64"/>
      <c r="K286" s="64"/>
      <c r="L286" s="64"/>
      <c r="M286" s="64"/>
      <c r="N286" s="64"/>
      <c r="O286" s="64"/>
      <c r="P286" s="64"/>
      <c r="Q286" s="64"/>
      <c r="T286" s="80"/>
    </row>
    <row r="287" spans="1:20">
      <c r="A287" s="141" t="s">
        <v>645</v>
      </c>
      <c r="B287" s="91"/>
      <c r="C287" s="328">
        <v>0</v>
      </c>
      <c r="D287" s="406">
        <f>+'Tariff Summary Lights'!F232</f>
        <v>11.290000000000001</v>
      </c>
      <c r="E287" s="91"/>
      <c r="F287" s="80">
        <f t="shared" si="46"/>
        <v>0</v>
      </c>
      <c r="G287" s="406">
        <f t="shared" ref="G287:G290" ca="1" si="56">+G286</f>
        <v>9.2200000000000006</v>
      </c>
      <c r="H287" s="80">
        <f t="shared" ca="1" si="47"/>
        <v>0</v>
      </c>
      <c r="I287" s="91"/>
      <c r="J287" s="64"/>
      <c r="K287" s="64"/>
      <c r="L287" s="64"/>
      <c r="M287" s="64"/>
      <c r="N287" s="64"/>
      <c r="O287" s="64"/>
      <c r="P287" s="64"/>
      <c r="Q287" s="64"/>
      <c r="T287" s="80"/>
    </row>
    <row r="288" spans="1:20">
      <c r="A288" s="141" t="s">
        <v>646</v>
      </c>
      <c r="B288" s="91"/>
      <c r="C288" s="328">
        <v>0</v>
      </c>
      <c r="D288" s="406">
        <f>+'Tariff Summary Lights'!F233</f>
        <v>11.46</v>
      </c>
      <c r="E288" s="91"/>
      <c r="F288" s="80">
        <f t="shared" si="46"/>
        <v>0</v>
      </c>
      <c r="G288" s="406">
        <f t="shared" ca="1" si="56"/>
        <v>9.2200000000000006</v>
      </c>
      <c r="H288" s="80">
        <f t="shared" ca="1" si="47"/>
        <v>0</v>
      </c>
      <c r="I288" s="91"/>
      <c r="J288" s="64"/>
      <c r="K288" s="64"/>
      <c r="L288" s="64"/>
      <c r="M288" s="64"/>
      <c r="N288" s="64"/>
      <c r="O288" s="64"/>
      <c r="P288" s="64"/>
      <c r="Q288" s="64"/>
      <c r="T288" s="80"/>
    </row>
    <row r="289" spans="1:20">
      <c r="A289" s="141" t="s">
        <v>647</v>
      </c>
      <c r="B289" s="91"/>
      <c r="C289" s="328">
        <v>0</v>
      </c>
      <c r="D289" s="406">
        <f>+'Tariff Summary Lights'!F234</f>
        <v>11.64</v>
      </c>
      <c r="E289" s="91"/>
      <c r="F289" s="80">
        <f t="shared" si="46"/>
        <v>0</v>
      </c>
      <c r="G289" s="406">
        <f t="shared" ca="1" si="56"/>
        <v>9.2200000000000006</v>
      </c>
      <c r="H289" s="80">
        <f t="shared" ca="1" si="47"/>
        <v>0</v>
      </c>
      <c r="I289" s="91"/>
      <c r="J289" s="64"/>
      <c r="K289" s="64"/>
      <c r="L289" s="64"/>
      <c r="M289" s="64"/>
      <c r="N289" s="64"/>
      <c r="O289" s="64"/>
      <c r="P289" s="64"/>
      <c r="Q289" s="64"/>
      <c r="T289" s="80"/>
    </row>
    <row r="290" spans="1:20">
      <c r="A290" s="141" t="s">
        <v>648</v>
      </c>
      <c r="B290" s="91"/>
      <c r="C290" s="328">
        <v>0</v>
      </c>
      <c r="D290" s="406">
        <f>+'Tariff Summary Lights'!F235</f>
        <v>11.81</v>
      </c>
      <c r="E290" s="91"/>
      <c r="F290" s="80">
        <f t="shared" si="46"/>
        <v>0</v>
      </c>
      <c r="G290" s="406">
        <f t="shared" ca="1" si="56"/>
        <v>9.2200000000000006</v>
      </c>
      <c r="H290" s="80">
        <f t="shared" ca="1" si="47"/>
        <v>0</v>
      </c>
      <c r="I290" s="91"/>
      <c r="J290" s="64"/>
      <c r="K290" s="64"/>
      <c r="L290" s="64"/>
      <c r="M290" s="64"/>
      <c r="N290" s="64"/>
      <c r="O290" s="64"/>
      <c r="P290" s="64"/>
      <c r="Q290" s="64"/>
      <c r="T290" s="80"/>
    </row>
    <row r="291" spans="1:20">
      <c r="A291" s="409" t="s">
        <v>37</v>
      </c>
      <c r="B291" s="64"/>
      <c r="C291" s="410">
        <f>SUM(C149:C290)</f>
        <v>80680</v>
      </c>
      <c r="D291" s="411"/>
      <c r="E291" s="64"/>
      <c r="F291" s="429">
        <f>SUM(F149:F290)</f>
        <v>11593090</v>
      </c>
      <c r="G291" s="411"/>
      <c r="H291" s="429">
        <f ca="1">SUM(H149:H290)</f>
        <v>12400186</v>
      </c>
      <c r="I291" s="91"/>
      <c r="J291" s="64"/>
      <c r="K291" s="64"/>
      <c r="L291" s="64"/>
      <c r="M291" s="64"/>
      <c r="N291" s="64"/>
      <c r="O291" s="64"/>
      <c r="P291" s="64"/>
      <c r="Q291" s="64"/>
      <c r="T291" s="429"/>
    </row>
    <row r="292" spans="1:20">
      <c r="A292" s="409"/>
      <c r="B292" s="64"/>
      <c r="C292" s="329"/>
      <c r="D292" s="411"/>
      <c r="E292" s="64"/>
      <c r="F292" s="434"/>
      <c r="G292" s="411"/>
      <c r="H292" s="434"/>
      <c r="I292" s="91"/>
      <c r="J292" s="64"/>
      <c r="K292" s="64"/>
      <c r="L292" s="64"/>
      <c r="M292" s="64"/>
      <c r="N292" s="64"/>
      <c r="O292" s="64"/>
      <c r="P292" s="64"/>
      <c r="Q292" s="64"/>
    </row>
    <row r="293" spans="1:20">
      <c r="A293" s="140" t="s">
        <v>186</v>
      </c>
      <c r="B293" s="91"/>
      <c r="C293" s="412">
        <v>29281</v>
      </c>
      <c r="D293" s="414"/>
      <c r="E293" s="416"/>
      <c r="F293" s="417"/>
      <c r="G293" s="414"/>
      <c r="H293" s="418"/>
      <c r="I293" s="80"/>
      <c r="J293" s="64"/>
      <c r="K293" s="64"/>
      <c r="L293" s="64"/>
      <c r="M293" s="64"/>
      <c r="N293" s="64"/>
      <c r="O293" s="64"/>
      <c r="P293" s="64"/>
      <c r="Q293" s="64"/>
    </row>
    <row r="294" spans="1:20">
      <c r="A294" s="140"/>
      <c r="B294" s="91"/>
      <c r="C294" s="412"/>
      <c r="D294" s="414"/>
      <c r="E294" s="416"/>
      <c r="F294" s="417"/>
      <c r="G294" s="414"/>
      <c r="H294" s="418"/>
      <c r="I294" s="418"/>
      <c r="J294" s="414"/>
      <c r="K294" s="419"/>
      <c r="L294" s="414"/>
      <c r="M294" s="414"/>
      <c r="N294" s="414"/>
      <c r="O294" s="414"/>
      <c r="P294" s="414"/>
      <c r="Q294" s="414"/>
      <c r="R294" s="414"/>
      <c r="S294" s="414"/>
      <c r="T294" s="414"/>
    </row>
    <row r="295" spans="1:20">
      <c r="A295" s="413" t="s">
        <v>436</v>
      </c>
      <c r="B295" s="414"/>
      <c r="C295" s="415">
        <v>46174693.041000001</v>
      </c>
      <c r="D295" s="414"/>
      <c r="E295" s="416"/>
      <c r="F295" s="417"/>
      <c r="G295" s="414"/>
      <c r="H295" s="418"/>
      <c r="I295" s="435"/>
      <c r="J295" s="64"/>
      <c r="K295" s="64"/>
      <c r="L295" s="64"/>
      <c r="M295" s="64"/>
      <c r="N295" s="64"/>
      <c r="O295" s="64"/>
      <c r="P295" s="64"/>
      <c r="Q295" s="64"/>
    </row>
    <row r="296" spans="1:20">
      <c r="A296" s="413" t="s">
        <v>437</v>
      </c>
      <c r="B296" s="64"/>
      <c r="C296" s="328">
        <v>-2758687.0775000006</v>
      </c>
      <c r="D296" s="420">
        <f>ROUND(F296/C296,6)</f>
        <v>0.12163</v>
      </c>
      <c r="E296" s="421"/>
      <c r="F296" s="80">
        <f>$P$16</f>
        <v>-335538</v>
      </c>
      <c r="G296" s="420">
        <f ca="1">ROUND(H296/C296,6)</f>
        <v>0.123918</v>
      </c>
      <c r="H296" s="80">
        <f ca="1">ROUND(+F296*(1+J296),0)</f>
        <v>-341851</v>
      </c>
      <c r="I296" s="421"/>
      <c r="J296" s="110">
        <f ca="1">+$J$45</f>
        <v>1.8815167015235074E-2</v>
      </c>
      <c r="K296" s="492" t="s">
        <v>438</v>
      </c>
      <c r="L296" s="492"/>
      <c r="M296" s="458"/>
      <c r="N296" s="458"/>
      <c r="O296" s="458"/>
      <c r="P296" s="458"/>
      <c r="Q296" s="458"/>
      <c r="R296" s="458"/>
      <c r="S296" s="458"/>
      <c r="T296" s="458"/>
    </row>
    <row r="297" spans="1:20" ht="16.2" thickBot="1">
      <c r="A297" s="143" t="s">
        <v>38</v>
      </c>
      <c r="B297" s="91"/>
      <c r="C297" s="422">
        <f>SUM(C295:C296)</f>
        <v>43416005.963500001</v>
      </c>
      <c r="D297" s="83"/>
      <c r="E297" s="64"/>
      <c r="F297" s="423">
        <f>SUM(F296,F291)</f>
        <v>11257552</v>
      </c>
      <c r="G297" s="83"/>
      <c r="H297" s="423">
        <f ca="1">SUM(H296,H291)</f>
        <v>12058335</v>
      </c>
      <c r="I297" s="85"/>
      <c r="J297" s="64"/>
      <c r="K297" s="64"/>
      <c r="L297" s="64"/>
      <c r="M297" s="64"/>
      <c r="N297" s="64"/>
      <c r="O297" s="64"/>
      <c r="P297" s="64"/>
      <c r="Q297" s="64"/>
    </row>
    <row r="298" spans="1:20" ht="16.2" thickTop="1">
      <c r="A298" s="436"/>
      <c r="B298" s="91"/>
      <c r="C298" s="128"/>
      <c r="D298" s="437"/>
      <c r="E298" s="121"/>
      <c r="F298" s="83"/>
      <c r="G298" s="437"/>
      <c r="H298" s="83"/>
      <c r="I298" s="83"/>
      <c r="J298" s="64"/>
      <c r="K298" s="64"/>
      <c r="L298" s="64"/>
      <c r="M298" s="64"/>
      <c r="N298" s="64"/>
      <c r="O298" s="64"/>
      <c r="P298" s="64"/>
      <c r="Q298" s="64"/>
    </row>
    <row r="299" spans="1:20">
      <c r="A299" s="91"/>
      <c r="B299" s="91"/>
      <c r="C299" s="128"/>
      <c r="D299" s="437"/>
      <c r="E299" s="121"/>
      <c r="F299" s="83"/>
      <c r="G299" s="437"/>
      <c r="H299" s="83"/>
      <c r="I299" s="83"/>
      <c r="J299" s="64"/>
      <c r="K299" s="64"/>
      <c r="L299" s="64"/>
      <c r="M299" s="64"/>
      <c r="N299" s="64"/>
      <c r="O299" s="64"/>
      <c r="P299" s="64"/>
      <c r="Q299" s="64"/>
    </row>
    <row r="300" spans="1:20">
      <c r="A300" s="91"/>
      <c r="B300" s="91"/>
      <c r="C300" s="128"/>
      <c r="D300" s="437"/>
      <c r="E300" s="121"/>
      <c r="F300" s="83"/>
      <c r="G300" s="437"/>
      <c r="H300" s="83"/>
      <c r="I300" s="83"/>
      <c r="J300" s="64"/>
      <c r="K300" s="64"/>
      <c r="L300" s="64"/>
      <c r="M300" s="64"/>
      <c r="N300" s="64"/>
      <c r="O300" s="64"/>
      <c r="P300" s="64"/>
      <c r="Q300" s="64"/>
    </row>
    <row r="301" spans="1:20">
      <c r="A301" s="91"/>
      <c r="B301" s="91"/>
      <c r="C301" s="128"/>
      <c r="D301" s="437" t="s">
        <v>0</v>
      </c>
      <c r="E301" s="121"/>
      <c r="F301" s="83"/>
      <c r="G301" s="437" t="s">
        <v>0</v>
      </c>
      <c r="H301" s="83" t="s">
        <v>0</v>
      </c>
      <c r="I301" s="83"/>
      <c r="J301" s="64"/>
      <c r="K301" s="64"/>
      <c r="L301" s="64"/>
      <c r="M301" s="64"/>
      <c r="N301" s="64"/>
      <c r="O301" s="64"/>
      <c r="P301" s="64"/>
      <c r="Q301" s="64"/>
    </row>
    <row r="302" spans="1:20">
      <c r="A302" s="539" t="s">
        <v>51</v>
      </c>
      <c r="B302" s="539"/>
      <c r="C302" s="539"/>
      <c r="D302" s="539"/>
      <c r="E302" s="539"/>
      <c r="F302" s="539"/>
      <c r="G302" s="539"/>
      <c r="H302" s="539"/>
      <c r="I302" s="91"/>
      <c r="J302" s="64"/>
      <c r="K302" s="64"/>
      <c r="L302" s="64"/>
      <c r="M302" s="64"/>
      <c r="N302" s="64"/>
      <c r="O302" s="64"/>
      <c r="P302" s="64"/>
      <c r="Q302" s="64"/>
    </row>
    <row r="303" spans="1:20">
      <c r="A303" s="140" t="s">
        <v>649</v>
      </c>
      <c r="B303" s="91"/>
      <c r="C303" s="91"/>
      <c r="D303" s="91"/>
      <c r="E303" s="91"/>
      <c r="F303" s="91"/>
      <c r="G303" s="91"/>
      <c r="H303" s="91"/>
      <c r="I303" s="91"/>
      <c r="J303" s="64"/>
      <c r="K303" s="64"/>
      <c r="L303" s="64"/>
      <c r="M303" s="64"/>
      <c r="N303" s="64"/>
      <c r="O303" s="64"/>
      <c r="P303" s="64"/>
      <c r="Q303" s="64"/>
    </row>
    <row r="304" spans="1:20">
      <c r="A304" s="91"/>
      <c r="B304" s="91"/>
      <c r="C304" s="91"/>
      <c r="D304" s="432"/>
      <c r="E304" s="91"/>
      <c r="F304" s="91"/>
      <c r="G304" s="432"/>
      <c r="H304" s="91"/>
      <c r="I304" s="91"/>
      <c r="J304" s="64"/>
      <c r="K304" s="64"/>
      <c r="L304" s="64"/>
      <c r="M304" s="64"/>
      <c r="N304" s="64"/>
      <c r="O304" s="64"/>
      <c r="P304" s="64"/>
      <c r="Q304" s="64"/>
    </row>
    <row r="305" spans="1:20">
      <c r="A305" s="141" t="s">
        <v>650</v>
      </c>
      <c r="B305" s="91"/>
      <c r="C305" s="328">
        <v>38</v>
      </c>
      <c r="D305" s="406">
        <f>+'Tariff Summary Lights'!F237</f>
        <v>2.02</v>
      </c>
      <c r="E305" s="91"/>
      <c r="F305" s="80">
        <f t="shared" ref="F305:F313" si="57">IF(D305="n/a",0,ROUND(C305*D305*12,0))</f>
        <v>921</v>
      </c>
      <c r="G305" s="406">
        <f ca="1">ROUND(+'[7]JAP-22 Combined Charges'!J104,2)</f>
        <v>1.54</v>
      </c>
      <c r="H305" s="80">
        <f t="shared" ref="H305:H313" ca="1" si="58">ROUND(G305*$C305*12,0)</f>
        <v>702</v>
      </c>
      <c r="I305" s="80"/>
      <c r="J305" s="162"/>
      <c r="K305" s="64"/>
      <c r="L305" s="81"/>
      <c r="M305" s="64"/>
      <c r="N305" s="64"/>
      <c r="O305" s="64"/>
      <c r="P305" s="64"/>
      <c r="Q305" s="64"/>
      <c r="T305" s="80"/>
    </row>
    <row r="306" spans="1:20">
      <c r="A306" s="141" t="s">
        <v>651</v>
      </c>
      <c r="B306" s="91"/>
      <c r="C306" s="328">
        <v>797</v>
      </c>
      <c r="D306" s="406">
        <f>+'Tariff Summary Lights'!F238</f>
        <v>2.94</v>
      </c>
      <c r="E306" s="91"/>
      <c r="F306" s="80">
        <f t="shared" si="57"/>
        <v>28118</v>
      </c>
      <c r="G306" s="406">
        <f ca="1">ROUND(+'[7]JAP-22 Combined Charges'!J105,2)</f>
        <v>2.16</v>
      </c>
      <c r="H306" s="80">
        <f t="shared" ca="1" si="58"/>
        <v>20658</v>
      </c>
      <c r="I306" s="80"/>
      <c r="J306" s="64"/>
      <c r="K306" s="64"/>
      <c r="L306" s="81"/>
      <c r="M306" s="64"/>
      <c r="N306" s="64"/>
      <c r="O306" s="64"/>
      <c r="P306" s="64"/>
      <c r="Q306" s="64"/>
      <c r="T306" s="80"/>
    </row>
    <row r="307" spans="1:20">
      <c r="A307" s="141" t="s">
        <v>652</v>
      </c>
      <c r="B307" s="91"/>
      <c r="C307" s="328">
        <v>1936</v>
      </c>
      <c r="D307" s="406">
        <f>+'Tariff Summary Lights'!F239</f>
        <v>4.1399999999999997</v>
      </c>
      <c r="E307" s="91"/>
      <c r="F307" s="80">
        <f t="shared" si="57"/>
        <v>96180</v>
      </c>
      <c r="G307" s="406">
        <f ca="1">ROUND(+'[7]JAP-22 Combined Charges'!J106,2)</f>
        <v>3.09</v>
      </c>
      <c r="H307" s="80">
        <f t="shared" ca="1" si="58"/>
        <v>71787</v>
      </c>
      <c r="I307" s="80"/>
      <c r="J307" s="64"/>
      <c r="K307" s="64"/>
      <c r="L307" s="81"/>
      <c r="M307" s="64"/>
      <c r="N307" s="64"/>
      <c r="O307" s="64"/>
      <c r="P307" s="64"/>
      <c r="Q307" s="64"/>
      <c r="T307" s="80"/>
    </row>
    <row r="308" spans="1:20">
      <c r="A308" s="141" t="s">
        <v>653</v>
      </c>
      <c r="B308" s="91"/>
      <c r="C308" s="328">
        <v>746</v>
      </c>
      <c r="D308" s="406">
        <f>+'Tariff Summary Lights'!F240</f>
        <v>6.01</v>
      </c>
      <c r="E308" s="91"/>
      <c r="F308" s="80">
        <f t="shared" si="57"/>
        <v>53802</v>
      </c>
      <c r="G308" s="406">
        <f ca="1">ROUND(+'[7]JAP-22 Combined Charges'!J107,2)</f>
        <v>4.63</v>
      </c>
      <c r="H308" s="80">
        <f t="shared" ca="1" si="58"/>
        <v>41448</v>
      </c>
      <c r="I308" s="80"/>
      <c r="J308" s="64"/>
      <c r="K308" s="64"/>
      <c r="L308" s="81"/>
      <c r="M308" s="64"/>
      <c r="N308" s="64"/>
      <c r="O308" s="64"/>
      <c r="P308" s="64"/>
      <c r="Q308" s="64"/>
      <c r="T308" s="80"/>
    </row>
    <row r="309" spans="1:20">
      <c r="A309" s="141" t="s">
        <v>654</v>
      </c>
      <c r="B309" s="91"/>
      <c r="C309" s="328">
        <v>756</v>
      </c>
      <c r="D309" s="406">
        <f>+'Tariff Summary Lights'!F241</f>
        <v>7.9600000000000009</v>
      </c>
      <c r="E309" s="91"/>
      <c r="F309" s="80">
        <f t="shared" si="57"/>
        <v>72213</v>
      </c>
      <c r="G309" s="406">
        <f ca="1">ROUND(+'[7]JAP-22 Combined Charges'!J108,2)</f>
        <v>6.17</v>
      </c>
      <c r="H309" s="80">
        <f t="shared" ca="1" si="58"/>
        <v>55974</v>
      </c>
      <c r="I309" s="80"/>
      <c r="J309" s="64"/>
      <c r="K309" s="64"/>
      <c r="L309" s="81"/>
      <c r="M309" s="64"/>
      <c r="N309" s="64"/>
      <c r="O309" s="64"/>
      <c r="P309" s="64"/>
      <c r="Q309" s="64"/>
      <c r="T309" s="80"/>
    </row>
    <row r="310" spans="1:20">
      <c r="A310" s="141" t="s">
        <v>655</v>
      </c>
      <c r="B310" s="91"/>
      <c r="C310" s="328">
        <v>1872</v>
      </c>
      <c r="D310" s="406">
        <f>+'Tariff Summary Lights'!F242</f>
        <v>9.879999999999999</v>
      </c>
      <c r="E310" s="91"/>
      <c r="F310" s="80">
        <f t="shared" si="57"/>
        <v>221944</v>
      </c>
      <c r="G310" s="406">
        <f ca="1">ROUND(+'[7]JAP-22 Combined Charges'!J109,2)</f>
        <v>7.72</v>
      </c>
      <c r="H310" s="80">
        <f t="shared" ca="1" si="58"/>
        <v>173422</v>
      </c>
      <c r="I310" s="80"/>
      <c r="J310" s="64"/>
      <c r="K310" s="64"/>
      <c r="L310" s="81"/>
      <c r="M310" s="64"/>
      <c r="N310" s="64"/>
      <c r="O310" s="64"/>
      <c r="P310" s="64"/>
      <c r="Q310" s="64"/>
      <c r="T310" s="80"/>
    </row>
    <row r="311" spans="1:20">
      <c r="A311" s="141" t="s">
        <v>656</v>
      </c>
      <c r="B311" s="91"/>
      <c r="C311" s="328">
        <v>77</v>
      </c>
      <c r="D311" s="406">
        <f>+'Tariff Summary Lights'!F243</f>
        <v>13.49</v>
      </c>
      <c r="E311" s="91"/>
      <c r="F311" s="80">
        <f t="shared" si="57"/>
        <v>12465</v>
      </c>
      <c r="G311" s="406">
        <f ca="1">ROUND(+'[7]JAP-22 Combined Charges'!J110,2)</f>
        <v>9.57</v>
      </c>
      <c r="H311" s="80">
        <f t="shared" ca="1" si="58"/>
        <v>8843</v>
      </c>
      <c r="I311" s="80"/>
      <c r="J311" s="64"/>
      <c r="K311" s="64"/>
      <c r="L311" s="81"/>
      <c r="M311" s="64"/>
      <c r="N311" s="64"/>
      <c r="O311" s="64"/>
      <c r="P311" s="64"/>
      <c r="Q311" s="64"/>
      <c r="T311" s="80"/>
    </row>
    <row r="312" spans="1:20">
      <c r="A312" s="141" t="s">
        <v>657</v>
      </c>
      <c r="B312" s="91"/>
      <c r="C312" s="328">
        <v>1401</v>
      </c>
      <c r="D312" s="406">
        <f>+'Tariff Summary Lights'!F244</f>
        <v>15.43</v>
      </c>
      <c r="E312" s="91"/>
      <c r="F312" s="80">
        <f t="shared" si="57"/>
        <v>259409</v>
      </c>
      <c r="G312" s="406">
        <f ca="1">ROUND(+'[7]JAP-22 Combined Charges'!J111,2)</f>
        <v>12.35</v>
      </c>
      <c r="H312" s="80">
        <f t="shared" ca="1" si="58"/>
        <v>207628</v>
      </c>
      <c r="I312" s="80"/>
      <c r="J312" s="64"/>
      <c r="K312" s="64"/>
      <c r="L312" s="81"/>
      <c r="M312" s="64"/>
      <c r="N312" s="64"/>
      <c r="O312" s="64"/>
      <c r="P312" s="64"/>
      <c r="Q312" s="64"/>
      <c r="T312" s="80"/>
    </row>
    <row r="313" spans="1:20">
      <c r="A313" s="141" t="s">
        <v>658</v>
      </c>
      <c r="B313" s="91"/>
      <c r="C313" s="328">
        <v>11</v>
      </c>
      <c r="D313" s="406">
        <f>+'Tariff Summary Lights'!F245</f>
        <v>38.839999999999996</v>
      </c>
      <c r="E313" s="91"/>
      <c r="F313" s="80">
        <f t="shared" si="57"/>
        <v>5127</v>
      </c>
      <c r="G313" s="406">
        <f ca="1">ROUND(+'[7]JAP-22 Combined Charges'!J112,2)</f>
        <v>30.87</v>
      </c>
      <c r="H313" s="80">
        <f t="shared" ca="1" si="58"/>
        <v>4075</v>
      </c>
      <c r="I313" s="80"/>
      <c r="J313" s="64"/>
      <c r="K313" s="64"/>
      <c r="L313" s="81"/>
      <c r="M313" s="64"/>
      <c r="N313" s="64"/>
      <c r="O313" s="64"/>
      <c r="P313" s="64"/>
      <c r="Q313" s="64"/>
      <c r="T313" s="80"/>
    </row>
    <row r="314" spans="1:20">
      <c r="A314" s="141"/>
      <c r="B314" s="91"/>
      <c r="C314" s="328"/>
      <c r="D314" s="406"/>
      <c r="E314" s="91"/>
      <c r="F314" s="80"/>
      <c r="G314" s="406"/>
      <c r="H314" s="80"/>
      <c r="I314" s="80"/>
      <c r="J314" s="64"/>
      <c r="K314" s="64"/>
      <c r="L314" s="81"/>
      <c r="M314" s="64"/>
      <c r="N314" s="64"/>
      <c r="O314" s="64"/>
      <c r="P314" s="64"/>
      <c r="Q314" s="64"/>
      <c r="T314" s="80"/>
    </row>
    <row r="315" spans="1:20">
      <c r="A315" s="141" t="s">
        <v>659</v>
      </c>
      <c r="B315" s="91"/>
      <c r="C315" s="328">
        <v>136</v>
      </c>
      <c r="D315" s="406">
        <f>+'Tariff Summary Lights'!F247</f>
        <v>1.1399999999999999</v>
      </c>
      <c r="E315" s="91"/>
      <c r="F315" s="80">
        <f t="shared" ref="F315:F368" si="59">IF(D315="n/a",0,ROUND(C315*D315*12,0))</f>
        <v>1860</v>
      </c>
      <c r="G315" s="457">
        <f ca="1">ROUND('[7]JAP-22 Combined Charges'!$J$115,2)</f>
        <v>1.39</v>
      </c>
      <c r="H315" s="80">
        <f t="shared" ref="H315:H368" ca="1" si="60">ROUND(G315*$C315*12,0)</f>
        <v>2268</v>
      </c>
      <c r="I315" s="80"/>
      <c r="J315" s="64"/>
      <c r="K315" s="64"/>
      <c r="L315" s="81"/>
      <c r="M315" s="64"/>
      <c r="N315" s="81"/>
      <c r="O315" s="64"/>
      <c r="P315" s="64"/>
      <c r="Q315" s="64"/>
      <c r="T315" s="80"/>
    </row>
    <row r="316" spans="1:20">
      <c r="A316" s="141" t="s">
        <v>660</v>
      </c>
      <c r="B316" s="91"/>
      <c r="C316" s="328">
        <v>98</v>
      </c>
      <c r="D316" s="406">
        <f>+'Tariff Summary Lights'!F248</f>
        <v>1.3499999999999999</v>
      </c>
      <c r="E316" s="91"/>
      <c r="F316" s="80">
        <f t="shared" si="59"/>
        <v>1588</v>
      </c>
      <c r="G316" s="406">
        <f ca="1">+G315</f>
        <v>1.39</v>
      </c>
      <c r="H316" s="80">
        <f t="shared" ca="1" si="60"/>
        <v>1635</v>
      </c>
      <c r="I316" s="80"/>
      <c r="J316" s="64"/>
      <c r="K316" s="64"/>
      <c r="L316" s="81"/>
      <c r="M316" s="64"/>
      <c r="N316" s="81"/>
      <c r="O316" s="64"/>
      <c r="P316" s="64"/>
      <c r="Q316" s="64"/>
      <c r="T316" s="80"/>
    </row>
    <row r="317" spans="1:20">
      <c r="A317" s="141" t="s">
        <v>661</v>
      </c>
      <c r="B317" s="91"/>
      <c r="C317" s="328">
        <v>456</v>
      </c>
      <c r="D317" s="406">
        <f>+'Tariff Summary Lights'!F249</f>
        <v>1.49</v>
      </c>
      <c r="E317" s="91"/>
      <c r="F317" s="80">
        <f t="shared" si="59"/>
        <v>8153</v>
      </c>
      <c r="G317" s="406">
        <f t="shared" ref="G317:G320" ca="1" si="61">+G316</f>
        <v>1.39</v>
      </c>
      <c r="H317" s="80">
        <f t="shared" ca="1" si="60"/>
        <v>7606</v>
      </c>
      <c r="I317" s="80"/>
      <c r="J317" s="64"/>
      <c r="K317" s="64"/>
      <c r="L317" s="81"/>
      <c r="M317" s="64"/>
      <c r="N317" s="81"/>
      <c r="O317" s="64"/>
      <c r="P317" s="64"/>
      <c r="Q317" s="64"/>
      <c r="T317" s="80"/>
    </row>
    <row r="318" spans="1:20">
      <c r="A318" s="141" t="s">
        <v>662</v>
      </c>
      <c r="B318" s="91"/>
      <c r="C318" s="328">
        <v>0</v>
      </c>
      <c r="D318" s="406">
        <f>+'Tariff Summary Lights'!F250</f>
        <v>1.67</v>
      </c>
      <c r="E318" s="91"/>
      <c r="F318" s="80">
        <f t="shared" si="59"/>
        <v>0</v>
      </c>
      <c r="G318" s="406">
        <f t="shared" ca="1" si="61"/>
        <v>1.39</v>
      </c>
      <c r="H318" s="80">
        <f t="shared" ca="1" si="60"/>
        <v>0</v>
      </c>
      <c r="I318" s="80"/>
      <c r="J318" s="64"/>
      <c r="K318" s="64"/>
      <c r="L318" s="81"/>
      <c r="M318" s="64"/>
      <c r="N318" s="81"/>
      <c r="O318" s="64"/>
      <c r="P318" s="64"/>
      <c r="Q318" s="64"/>
      <c r="T318" s="80"/>
    </row>
    <row r="319" spans="1:20">
      <c r="A319" s="141" t="s">
        <v>663</v>
      </c>
      <c r="B319" s="91"/>
      <c r="C319" s="328">
        <v>442</v>
      </c>
      <c r="D319" s="406">
        <f>+'Tariff Summary Lights'!F251</f>
        <v>1.8399999999999999</v>
      </c>
      <c r="E319" s="91"/>
      <c r="F319" s="80">
        <f t="shared" si="59"/>
        <v>9759</v>
      </c>
      <c r="G319" s="406">
        <f t="shared" ca="1" si="61"/>
        <v>1.39</v>
      </c>
      <c r="H319" s="80">
        <f t="shared" ca="1" si="60"/>
        <v>7373</v>
      </c>
      <c r="I319" s="80"/>
      <c r="J319" s="64"/>
      <c r="K319" s="64"/>
      <c r="L319" s="81"/>
      <c r="M319" s="64"/>
      <c r="N319" s="81"/>
      <c r="O319" s="64"/>
      <c r="P319" s="64"/>
      <c r="Q319" s="64"/>
      <c r="T319" s="80"/>
    </row>
    <row r="320" spans="1:20">
      <c r="A320" s="141" t="s">
        <v>664</v>
      </c>
      <c r="B320" s="91"/>
      <c r="C320" s="328">
        <v>0</v>
      </c>
      <c r="D320" s="406">
        <f>+'Tariff Summary Lights'!F252</f>
        <v>2.0299999999999998</v>
      </c>
      <c r="E320" s="91"/>
      <c r="F320" s="80">
        <f t="shared" si="59"/>
        <v>0</v>
      </c>
      <c r="G320" s="406">
        <f t="shared" ca="1" si="61"/>
        <v>1.39</v>
      </c>
      <c r="H320" s="80">
        <f t="shared" ca="1" si="60"/>
        <v>0</v>
      </c>
      <c r="I320" s="80"/>
      <c r="J320" s="64"/>
      <c r="K320" s="64"/>
      <c r="L320" s="81"/>
      <c r="M320" s="64"/>
      <c r="N320" s="81"/>
      <c r="O320" s="64"/>
      <c r="P320" s="64"/>
      <c r="Q320" s="64"/>
      <c r="T320" s="80"/>
    </row>
    <row r="321" spans="1:20">
      <c r="A321" s="141" t="s">
        <v>665</v>
      </c>
      <c r="B321" s="91"/>
      <c r="C321" s="328">
        <v>0</v>
      </c>
      <c r="D321" s="406">
        <f>+'Tariff Summary Lights'!F253</f>
        <v>2.2000000000000002</v>
      </c>
      <c r="E321" s="91"/>
      <c r="F321" s="80">
        <f t="shared" si="59"/>
        <v>0</v>
      </c>
      <c r="G321" s="457">
        <f ca="1">ROUND('[7]JAP-22 Combined Charges'!$J$116,2)</f>
        <v>2.3199999999999998</v>
      </c>
      <c r="H321" s="80">
        <f t="shared" ca="1" si="60"/>
        <v>0</v>
      </c>
      <c r="I321" s="80"/>
      <c r="J321" s="64"/>
      <c r="K321" s="64"/>
      <c r="L321" s="81"/>
      <c r="M321" s="64"/>
      <c r="N321" s="81"/>
      <c r="O321" s="64"/>
      <c r="P321" s="64"/>
      <c r="Q321" s="64"/>
      <c r="T321" s="80"/>
    </row>
    <row r="322" spans="1:20">
      <c r="A322" s="141" t="s">
        <v>666</v>
      </c>
      <c r="B322" s="91"/>
      <c r="C322" s="328">
        <v>0</v>
      </c>
      <c r="D322" s="406">
        <f>+'Tariff Summary Lights'!F254</f>
        <v>2.3800000000000003</v>
      </c>
      <c r="E322" s="91"/>
      <c r="F322" s="80">
        <f t="shared" si="59"/>
        <v>0</v>
      </c>
      <c r="G322" s="406">
        <f ca="1">+G321</f>
        <v>2.3199999999999998</v>
      </c>
      <c r="H322" s="80">
        <f t="shared" ca="1" si="60"/>
        <v>0</v>
      </c>
      <c r="I322" s="80"/>
      <c r="J322" s="64"/>
      <c r="K322" s="64"/>
      <c r="L322" s="81"/>
      <c r="M322" s="64"/>
      <c r="N322" s="81"/>
      <c r="O322" s="64"/>
      <c r="P322" s="64"/>
      <c r="Q322" s="64"/>
      <c r="T322" s="80"/>
    </row>
    <row r="323" spans="1:20">
      <c r="A323" s="141" t="s">
        <v>667</v>
      </c>
      <c r="B323" s="91"/>
      <c r="C323" s="328">
        <v>0</v>
      </c>
      <c r="D323" s="406">
        <f>+'Tariff Summary Lights'!F255</f>
        <v>2.5499999999999998</v>
      </c>
      <c r="E323" s="91"/>
      <c r="F323" s="80">
        <f t="shared" si="59"/>
        <v>0</v>
      </c>
      <c r="G323" s="406">
        <f t="shared" ref="G323:G326" ca="1" si="62">+G322</f>
        <v>2.3199999999999998</v>
      </c>
      <c r="H323" s="80">
        <f t="shared" ca="1" si="60"/>
        <v>0</v>
      </c>
      <c r="I323" s="80"/>
      <c r="J323" s="64"/>
      <c r="K323" s="64"/>
      <c r="L323" s="81"/>
      <c r="M323" s="64"/>
      <c r="N323" s="81"/>
      <c r="O323" s="64"/>
      <c r="P323" s="64"/>
      <c r="Q323" s="64"/>
      <c r="T323" s="80"/>
    </row>
    <row r="324" spans="1:20">
      <c r="A324" s="141" t="s">
        <v>668</v>
      </c>
      <c r="B324" s="91"/>
      <c r="C324" s="328">
        <v>0</v>
      </c>
      <c r="D324" s="406">
        <f>+'Tariff Summary Lights'!F256</f>
        <v>2.73</v>
      </c>
      <c r="E324" s="91"/>
      <c r="F324" s="80">
        <f t="shared" si="59"/>
        <v>0</v>
      </c>
      <c r="G324" s="406">
        <f t="shared" ca="1" si="62"/>
        <v>2.3199999999999998</v>
      </c>
      <c r="H324" s="80">
        <f t="shared" ca="1" si="60"/>
        <v>0</v>
      </c>
      <c r="I324" s="80"/>
      <c r="J324" s="64"/>
      <c r="K324" s="64"/>
      <c r="L324" s="81"/>
      <c r="M324" s="64"/>
      <c r="N324" s="81"/>
      <c r="O324" s="64"/>
      <c r="P324" s="64"/>
      <c r="Q324" s="64"/>
      <c r="T324" s="80"/>
    </row>
    <row r="325" spans="1:20">
      <c r="A325" s="141" t="s">
        <v>669</v>
      </c>
      <c r="B325" s="91"/>
      <c r="C325" s="328">
        <v>0</v>
      </c>
      <c r="D325" s="406">
        <f>+'Tariff Summary Lights'!F257</f>
        <v>2.9000000000000004</v>
      </c>
      <c r="E325" s="91"/>
      <c r="F325" s="80">
        <f t="shared" si="59"/>
        <v>0</v>
      </c>
      <c r="G325" s="406">
        <f t="shared" ca="1" si="62"/>
        <v>2.3199999999999998</v>
      </c>
      <c r="H325" s="80">
        <f t="shared" ca="1" si="60"/>
        <v>0</v>
      </c>
      <c r="I325" s="80"/>
      <c r="J325" s="64"/>
      <c r="K325" s="64"/>
      <c r="L325" s="81"/>
      <c r="M325" s="64"/>
      <c r="N325" s="81"/>
      <c r="O325" s="64"/>
      <c r="P325" s="64"/>
      <c r="Q325" s="64"/>
      <c r="T325" s="80"/>
    </row>
    <row r="326" spans="1:20">
      <c r="A326" s="141" t="s">
        <v>670</v>
      </c>
      <c r="B326" s="91"/>
      <c r="C326" s="328">
        <v>0</v>
      </c>
      <c r="D326" s="406">
        <f>+'Tariff Summary Lights'!F258</f>
        <v>3.07</v>
      </c>
      <c r="E326" s="91"/>
      <c r="F326" s="80">
        <f t="shared" si="59"/>
        <v>0</v>
      </c>
      <c r="G326" s="406">
        <f t="shared" ca="1" si="62"/>
        <v>2.3199999999999998</v>
      </c>
      <c r="H326" s="80">
        <f t="shared" ca="1" si="60"/>
        <v>0</v>
      </c>
      <c r="I326" s="80"/>
      <c r="J326" s="64"/>
      <c r="K326" s="64"/>
      <c r="L326" s="81"/>
      <c r="M326" s="64"/>
      <c r="N326" s="81"/>
      <c r="O326" s="64"/>
      <c r="P326" s="64"/>
      <c r="Q326" s="64"/>
      <c r="T326" s="80"/>
    </row>
    <row r="327" spans="1:20">
      <c r="A327" s="141" t="s">
        <v>671</v>
      </c>
      <c r="B327" s="91"/>
      <c r="C327" s="328">
        <v>26</v>
      </c>
      <c r="D327" s="406">
        <f>+'Tariff Summary Lights'!F259</f>
        <v>3.26</v>
      </c>
      <c r="E327" s="91"/>
      <c r="F327" s="80">
        <f t="shared" si="59"/>
        <v>1017</v>
      </c>
      <c r="G327" s="457">
        <f ca="1">ROUND('[7]JAP-22 Combined Charges'!$J$117,2)</f>
        <v>3.24</v>
      </c>
      <c r="H327" s="80">
        <f t="shared" ca="1" si="60"/>
        <v>1011</v>
      </c>
      <c r="I327" s="80"/>
      <c r="J327" s="64"/>
      <c r="K327" s="64"/>
      <c r="L327" s="81"/>
      <c r="M327" s="64"/>
      <c r="N327" s="81"/>
      <c r="O327" s="64"/>
      <c r="P327" s="64"/>
      <c r="Q327" s="64"/>
      <c r="T327" s="80"/>
    </row>
    <row r="328" spans="1:20">
      <c r="A328" s="141" t="s">
        <v>672</v>
      </c>
      <c r="B328" s="91"/>
      <c r="C328" s="328">
        <v>0</v>
      </c>
      <c r="D328" s="406">
        <f>+'Tariff Summary Lights'!F260</f>
        <v>3.43</v>
      </c>
      <c r="E328" s="91"/>
      <c r="F328" s="80">
        <f t="shared" si="59"/>
        <v>0</v>
      </c>
      <c r="G328" s="406">
        <f ca="1">+G327</f>
        <v>3.24</v>
      </c>
      <c r="H328" s="80">
        <f t="shared" ca="1" si="60"/>
        <v>0</v>
      </c>
      <c r="I328" s="80"/>
      <c r="J328" s="64"/>
      <c r="K328" s="64"/>
      <c r="L328" s="81"/>
      <c r="M328" s="64"/>
      <c r="N328" s="81"/>
      <c r="O328" s="64"/>
      <c r="P328" s="64"/>
      <c r="Q328" s="64"/>
      <c r="T328" s="80"/>
    </row>
    <row r="329" spans="1:20">
      <c r="A329" s="141" t="s">
        <v>673</v>
      </c>
      <c r="B329" s="91"/>
      <c r="C329" s="328">
        <v>1491</v>
      </c>
      <c r="D329" s="406">
        <f>+'Tariff Summary Lights'!F261</f>
        <v>3.6100000000000003</v>
      </c>
      <c r="E329" s="91"/>
      <c r="F329" s="80">
        <f t="shared" si="59"/>
        <v>64590</v>
      </c>
      <c r="G329" s="406">
        <f t="shared" ref="G329:G332" ca="1" si="63">+G328</f>
        <v>3.24</v>
      </c>
      <c r="H329" s="80">
        <f t="shared" ca="1" si="60"/>
        <v>57970</v>
      </c>
      <c r="I329" s="80"/>
      <c r="J329" s="64"/>
      <c r="K329" s="64"/>
      <c r="L329" s="81"/>
      <c r="M329" s="64"/>
      <c r="N329" s="81"/>
      <c r="O329" s="64"/>
      <c r="P329" s="64"/>
      <c r="Q329" s="64"/>
      <c r="T329" s="80"/>
    </row>
    <row r="330" spans="1:20">
      <c r="A330" s="141" t="s">
        <v>674</v>
      </c>
      <c r="B330" s="91"/>
      <c r="C330" s="328">
        <v>0</v>
      </c>
      <c r="D330" s="406">
        <f>+'Tariff Summary Lights'!F262</f>
        <v>3.78</v>
      </c>
      <c r="E330" s="91"/>
      <c r="F330" s="80">
        <f t="shared" si="59"/>
        <v>0</v>
      </c>
      <c r="G330" s="406">
        <f t="shared" ca="1" si="63"/>
        <v>3.24</v>
      </c>
      <c r="H330" s="80">
        <f t="shared" ca="1" si="60"/>
        <v>0</v>
      </c>
      <c r="I330" s="80"/>
      <c r="J330" s="64"/>
      <c r="K330" s="64"/>
      <c r="L330" s="81"/>
      <c r="M330" s="64"/>
      <c r="N330" s="81"/>
      <c r="O330" s="64"/>
      <c r="P330" s="64"/>
      <c r="Q330" s="64"/>
      <c r="T330" s="80"/>
    </row>
    <row r="331" spans="1:20">
      <c r="A331" s="141" t="s">
        <v>675</v>
      </c>
      <c r="B331" s="91"/>
      <c r="C331" s="328">
        <v>0</v>
      </c>
      <c r="D331" s="406">
        <f>+'Tariff Summary Lights'!F263</f>
        <v>3.96</v>
      </c>
      <c r="E331" s="91"/>
      <c r="F331" s="80">
        <f t="shared" si="59"/>
        <v>0</v>
      </c>
      <c r="G331" s="406">
        <f t="shared" ca="1" si="63"/>
        <v>3.24</v>
      </c>
      <c r="H331" s="80">
        <f t="shared" ca="1" si="60"/>
        <v>0</v>
      </c>
      <c r="I331" s="80"/>
      <c r="J331" s="64"/>
      <c r="K331" s="64"/>
      <c r="L331" s="81"/>
      <c r="M331" s="64"/>
      <c r="N331" s="81"/>
      <c r="O331" s="64"/>
      <c r="P331" s="64"/>
      <c r="Q331" s="64"/>
      <c r="T331" s="80"/>
    </row>
    <row r="332" spans="1:20">
      <c r="A332" s="141" t="s">
        <v>676</v>
      </c>
      <c r="B332" s="91"/>
      <c r="C332" s="328">
        <v>0</v>
      </c>
      <c r="D332" s="406">
        <f>+'Tariff Summary Lights'!F264</f>
        <v>4.13</v>
      </c>
      <c r="E332" s="91"/>
      <c r="F332" s="80">
        <f t="shared" si="59"/>
        <v>0</v>
      </c>
      <c r="G332" s="406">
        <f t="shared" ca="1" si="63"/>
        <v>3.24</v>
      </c>
      <c r="H332" s="80">
        <f t="shared" ca="1" si="60"/>
        <v>0</v>
      </c>
      <c r="I332" s="80"/>
      <c r="J332" s="64"/>
      <c r="K332" s="64"/>
      <c r="L332" s="81"/>
      <c r="M332" s="64"/>
      <c r="N332" s="81"/>
      <c r="O332" s="64"/>
      <c r="P332" s="64"/>
      <c r="Q332" s="64"/>
      <c r="T332" s="80"/>
    </row>
    <row r="333" spans="1:20">
      <c r="A333" s="141" t="s">
        <v>677</v>
      </c>
      <c r="B333" s="91"/>
      <c r="C333" s="328">
        <v>0</v>
      </c>
      <c r="D333" s="406">
        <f>+'Tariff Summary Lights'!F265</f>
        <v>4.3100000000000005</v>
      </c>
      <c r="E333" s="91"/>
      <c r="F333" s="80">
        <f t="shared" si="59"/>
        <v>0</v>
      </c>
      <c r="G333" s="457">
        <f ca="1">ROUND('[7]JAP-22 Combined Charges'!$J$118,2)</f>
        <v>4.17</v>
      </c>
      <c r="H333" s="80">
        <f t="shared" ca="1" si="60"/>
        <v>0</v>
      </c>
      <c r="I333" s="80"/>
      <c r="J333" s="64"/>
      <c r="K333" s="64"/>
      <c r="L333" s="81"/>
      <c r="M333" s="64"/>
      <c r="N333" s="81"/>
      <c r="O333" s="64"/>
      <c r="P333" s="64"/>
      <c r="Q333" s="64"/>
      <c r="T333" s="80"/>
    </row>
    <row r="334" spans="1:20">
      <c r="A334" s="141" t="s">
        <v>678</v>
      </c>
      <c r="B334" s="91"/>
      <c r="C334" s="328">
        <v>0</v>
      </c>
      <c r="D334" s="406">
        <f>+'Tariff Summary Lights'!F266</f>
        <v>4.49</v>
      </c>
      <c r="E334" s="91"/>
      <c r="F334" s="80">
        <f t="shared" si="59"/>
        <v>0</v>
      </c>
      <c r="G334" s="406">
        <f ca="1">+G333</f>
        <v>4.17</v>
      </c>
      <c r="H334" s="80">
        <f t="shared" ca="1" si="60"/>
        <v>0</v>
      </c>
      <c r="I334" s="80"/>
      <c r="J334" s="64"/>
      <c r="K334" s="64"/>
      <c r="L334" s="81"/>
      <c r="M334" s="64"/>
      <c r="N334" s="81"/>
      <c r="O334" s="64"/>
      <c r="P334" s="64"/>
      <c r="Q334" s="64"/>
      <c r="T334" s="80"/>
    </row>
    <row r="335" spans="1:20">
      <c r="A335" s="141" t="s">
        <v>679</v>
      </c>
      <c r="B335" s="91"/>
      <c r="C335" s="328">
        <v>11</v>
      </c>
      <c r="D335" s="406">
        <f>+'Tariff Summary Lights'!F267</f>
        <v>4.6599999999999993</v>
      </c>
      <c r="E335" s="91"/>
      <c r="F335" s="80">
        <f t="shared" si="59"/>
        <v>615</v>
      </c>
      <c r="G335" s="406">
        <f t="shared" ref="G335:G338" ca="1" si="64">+G334</f>
        <v>4.17</v>
      </c>
      <c r="H335" s="80">
        <f t="shared" ca="1" si="60"/>
        <v>550</v>
      </c>
      <c r="I335" s="80"/>
      <c r="J335" s="64"/>
      <c r="K335" s="64"/>
      <c r="L335" s="81"/>
      <c r="M335" s="64"/>
      <c r="N335" s="81"/>
      <c r="O335" s="64"/>
      <c r="P335" s="64"/>
      <c r="Q335" s="64"/>
      <c r="T335" s="80"/>
    </row>
    <row r="336" spans="1:20">
      <c r="A336" s="141" t="s">
        <v>680</v>
      </c>
      <c r="B336" s="91"/>
      <c r="C336" s="328">
        <v>711</v>
      </c>
      <c r="D336" s="406">
        <f>+'Tariff Summary Lights'!F268</f>
        <v>4.84</v>
      </c>
      <c r="E336" s="91"/>
      <c r="F336" s="80">
        <f t="shared" si="59"/>
        <v>41295</v>
      </c>
      <c r="G336" s="406">
        <f t="shared" ca="1" si="64"/>
        <v>4.17</v>
      </c>
      <c r="H336" s="80">
        <f t="shared" ca="1" si="60"/>
        <v>35578</v>
      </c>
      <c r="I336" s="80"/>
      <c r="J336" s="64"/>
      <c r="K336" s="64"/>
      <c r="L336" s="81"/>
      <c r="M336" s="64"/>
      <c r="N336" s="81"/>
      <c r="O336" s="64"/>
      <c r="P336" s="64"/>
      <c r="Q336" s="64"/>
      <c r="T336" s="80"/>
    </row>
    <row r="337" spans="1:20">
      <c r="A337" s="141" t="s">
        <v>681</v>
      </c>
      <c r="B337" s="91"/>
      <c r="C337" s="328">
        <v>0</v>
      </c>
      <c r="D337" s="406">
        <f>+'Tariff Summary Lights'!F269</f>
        <v>5.01</v>
      </c>
      <c r="E337" s="91"/>
      <c r="F337" s="80">
        <f t="shared" si="59"/>
        <v>0</v>
      </c>
      <c r="G337" s="406">
        <f t="shared" ca="1" si="64"/>
        <v>4.17</v>
      </c>
      <c r="H337" s="80">
        <f t="shared" ca="1" si="60"/>
        <v>0</v>
      </c>
      <c r="I337" s="80"/>
      <c r="J337" s="64"/>
      <c r="K337" s="64"/>
      <c r="L337" s="81"/>
      <c r="M337" s="64"/>
      <c r="N337" s="81"/>
      <c r="O337" s="64"/>
      <c r="P337" s="64"/>
      <c r="Q337" s="64"/>
      <c r="T337" s="80"/>
    </row>
    <row r="338" spans="1:20">
      <c r="A338" s="141" t="s">
        <v>682</v>
      </c>
      <c r="B338" s="91"/>
      <c r="C338" s="328">
        <v>0</v>
      </c>
      <c r="D338" s="406">
        <f>+'Tariff Summary Lights'!F270</f>
        <v>5.1899999999999995</v>
      </c>
      <c r="E338" s="91"/>
      <c r="F338" s="80">
        <f t="shared" si="59"/>
        <v>0</v>
      </c>
      <c r="G338" s="406">
        <f t="shared" ca="1" si="64"/>
        <v>4.17</v>
      </c>
      <c r="H338" s="80">
        <f t="shared" ca="1" si="60"/>
        <v>0</v>
      </c>
      <c r="I338" s="80"/>
      <c r="J338" s="64"/>
      <c r="K338" s="64"/>
      <c r="L338" s="81"/>
      <c r="M338" s="64"/>
      <c r="N338" s="81"/>
      <c r="O338" s="64"/>
      <c r="P338" s="64"/>
      <c r="Q338" s="64"/>
      <c r="T338" s="80"/>
    </row>
    <row r="339" spans="1:20">
      <c r="A339" s="141" t="s">
        <v>683</v>
      </c>
      <c r="B339" s="91"/>
      <c r="C339" s="328">
        <v>0</v>
      </c>
      <c r="D339" s="406">
        <f>+'Tariff Summary Lights'!F271</f>
        <v>5.36</v>
      </c>
      <c r="E339" s="91"/>
      <c r="F339" s="80">
        <f t="shared" si="59"/>
        <v>0</v>
      </c>
      <c r="G339" s="457">
        <f ca="1">ROUND('[7]JAP-22 Combined Charges'!$J$119,2)</f>
        <v>5.09</v>
      </c>
      <c r="H339" s="80">
        <f t="shared" ca="1" si="60"/>
        <v>0</v>
      </c>
      <c r="I339" s="80"/>
      <c r="J339" s="64"/>
      <c r="K339" s="64"/>
      <c r="L339" s="81"/>
      <c r="M339" s="64"/>
      <c r="N339" s="81"/>
      <c r="O339" s="64"/>
      <c r="P339" s="64"/>
      <c r="Q339" s="64"/>
      <c r="T339" s="80"/>
    </row>
    <row r="340" spans="1:20">
      <c r="A340" s="141" t="s">
        <v>684</v>
      </c>
      <c r="B340" s="91"/>
      <c r="C340" s="328">
        <v>0</v>
      </c>
      <c r="D340" s="406">
        <f>+'Tariff Summary Lights'!F272</f>
        <v>5.54</v>
      </c>
      <c r="E340" s="91"/>
      <c r="F340" s="80">
        <f t="shared" si="59"/>
        <v>0</v>
      </c>
      <c r="G340" s="406">
        <f ca="1">+G339</f>
        <v>5.09</v>
      </c>
      <c r="H340" s="80">
        <f t="shared" ca="1" si="60"/>
        <v>0</v>
      </c>
      <c r="I340" s="80"/>
      <c r="J340" s="64"/>
      <c r="K340" s="64"/>
      <c r="L340" s="81"/>
      <c r="M340" s="64"/>
      <c r="N340" s="81"/>
      <c r="O340" s="64"/>
      <c r="P340" s="64"/>
      <c r="Q340" s="64"/>
      <c r="T340" s="80"/>
    </row>
    <row r="341" spans="1:20">
      <c r="A341" s="141" t="s">
        <v>685</v>
      </c>
      <c r="B341" s="91"/>
      <c r="C341" s="328">
        <v>0</v>
      </c>
      <c r="D341" s="406">
        <f>+'Tariff Summary Lights'!F273</f>
        <v>5.7200000000000006</v>
      </c>
      <c r="E341" s="91"/>
      <c r="F341" s="80">
        <f t="shared" si="59"/>
        <v>0</v>
      </c>
      <c r="G341" s="406">
        <f t="shared" ref="G341:G344" ca="1" si="65">+G340</f>
        <v>5.09</v>
      </c>
      <c r="H341" s="80">
        <f t="shared" ca="1" si="60"/>
        <v>0</v>
      </c>
      <c r="I341" s="80"/>
      <c r="J341" s="64"/>
      <c r="K341" s="64"/>
      <c r="L341" s="81"/>
      <c r="M341" s="64"/>
      <c r="N341" s="81"/>
      <c r="O341" s="64"/>
      <c r="P341" s="64"/>
      <c r="Q341" s="64"/>
      <c r="T341" s="80"/>
    </row>
    <row r="342" spans="1:20">
      <c r="A342" s="141" t="s">
        <v>686</v>
      </c>
      <c r="B342" s="91"/>
      <c r="C342" s="328">
        <v>290</v>
      </c>
      <c r="D342" s="406">
        <f>+'Tariff Summary Lights'!F274</f>
        <v>5.9</v>
      </c>
      <c r="E342" s="91"/>
      <c r="F342" s="80">
        <f t="shared" si="59"/>
        <v>20532</v>
      </c>
      <c r="G342" s="406">
        <f t="shared" ca="1" si="65"/>
        <v>5.09</v>
      </c>
      <c r="H342" s="80">
        <f t="shared" ca="1" si="60"/>
        <v>17713</v>
      </c>
      <c r="I342" s="80"/>
      <c r="J342" s="64"/>
      <c r="K342" s="64"/>
      <c r="L342" s="81"/>
      <c r="M342" s="64"/>
      <c r="N342" s="81"/>
      <c r="O342" s="64"/>
      <c r="P342" s="64"/>
      <c r="Q342" s="64"/>
      <c r="T342" s="80"/>
    </row>
    <row r="343" spans="1:20">
      <c r="A343" s="141" t="s">
        <v>687</v>
      </c>
      <c r="B343" s="91"/>
      <c r="C343" s="328">
        <v>0</v>
      </c>
      <c r="D343" s="406">
        <f>+'Tariff Summary Lights'!F275</f>
        <v>6.0699999999999994</v>
      </c>
      <c r="E343" s="91"/>
      <c r="F343" s="80">
        <f t="shared" si="59"/>
        <v>0</v>
      </c>
      <c r="G343" s="406">
        <f t="shared" ca="1" si="65"/>
        <v>5.09</v>
      </c>
      <c r="H343" s="80">
        <f t="shared" ca="1" si="60"/>
        <v>0</v>
      </c>
      <c r="I343" s="80"/>
      <c r="J343" s="64"/>
      <c r="K343" s="64"/>
      <c r="L343" s="81"/>
      <c r="M343" s="64"/>
      <c r="N343" s="81"/>
      <c r="O343" s="64"/>
      <c r="P343" s="64"/>
      <c r="Q343" s="64"/>
      <c r="T343" s="80"/>
    </row>
    <row r="344" spans="1:20">
      <c r="A344" s="141" t="s">
        <v>688</v>
      </c>
      <c r="B344" s="91"/>
      <c r="C344" s="328">
        <v>0</v>
      </c>
      <c r="D344" s="406">
        <f>+'Tariff Summary Lights'!F276</f>
        <v>6.25</v>
      </c>
      <c r="E344" s="91"/>
      <c r="F344" s="80">
        <f t="shared" si="59"/>
        <v>0</v>
      </c>
      <c r="G344" s="406">
        <f t="shared" ca="1" si="65"/>
        <v>5.09</v>
      </c>
      <c r="H344" s="80">
        <f t="shared" ca="1" si="60"/>
        <v>0</v>
      </c>
      <c r="I344" s="80"/>
      <c r="J344" s="64"/>
      <c r="K344" s="64"/>
      <c r="L344" s="81"/>
      <c r="M344" s="64"/>
      <c r="N344" s="81"/>
      <c r="O344" s="64"/>
      <c r="P344" s="64"/>
      <c r="Q344" s="64"/>
      <c r="T344" s="80"/>
    </row>
    <row r="345" spans="1:20">
      <c r="A345" s="141" t="s">
        <v>689</v>
      </c>
      <c r="B345" s="91"/>
      <c r="C345" s="328">
        <v>0</v>
      </c>
      <c r="D345" s="406">
        <f>+'Tariff Summary Lights'!F277</f>
        <v>6.42</v>
      </c>
      <c r="E345" s="91"/>
      <c r="F345" s="80">
        <f t="shared" si="59"/>
        <v>0</v>
      </c>
      <c r="G345" s="457">
        <f ca="1">ROUND('[7]JAP-22 Combined Charges'!$J$120,2)</f>
        <v>6.02</v>
      </c>
      <c r="H345" s="80">
        <f t="shared" ca="1" si="60"/>
        <v>0</v>
      </c>
      <c r="I345" s="80"/>
      <c r="J345" s="64"/>
      <c r="K345" s="64"/>
      <c r="L345" s="81"/>
      <c r="M345" s="64"/>
      <c r="N345" s="81"/>
      <c r="O345" s="64"/>
      <c r="P345" s="64"/>
      <c r="Q345" s="64"/>
      <c r="T345" s="80"/>
    </row>
    <row r="346" spans="1:20">
      <c r="A346" s="141" t="s">
        <v>690</v>
      </c>
      <c r="B346" s="91"/>
      <c r="C346" s="328">
        <v>0</v>
      </c>
      <c r="D346" s="406">
        <f>+'Tariff Summary Lights'!F278</f>
        <v>6.59</v>
      </c>
      <c r="E346" s="91"/>
      <c r="F346" s="80">
        <f t="shared" si="59"/>
        <v>0</v>
      </c>
      <c r="G346" s="406">
        <f ca="1">+G345</f>
        <v>6.02</v>
      </c>
      <c r="H346" s="80">
        <f t="shared" ca="1" si="60"/>
        <v>0</v>
      </c>
      <c r="I346" s="80"/>
      <c r="J346" s="64"/>
      <c r="K346" s="64"/>
      <c r="L346" s="81"/>
      <c r="M346" s="64"/>
      <c r="N346" s="81"/>
      <c r="O346" s="64"/>
      <c r="P346" s="64"/>
      <c r="Q346" s="64"/>
      <c r="T346" s="80"/>
    </row>
    <row r="347" spans="1:20">
      <c r="A347" s="141" t="s">
        <v>691</v>
      </c>
      <c r="B347" s="91"/>
      <c r="C347" s="328">
        <v>0</v>
      </c>
      <c r="D347" s="406">
        <f>+'Tariff Summary Lights'!F279</f>
        <v>6.7700000000000005</v>
      </c>
      <c r="E347" s="91"/>
      <c r="F347" s="80">
        <f t="shared" si="59"/>
        <v>0</v>
      </c>
      <c r="G347" s="406">
        <f t="shared" ref="G347:G350" ca="1" si="66">+G346</f>
        <v>6.02</v>
      </c>
      <c r="H347" s="80">
        <f t="shared" ca="1" si="60"/>
        <v>0</v>
      </c>
      <c r="I347" s="80"/>
      <c r="J347" s="64"/>
      <c r="K347" s="64"/>
      <c r="L347" s="81"/>
      <c r="M347" s="64"/>
      <c r="N347" s="81"/>
      <c r="O347" s="64"/>
      <c r="P347" s="64"/>
      <c r="Q347" s="64"/>
      <c r="T347" s="80"/>
    </row>
    <row r="348" spans="1:20">
      <c r="A348" s="141" t="s">
        <v>692</v>
      </c>
      <c r="B348" s="91"/>
      <c r="C348" s="328">
        <v>0</v>
      </c>
      <c r="D348" s="406">
        <f>+'Tariff Summary Lights'!F280</f>
        <v>6.95</v>
      </c>
      <c r="E348" s="91"/>
      <c r="F348" s="80">
        <f t="shared" si="59"/>
        <v>0</v>
      </c>
      <c r="G348" s="406">
        <f t="shared" ca="1" si="66"/>
        <v>6.02</v>
      </c>
      <c r="H348" s="80">
        <f t="shared" ca="1" si="60"/>
        <v>0</v>
      </c>
      <c r="I348" s="80"/>
      <c r="J348" s="64"/>
      <c r="K348" s="64"/>
      <c r="L348" s="81"/>
      <c r="M348" s="64"/>
      <c r="N348" s="81"/>
      <c r="O348" s="64"/>
      <c r="P348" s="64"/>
      <c r="Q348" s="64"/>
      <c r="T348" s="80"/>
    </row>
    <row r="349" spans="1:20">
      <c r="A349" s="141" t="s">
        <v>693</v>
      </c>
      <c r="B349" s="91"/>
      <c r="C349" s="328">
        <v>0</v>
      </c>
      <c r="D349" s="406">
        <f>+'Tariff Summary Lights'!F281</f>
        <v>7.13</v>
      </c>
      <c r="E349" s="91"/>
      <c r="F349" s="80">
        <f t="shared" si="59"/>
        <v>0</v>
      </c>
      <c r="G349" s="406">
        <f t="shared" ca="1" si="66"/>
        <v>6.02</v>
      </c>
      <c r="H349" s="80">
        <f t="shared" ca="1" si="60"/>
        <v>0</v>
      </c>
      <c r="I349" s="80"/>
      <c r="J349" s="64"/>
      <c r="K349" s="64"/>
      <c r="L349" s="81"/>
      <c r="M349" s="64"/>
      <c r="N349" s="81"/>
      <c r="O349" s="64"/>
      <c r="P349" s="64"/>
      <c r="Q349" s="64"/>
      <c r="T349" s="80"/>
    </row>
    <row r="350" spans="1:20">
      <c r="A350" s="141" t="s">
        <v>694</v>
      </c>
      <c r="B350" s="91"/>
      <c r="C350" s="328">
        <v>0</v>
      </c>
      <c r="D350" s="406">
        <f>+'Tariff Summary Lights'!F282</f>
        <v>7.3</v>
      </c>
      <c r="E350" s="91"/>
      <c r="F350" s="80">
        <f t="shared" si="59"/>
        <v>0</v>
      </c>
      <c r="G350" s="406">
        <f t="shared" ca="1" si="66"/>
        <v>6.02</v>
      </c>
      <c r="H350" s="80">
        <f t="shared" ca="1" si="60"/>
        <v>0</v>
      </c>
      <c r="I350" s="80"/>
      <c r="J350" s="64"/>
      <c r="K350" s="64"/>
      <c r="L350" s="81"/>
      <c r="M350" s="64"/>
      <c r="N350" s="81"/>
      <c r="O350" s="64"/>
      <c r="P350" s="64"/>
      <c r="Q350" s="64"/>
      <c r="T350" s="80"/>
    </row>
    <row r="351" spans="1:20">
      <c r="A351" s="141" t="s">
        <v>695</v>
      </c>
      <c r="B351" s="91"/>
      <c r="C351" s="328">
        <v>0</v>
      </c>
      <c r="D351" s="406">
        <f>+'Tariff Summary Lights'!F283</f>
        <v>7.4799999999999995</v>
      </c>
      <c r="E351" s="91"/>
      <c r="F351" s="80">
        <f t="shared" si="59"/>
        <v>0</v>
      </c>
      <c r="G351" s="457">
        <f ca="1">ROUND('[7]JAP-22 Combined Charges'!$J$121,2)</f>
        <v>6.95</v>
      </c>
      <c r="H351" s="80">
        <f t="shared" ca="1" si="60"/>
        <v>0</v>
      </c>
      <c r="I351" s="80"/>
      <c r="J351" s="64"/>
      <c r="K351" s="64"/>
      <c r="L351" s="81"/>
      <c r="M351" s="64"/>
      <c r="N351" s="81"/>
      <c r="O351" s="64"/>
      <c r="P351" s="64"/>
      <c r="Q351" s="64"/>
      <c r="T351" s="80"/>
    </row>
    <row r="352" spans="1:20">
      <c r="A352" s="141" t="s">
        <v>696</v>
      </c>
      <c r="B352" s="91"/>
      <c r="C352" s="328">
        <v>0</v>
      </c>
      <c r="D352" s="406">
        <f>+'Tariff Summary Lights'!F284</f>
        <v>7.6499999999999995</v>
      </c>
      <c r="E352" s="91"/>
      <c r="F352" s="80">
        <f t="shared" si="59"/>
        <v>0</v>
      </c>
      <c r="G352" s="406">
        <f ca="1">+G351</f>
        <v>6.95</v>
      </c>
      <c r="H352" s="80">
        <f t="shared" ca="1" si="60"/>
        <v>0</v>
      </c>
      <c r="I352" s="80"/>
      <c r="J352" s="64"/>
      <c r="K352" s="64"/>
      <c r="L352" s="81"/>
      <c r="M352" s="64"/>
      <c r="N352" s="81"/>
      <c r="O352" s="64"/>
      <c r="P352" s="64"/>
      <c r="Q352" s="64"/>
      <c r="T352" s="80"/>
    </row>
    <row r="353" spans="1:20">
      <c r="A353" s="141" t="s">
        <v>697</v>
      </c>
      <c r="B353" s="91"/>
      <c r="C353" s="328">
        <v>0</v>
      </c>
      <c r="D353" s="406">
        <f>+'Tariff Summary Lights'!F285</f>
        <v>7.83</v>
      </c>
      <c r="E353" s="91"/>
      <c r="F353" s="80">
        <f t="shared" si="59"/>
        <v>0</v>
      </c>
      <c r="G353" s="406">
        <f t="shared" ref="G353:G356" ca="1" si="67">+G352</f>
        <v>6.95</v>
      </c>
      <c r="H353" s="80">
        <f t="shared" ca="1" si="60"/>
        <v>0</v>
      </c>
      <c r="I353" s="80"/>
      <c r="J353" s="64"/>
      <c r="K353" s="64"/>
      <c r="L353" s="81"/>
      <c r="M353" s="64"/>
      <c r="N353" s="81"/>
      <c r="O353" s="64"/>
      <c r="P353" s="64"/>
      <c r="Q353" s="64"/>
      <c r="T353" s="80"/>
    </row>
    <row r="354" spans="1:20">
      <c r="A354" s="141" t="s">
        <v>698</v>
      </c>
      <c r="B354" s="91"/>
      <c r="C354" s="328">
        <v>0</v>
      </c>
      <c r="D354" s="406">
        <f>+'Tariff Summary Lights'!F286</f>
        <v>8</v>
      </c>
      <c r="E354" s="91"/>
      <c r="F354" s="80">
        <f t="shared" si="59"/>
        <v>0</v>
      </c>
      <c r="G354" s="406">
        <f t="shared" ca="1" si="67"/>
        <v>6.95</v>
      </c>
      <c r="H354" s="80">
        <f t="shared" ca="1" si="60"/>
        <v>0</v>
      </c>
      <c r="I354" s="80"/>
      <c r="J354" s="64"/>
      <c r="K354" s="64"/>
      <c r="L354" s="81"/>
      <c r="M354" s="64"/>
      <c r="N354" s="81"/>
      <c r="O354" s="64"/>
      <c r="P354" s="64"/>
      <c r="Q354" s="64"/>
      <c r="T354" s="80"/>
    </row>
    <row r="355" spans="1:20">
      <c r="A355" s="141" t="s">
        <v>699</v>
      </c>
      <c r="B355" s="91"/>
      <c r="C355" s="328">
        <v>0</v>
      </c>
      <c r="D355" s="406">
        <f>+'Tariff Summary Lights'!F287</f>
        <v>8.19</v>
      </c>
      <c r="E355" s="91"/>
      <c r="F355" s="80">
        <f t="shared" si="59"/>
        <v>0</v>
      </c>
      <c r="G355" s="406">
        <f t="shared" ca="1" si="67"/>
        <v>6.95</v>
      </c>
      <c r="H355" s="80">
        <f t="shared" ca="1" si="60"/>
        <v>0</v>
      </c>
      <c r="I355" s="80"/>
      <c r="J355" s="64"/>
      <c r="K355" s="64"/>
      <c r="L355" s="81"/>
      <c r="M355" s="64"/>
      <c r="N355" s="81"/>
      <c r="O355" s="64"/>
      <c r="P355" s="64"/>
      <c r="Q355" s="64"/>
      <c r="T355" s="80"/>
    </row>
    <row r="356" spans="1:20">
      <c r="A356" s="141" t="s">
        <v>700</v>
      </c>
      <c r="B356" s="91"/>
      <c r="C356" s="328">
        <v>0</v>
      </c>
      <c r="D356" s="406">
        <f>+'Tariff Summary Lights'!F288</f>
        <v>8.36</v>
      </c>
      <c r="E356" s="91"/>
      <c r="F356" s="80">
        <f t="shared" si="59"/>
        <v>0</v>
      </c>
      <c r="G356" s="406">
        <f t="shared" ca="1" si="67"/>
        <v>6.95</v>
      </c>
      <c r="H356" s="80">
        <f t="shared" ca="1" si="60"/>
        <v>0</v>
      </c>
      <c r="I356" s="80"/>
      <c r="J356" s="64"/>
      <c r="K356" s="64"/>
      <c r="L356" s="81"/>
      <c r="M356" s="64"/>
      <c r="N356" s="81"/>
      <c r="O356" s="64"/>
      <c r="P356" s="64"/>
      <c r="Q356" s="64"/>
      <c r="T356" s="80"/>
    </row>
    <row r="357" spans="1:20">
      <c r="A357" s="141" t="s">
        <v>701</v>
      </c>
      <c r="B357" s="91"/>
      <c r="C357" s="328">
        <v>0</v>
      </c>
      <c r="D357" s="406">
        <f>+'Tariff Summary Lights'!F289</f>
        <v>8.5300000000000011</v>
      </c>
      <c r="E357" s="91"/>
      <c r="F357" s="80">
        <f t="shared" si="59"/>
        <v>0</v>
      </c>
      <c r="G357" s="457">
        <f ca="1">ROUND('[7]JAP-22 Combined Charges'!$J$122,2)</f>
        <v>7.87</v>
      </c>
      <c r="H357" s="80">
        <f t="shared" ca="1" si="60"/>
        <v>0</v>
      </c>
      <c r="I357" s="80"/>
      <c r="J357" s="64"/>
      <c r="K357" s="64"/>
      <c r="L357" s="81"/>
      <c r="M357" s="64"/>
      <c r="N357" s="81"/>
      <c r="O357" s="64"/>
      <c r="P357" s="64"/>
      <c r="Q357" s="64"/>
      <c r="T357" s="80"/>
    </row>
    <row r="358" spans="1:20">
      <c r="A358" s="141" t="s">
        <v>702</v>
      </c>
      <c r="B358" s="91"/>
      <c r="C358" s="328">
        <v>0</v>
      </c>
      <c r="D358" s="406">
        <f>+'Tariff Summary Lights'!F290</f>
        <v>8.7100000000000009</v>
      </c>
      <c r="E358" s="91"/>
      <c r="F358" s="80">
        <f t="shared" si="59"/>
        <v>0</v>
      </c>
      <c r="G358" s="406">
        <f ca="1">+G357</f>
        <v>7.87</v>
      </c>
      <c r="H358" s="80">
        <f t="shared" ca="1" si="60"/>
        <v>0</v>
      </c>
      <c r="I358" s="80"/>
      <c r="J358" s="64"/>
      <c r="K358" s="64"/>
      <c r="L358" s="81"/>
      <c r="M358" s="64"/>
      <c r="N358" s="81"/>
      <c r="O358" s="64"/>
      <c r="P358" s="64"/>
      <c r="Q358" s="64"/>
      <c r="T358" s="80"/>
    </row>
    <row r="359" spans="1:20">
      <c r="A359" s="141" t="s">
        <v>703</v>
      </c>
      <c r="B359" s="91"/>
      <c r="C359" s="328">
        <v>0</v>
      </c>
      <c r="D359" s="406">
        <f>+'Tariff Summary Lights'!F291</f>
        <v>8.8800000000000008</v>
      </c>
      <c r="E359" s="91"/>
      <c r="F359" s="80">
        <f t="shared" si="59"/>
        <v>0</v>
      </c>
      <c r="G359" s="406">
        <f t="shared" ref="G359:G362" ca="1" si="68">+G358</f>
        <v>7.87</v>
      </c>
      <c r="H359" s="80">
        <f t="shared" ca="1" si="60"/>
        <v>0</v>
      </c>
      <c r="I359" s="80"/>
      <c r="J359" s="64"/>
      <c r="K359" s="64"/>
      <c r="L359" s="81"/>
      <c r="M359" s="64"/>
      <c r="N359" s="81"/>
      <c r="O359" s="64"/>
      <c r="P359" s="64"/>
      <c r="Q359" s="64"/>
      <c r="T359" s="80"/>
    </row>
    <row r="360" spans="1:20">
      <c r="A360" s="141" t="s">
        <v>704</v>
      </c>
      <c r="B360" s="91"/>
      <c r="C360" s="328">
        <v>0</v>
      </c>
      <c r="D360" s="406">
        <f>+'Tariff Summary Lights'!F292</f>
        <v>9.06</v>
      </c>
      <c r="E360" s="91"/>
      <c r="F360" s="80">
        <f t="shared" si="59"/>
        <v>0</v>
      </c>
      <c r="G360" s="406">
        <f t="shared" ca="1" si="68"/>
        <v>7.87</v>
      </c>
      <c r="H360" s="80">
        <f t="shared" ca="1" si="60"/>
        <v>0</v>
      </c>
      <c r="I360" s="80"/>
      <c r="J360" s="64"/>
      <c r="K360" s="64"/>
      <c r="L360" s="81"/>
      <c r="M360" s="64"/>
      <c r="N360" s="81"/>
      <c r="O360" s="64"/>
      <c r="P360" s="64"/>
      <c r="Q360" s="64"/>
      <c r="T360" s="80"/>
    </row>
    <row r="361" spans="1:20">
      <c r="A361" s="141" t="s">
        <v>705</v>
      </c>
      <c r="B361" s="91"/>
      <c r="C361" s="328">
        <v>0</v>
      </c>
      <c r="D361" s="406">
        <f>+'Tariff Summary Lights'!F293</f>
        <v>9.23</v>
      </c>
      <c r="E361" s="91"/>
      <c r="F361" s="80">
        <f t="shared" si="59"/>
        <v>0</v>
      </c>
      <c r="G361" s="406">
        <f t="shared" ca="1" si="68"/>
        <v>7.87</v>
      </c>
      <c r="H361" s="80">
        <f t="shared" ca="1" si="60"/>
        <v>0</v>
      </c>
      <c r="I361" s="80"/>
      <c r="J361" s="64"/>
      <c r="K361" s="64"/>
      <c r="L361" s="81"/>
      <c r="M361" s="64"/>
      <c r="N361" s="81"/>
      <c r="O361" s="64"/>
      <c r="P361" s="64"/>
      <c r="Q361" s="64"/>
      <c r="T361" s="80"/>
    </row>
    <row r="362" spans="1:20">
      <c r="A362" s="141" t="s">
        <v>706</v>
      </c>
      <c r="B362" s="91"/>
      <c r="C362" s="328">
        <v>0</v>
      </c>
      <c r="D362" s="406">
        <f>+'Tariff Summary Lights'!F294</f>
        <v>9.4200000000000017</v>
      </c>
      <c r="E362" s="91"/>
      <c r="F362" s="80">
        <f t="shared" si="59"/>
        <v>0</v>
      </c>
      <c r="G362" s="406">
        <f t="shared" ca="1" si="68"/>
        <v>7.87</v>
      </c>
      <c r="H362" s="80">
        <f t="shared" ca="1" si="60"/>
        <v>0</v>
      </c>
      <c r="I362" s="80"/>
      <c r="J362" s="64"/>
      <c r="K362" s="64"/>
      <c r="L362" s="81"/>
      <c r="M362" s="64"/>
      <c r="N362" s="81"/>
      <c r="O362" s="64"/>
      <c r="P362" s="64"/>
      <c r="Q362" s="64"/>
      <c r="T362" s="80"/>
    </row>
    <row r="363" spans="1:20">
      <c r="A363" s="141" t="s">
        <v>707</v>
      </c>
      <c r="B363" s="91"/>
      <c r="C363" s="328">
        <v>0</v>
      </c>
      <c r="D363" s="406">
        <f>+'Tariff Summary Lights'!F295</f>
        <v>9.59</v>
      </c>
      <c r="E363" s="91"/>
      <c r="F363" s="80">
        <f t="shared" si="59"/>
        <v>0</v>
      </c>
      <c r="G363" s="457">
        <f ca="1">ROUND('[7]JAP-22 Combined Charges'!$J$123,2)</f>
        <v>8.8000000000000007</v>
      </c>
      <c r="H363" s="80">
        <f t="shared" ca="1" si="60"/>
        <v>0</v>
      </c>
      <c r="I363" s="80"/>
      <c r="J363" s="64"/>
      <c r="K363" s="64"/>
      <c r="L363" s="81"/>
      <c r="M363" s="64"/>
      <c r="N363" s="81"/>
      <c r="O363" s="64"/>
      <c r="P363" s="64"/>
      <c r="Q363" s="64"/>
      <c r="T363" s="80"/>
    </row>
    <row r="364" spans="1:20">
      <c r="A364" s="141" t="s">
        <v>708</v>
      </c>
      <c r="B364" s="91"/>
      <c r="C364" s="328">
        <v>0</v>
      </c>
      <c r="D364" s="406">
        <f>+'Tariff Summary Lights'!F296</f>
        <v>9.77</v>
      </c>
      <c r="E364" s="91"/>
      <c r="F364" s="80">
        <f t="shared" si="59"/>
        <v>0</v>
      </c>
      <c r="G364" s="406">
        <f ca="1">+G363</f>
        <v>8.8000000000000007</v>
      </c>
      <c r="H364" s="80">
        <f t="shared" ca="1" si="60"/>
        <v>0</v>
      </c>
      <c r="I364" s="80"/>
      <c r="J364" s="64"/>
      <c r="K364" s="64"/>
      <c r="L364" s="81"/>
      <c r="M364" s="64"/>
      <c r="N364" s="81"/>
      <c r="O364" s="64"/>
      <c r="P364" s="64"/>
      <c r="Q364" s="64"/>
      <c r="T364" s="80"/>
    </row>
    <row r="365" spans="1:20">
      <c r="A365" s="141" t="s">
        <v>709</v>
      </c>
      <c r="B365" s="91"/>
      <c r="C365" s="328">
        <v>0</v>
      </c>
      <c r="D365" s="406">
        <f>+'Tariff Summary Lights'!F297</f>
        <v>9.94</v>
      </c>
      <c r="E365" s="91"/>
      <c r="F365" s="80">
        <f t="shared" si="59"/>
        <v>0</v>
      </c>
      <c r="G365" s="406">
        <f t="shared" ref="G365:G368" ca="1" si="69">+G364</f>
        <v>8.8000000000000007</v>
      </c>
      <c r="H365" s="80">
        <f t="shared" ca="1" si="60"/>
        <v>0</v>
      </c>
      <c r="I365" s="80"/>
      <c r="J365" s="64"/>
      <c r="K365" s="64"/>
      <c r="L365" s="81"/>
      <c r="M365" s="64"/>
      <c r="N365" s="81"/>
      <c r="O365" s="64"/>
      <c r="P365" s="64"/>
      <c r="Q365" s="64"/>
      <c r="T365" s="80"/>
    </row>
    <row r="366" spans="1:20">
      <c r="A366" s="141" t="s">
        <v>710</v>
      </c>
      <c r="B366" s="91"/>
      <c r="C366" s="328">
        <v>0</v>
      </c>
      <c r="D366" s="406">
        <f>+'Tariff Summary Lights'!F298</f>
        <v>10.119999999999999</v>
      </c>
      <c r="E366" s="91"/>
      <c r="F366" s="80">
        <f t="shared" si="59"/>
        <v>0</v>
      </c>
      <c r="G366" s="406">
        <f t="shared" ca="1" si="69"/>
        <v>8.8000000000000007</v>
      </c>
      <c r="H366" s="80">
        <f t="shared" ca="1" si="60"/>
        <v>0</v>
      </c>
      <c r="I366" s="80"/>
      <c r="J366" s="64"/>
      <c r="K366" s="64"/>
      <c r="L366" s="81"/>
      <c r="M366" s="64"/>
      <c r="N366" s="81"/>
      <c r="O366" s="64"/>
      <c r="P366" s="64"/>
      <c r="Q366" s="64"/>
      <c r="T366" s="80"/>
    </row>
    <row r="367" spans="1:20">
      <c r="A367" s="141" t="s">
        <v>711</v>
      </c>
      <c r="B367" s="91"/>
      <c r="C367" s="328">
        <v>0</v>
      </c>
      <c r="D367" s="406">
        <f>+'Tariff Summary Lights'!F299</f>
        <v>10.29</v>
      </c>
      <c r="E367" s="91"/>
      <c r="F367" s="80">
        <f t="shared" si="59"/>
        <v>0</v>
      </c>
      <c r="G367" s="406">
        <f t="shared" ca="1" si="69"/>
        <v>8.8000000000000007</v>
      </c>
      <c r="H367" s="80">
        <f t="shared" ca="1" si="60"/>
        <v>0</v>
      </c>
      <c r="I367" s="80"/>
      <c r="J367" s="64"/>
      <c r="K367" s="64"/>
      <c r="L367" s="81"/>
      <c r="M367" s="64"/>
      <c r="N367" s="81"/>
      <c r="O367" s="64"/>
      <c r="P367" s="64"/>
      <c r="Q367" s="64"/>
      <c r="T367" s="80"/>
    </row>
    <row r="368" spans="1:20">
      <c r="A368" s="141" t="s">
        <v>712</v>
      </c>
      <c r="B368" s="91"/>
      <c r="C368" s="328">
        <v>0</v>
      </c>
      <c r="D368" s="406">
        <f>+'Tariff Summary Lights'!F300</f>
        <v>10.459999999999999</v>
      </c>
      <c r="E368" s="91"/>
      <c r="F368" s="80">
        <f t="shared" si="59"/>
        <v>0</v>
      </c>
      <c r="G368" s="406">
        <f t="shared" ca="1" si="69"/>
        <v>8.8000000000000007</v>
      </c>
      <c r="H368" s="80">
        <f t="shared" ca="1" si="60"/>
        <v>0</v>
      </c>
      <c r="I368" s="80"/>
      <c r="J368" s="64"/>
      <c r="K368" s="64"/>
      <c r="L368" s="81"/>
      <c r="M368" s="64"/>
      <c r="N368" s="81"/>
      <c r="O368" s="64"/>
      <c r="P368" s="64"/>
      <c r="Q368" s="64"/>
      <c r="T368" s="80"/>
    </row>
    <row r="369" spans="1:20">
      <c r="A369" s="409" t="s">
        <v>37</v>
      </c>
      <c r="B369" s="64"/>
      <c r="C369" s="410">
        <f>SUM(C305:C368)</f>
        <v>11295</v>
      </c>
      <c r="D369" s="411"/>
      <c r="E369" s="64"/>
      <c r="F369" s="429">
        <f>SUM(F305:F368)</f>
        <v>899588</v>
      </c>
      <c r="G369" s="411"/>
      <c r="H369" s="429">
        <f ca="1">SUM(H305:H368)</f>
        <v>716241</v>
      </c>
      <c r="I369" s="80"/>
      <c r="J369" s="64"/>
      <c r="K369" s="64"/>
      <c r="L369" s="81"/>
      <c r="M369" s="64"/>
      <c r="N369" s="64"/>
      <c r="O369" s="64"/>
      <c r="P369" s="64"/>
      <c r="Q369" s="64"/>
      <c r="T369" s="429"/>
    </row>
    <row r="370" spans="1:20">
      <c r="A370" s="409"/>
      <c r="B370" s="64"/>
      <c r="C370" s="329"/>
      <c r="D370" s="411"/>
      <c r="E370" s="64"/>
      <c r="F370" s="434"/>
      <c r="G370" s="411"/>
      <c r="H370" s="434"/>
      <c r="I370" s="80"/>
      <c r="J370" s="64"/>
      <c r="K370" s="64"/>
      <c r="L370" s="64"/>
      <c r="M370" s="64"/>
      <c r="N370" s="64"/>
      <c r="O370" s="64"/>
      <c r="P370" s="64"/>
      <c r="Q370" s="64"/>
    </row>
    <row r="371" spans="1:20">
      <c r="A371" s="140" t="s">
        <v>186</v>
      </c>
      <c r="B371" s="91"/>
      <c r="C371" s="412">
        <v>528</v>
      </c>
      <c r="D371" s="414"/>
      <c r="E371" s="416"/>
      <c r="F371" s="417"/>
      <c r="G371" s="414"/>
      <c r="H371" s="418"/>
      <c r="I371" s="80"/>
      <c r="J371" s="64"/>
      <c r="K371" s="64"/>
      <c r="L371" s="64"/>
      <c r="M371" s="64"/>
      <c r="N371" s="64"/>
      <c r="O371" s="64"/>
      <c r="P371" s="64"/>
      <c r="Q371" s="64"/>
    </row>
    <row r="372" spans="1:20">
      <c r="A372" s="140"/>
      <c r="B372" s="91"/>
      <c r="C372" s="412"/>
      <c r="D372" s="414"/>
      <c r="E372" s="416"/>
      <c r="F372" s="417"/>
      <c r="G372" s="414"/>
      <c r="H372" s="418"/>
      <c r="I372" s="80"/>
      <c r="J372" s="64"/>
      <c r="K372" s="64"/>
      <c r="L372" s="64"/>
      <c r="M372" s="64"/>
      <c r="N372" s="64"/>
      <c r="O372" s="64"/>
      <c r="P372" s="64"/>
      <c r="Q372" s="64"/>
    </row>
    <row r="373" spans="1:20">
      <c r="A373" s="413" t="s">
        <v>436</v>
      </c>
      <c r="B373" s="414"/>
      <c r="C373" s="415">
        <v>8926151.7919999994</v>
      </c>
      <c r="D373" s="414"/>
      <c r="E373" s="416"/>
      <c r="F373" s="417"/>
      <c r="G373" s="414"/>
      <c r="H373" s="418"/>
      <c r="I373" s="80"/>
      <c r="J373" s="64"/>
      <c r="K373" s="64"/>
      <c r="L373" s="64"/>
      <c r="M373" s="64"/>
      <c r="N373" s="64"/>
      <c r="O373" s="64"/>
      <c r="P373" s="64"/>
      <c r="Q373" s="64"/>
    </row>
    <row r="374" spans="1:20">
      <c r="A374" s="413" t="s">
        <v>437</v>
      </c>
      <c r="B374" s="64"/>
      <c r="C374" s="328">
        <v>-880488</v>
      </c>
      <c r="D374" s="420">
        <f>ROUND(F374/C374,6)</f>
        <v>2.9571E-2</v>
      </c>
      <c r="E374" s="421"/>
      <c r="F374" s="80">
        <f>$P$17</f>
        <v>-26037</v>
      </c>
      <c r="G374" s="420">
        <f ca="1">ROUND(H374/C374,6)</f>
        <v>3.0127999999999999E-2</v>
      </c>
      <c r="H374" s="80">
        <f ca="1">ROUND(+F374*(1+J374),0)</f>
        <v>-26527</v>
      </c>
      <c r="I374" s="421"/>
      <c r="J374" s="110">
        <f ca="1">+$J$45</f>
        <v>1.8815167015235074E-2</v>
      </c>
      <c r="K374" s="521" t="s">
        <v>438</v>
      </c>
      <c r="L374" s="521"/>
      <c r="M374" s="458"/>
      <c r="N374" s="458"/>
      <c r="O374" s="458"/>
      <c r="P374" s="458"/>
      <c r="Q374" s="458"/>
      <c r="R374" s="458"/>
      <c r="S374" s="458"/>
      <c r="T374" s="458"/>
    </row>
    <row r="375" spans="1:20" ht="16.2" thickBot="1">
      <c r="A375" s="143" t="s">
        <v>38</v>
      </c>
      <c r="B375" s="91"/>
      <c r="C375" s="422">
        <f>SUM(C373:C374)</f>
        <v>8045663.7919999994</v>
      </c>
      <c r="D375" s="83"/>
      <c r="E375" s="64"/>
      <c r="F375" s="423">
        <f>SUM(F369,F374)</f>
        <v>873551</v>
      </c>
      <c r="G375" s="83"/>
      <c r="H375" s="423">
        <f ca="1">SUM(H369,H374)</f>
        <v>689714</v>
      </c>
      <c r="I375" s="80"/>
      <c r="J375" s="64"/>
      <c r="K375" s="64"/>
      <c r="L375" s="64"/>
      <c r="M375" s="64"/>
      <c r="N375" s="64"/>
      <c r="O375" s="64"/>
      <c r="P375" s="64"/>
      <c r="Q375" s="64"/>
    </row>
    <row r="376" spans="1:20" ht="16.2" thickTop="1">
      <c r="A376" s="91"/>
      <c r="B376" s="91"/>
      <c r="C376" s="128"/>
      <c r="D376" s="437" t="s">
        <v>0</v>
      </c>
      <c r="E376" s="121"/>
      <c r="F376" s="83"/>
      <c r="G376" s="437" t="s">
        <v>0</v>
      </c>
      <c r="H376" s="83" t="s">
        <v>0</v>
      </c>
      <c r="I376" s="83"/>
      <c r="J376" s="64"/>
      <c r="K376" s="64"/>
      <c r="L376" s="64"/>
      <c r="M376" s="64"/>
      <c r="N376" s="64"/>
      <c r="O376" s="64"/>
      <c r="P376" s="64"/>
      <c r="Q376" s="64"/>
    </row>
    <row r="377" spans="1:20">
      <c r="A377" s="64"/>
      <c r="B377" s="64"/>
      <c r="C377" s="128"/>
      <c r="D377" s="433"/>
      <c r="E377" s="433"/>
      <c r="F377" s="438"/>
      <c r="G377" s="64"/>
      <c r="H377" s="79"/>
      <c r="I377" s="79"/>
      <c r="J377" s="64"/>
      <c r="K377" s="64"/>
      <c r="L377" s="64"/>
      <c r="M377" s="64"/>
      <c r="N377" s="64"/>
      <c r="O377" s="64"/>
      <c r="P377" s="64"/>
      <c r="Q377" s="64"/>
    </row>
    <row r="378" spans="1:20">
      <c r="A378" s="539" t="s">
        <v>209</v>
      </c>
      <c r="B378" s="539"/>
      <c r="C378" s="539"/>
      <c r="D378" s="539"/>
      <c r="E378" s="539"/>
      <c r="F378" s="539"/>
      <c r="G378" s="539"/>
      <c r="H378" s="539"/>
      <c r="I378" s="64"/>
      <c r="J378" s="64"/>
      <c r="K378" s="64"/>
      <c r="L378" s="64"/>
      <c r="M378" s="64"/>
      <c r="N378" s="64"/>
      <c r="O378" s="64"/>
      <c r="P378" s="64"/>
      <c r="Q378" s="64"/>
    </row>
    <row r="379" spans="1:20">
      <c r="A379" s="140" t="s">
        <v>713</v>
      </c>
      <c r="B379" s="91"/>
      <c r="C379" s="91"/>
      <c r="D379" s="91"/>
      <c r="E379" s="91"/>
      <c r="F379" s="91"/>
      <c r="G379" s="91"/>
      <c r="H379" s="91"/>
      <c r="I379" s="81"/>
      <c r="J379" s="64"/>
      <c r="K379" s="64"/>
      <c r="L379" s="64"/>
      <c r="M379" s="64"/>
      <c r="N379" s="64"/>
      <c r="O379" s="64"/>
      <c r="P379" s="64"/>
      <c r="Q379" s="64"/>
    </row>
    <row r="380" spans="1:20">
      <c r="A380" s="91"/>
      <c r="B380" s="91"/>
      <c r="C380" s="91"/>
      <c r="D380" s="432"/>
      <c r="E380" s="91"/>
      <c r="F380" s="91"/>
      <c r="G380" s="432"/>
      <c r="H380" s="91"/>
      <c r="I380" s="64"/>
      <c r="J380" s="64"/>
      <c r="K380" s="64"/>
      <c r="L380" s="64"/>
      <c r="M380" s="64"/>
      <c r="N380" s="64"/>
      <c r="O380" s="64"/>
      <c r="P380" s="64"/>
      <c r="Q380" s="64"/>
    </row>
    <row r="381" spans="1:20">
      <c r="A381" s="141" t="s">
        <v>714</v>
      </c>
      <c r="B381" s="91"/>
      <c r="C381" s="328">
        <v>19</v>
      </c>
      <c r="D381" s="406">
        <f>+'Tariff Summary Lights'!F302</f>
        <v>10.42</v>
      </c>
      <c r="E381" s="91"/>
      <c r="F381" s="80">
        <f t="shared" ref="F381:F386" si="70">IF(D381="n/a",0,ROUND(C381*D381*12,0))</f>
        <v>2376</v>
      </c>
      <c r="G381" s="406">
        <f ca="1">ROUND('[7]JAP-22 Combined Charges'!J126,2)</f>
        <v>11.24</v>
      </c>
      <c r="H381" s="80">
        <f t="shared" ref="H381:H388" ca="1" si="71">ROUND(G381*$C381*12,0)</f>
        <v>2563</v>
      </c>
      <c r="I381" s="64"/>
      <c r="J381" s="64"/>
      <c r="K381" s="64"/>
      <c r="L381" s="64"/>
      <c r="M381" s="64"/>
      <c r="N381" s="64"/>
      <c r="O381" s="64"/>
      <c r="P381" s="64"/>
      <c r="Q381" s="64"/>
      <c r="T381" s="80"/>
    </row>
    <row r="382" spans="1:20">
      <c r="A382" s="141" t="s">
        <v>715</v>
      </c>
      <c r="B382" s="91"/>
      <c r="C382" s="328">
        <v>4211</v>
      </c>
      <c r="D382" s="406">
        <f>+'Tariff Summary Lights'!F303</f>
        <v>11.72</v>
      </c>
      <c r="E382" s="91"/>
      <c r="F382" s="80">
        <f t="shared" si="70"/>
        <v>592235</v>
      </c>
      <c r="G382" s="406">
        <f ca="1">ROUND('[7]JAP-22 Combined Charges'!J127,2)</f>
        <v>12.42</v>
      </c>
      <c r="H382" s="80">
        <f t="shared" ca="1" si="71"/>
        <v>627607</v>
      </c>
      <c r="I382" s="64"/>
      <c r="J382" s="64"/>
      <c r="K382" s="64"/>
      <c r="L382" s="64"/>
      <c r="M382" s="64"/>
      <c r="N382" s="64"/>
      <c r="O382" s="64"/>
      <c r="P382" s="64"/>
      <c r="Q382" s="64"/>
      <c r="T382" s="80"/>
    </row>
    <row r="383" spans="1:20">
      <c r="A383" s="141" t="s">
        <v>716</v>
      </c>
      <c r="B383" s="91"/>
      <c r="C383" s="328">
        <v>575</v>
      </c>
      <c r="D383" s="406">
        <f>+'Tariff Summary Lights'!F304</f>
        <v>13.97</v>
      </c>
      <c r="E383" s="91"/>
      <c r="F383" s="80">
        <f t="shared" si="70"/>
        <v>96393</v>
      </c>
      <c r="G383" s="406">
        <f ca="1">ROUND('[7]JAP-22 Combined Charges'!J128,2)</f>
        <v>14.38</v>
      </c>
      <c r="H383" s="80">
        <f t="shared" ca="1" si="71"/>
        <v>99222</v>
      </c>
      <c r="I383" s="64"/>
      <c r="J383" s="64"/>
      <c r="K383" s="64"/>
      <c r="L383" s="64"/>
      <c r="M383" s="64"/>
      <c r="N383" s="64"/>
      <c r="O383" s="64"/>
      <c r="P383" s="64"/>
      <c r="Q383" s="64"/>
      <c r="T383" s="80"/>
    </row>
    <row r="384" spans="1:20">
      <c r="A384" s="141" t="s">
        <v>717</v>
      </c>
      <c r="B384" s="91"/>
      <c r="C384" s="328">
        <v>1208</v>
      </c>
      <c r="D384" s="406">
        <f>+'Tariff Summary Lights'!F305</f>
        <v>16.75</v>
      </c>
      <c r="E384" s="91"/>
      <c r="F384" s="80">
        <f t="shared" si="70"/>
        <v>242808</v>
      </c>
      <c r="G384" s="406">
        <f ca="1">ROUND('[7]JAP-22 Combined Charges'!J129,2)</f>
        <v>16.350000000000001</v>
      </c>
      <c r="H384" s="80">
        <f t="shared" ca="1" si="71"/>
        <v>237010</v>
      </c>
      <c r="I384" s="64"/>
      <c r="J384" s="64"/>
      <c r="K384" s="64"/>
      <c r="L384" s="64"/>
      <c r="M384" s="64"/>
      <c r="N384" s="64"/>
      <c r="O384" s="64"/>
      <c r="P384" s="64"/>
      <c r="Q384" s="64"/>
      <c r="T384" s="80"/>
    </row>
    <row r="385" spans="1:20">
      <c r="A385" s="141" t="s">
        <v>718</v>
      </c>
      <c r="B385" s="91"/>
      <c r="C385" s="328">
        <v>128</v>
      </c>
      <c r="D385" s="406">
        <f>+'Tariff Summary Lights'!F306</f>
        <v>18.88</v>
      </c>
      <c r="E385" s="91"/>
      <c r="F385" s="80">
        <f t="shared" si="70"/>
        <v>29000</v>
      </c>
      <c r="G385" s="406">
        <f ca="1">ROUND('[7]JAP-22 Combined Charges'!J130,2)</f>
        <v>18.32</v>
      </c>
      <c r="H385" s="80">
        <f t="shared" ca="1" si="71"/>
        <v>28140</v>
      </c>
      <c r="I385" s="64"/>
      <c r="J385" s="64"/>
      <c r="K385" s="64"/>
      <c r="L385" s="64"/>
      <c r="M385" s="64"/>
      <c r="N385" s="64"/>
      <c r="O385" s="64"/>
      <c r="P385" s="64"/>
      <c r="Q385" s="64"/>
      <c r="T385" s="80"/>
    </row>
    <row r="386" spans="1:20">
      <c r="A386" s="141" t="s">
        <v>719</v>
      </c>
      <c r="B386" s="91"/>
      <c r="C386" s="328">
        <v>53</v>
      </c>
      <c r="D386" s="406">
        <f>+'Tariff Summary Lights'!F307</f>
        <v>25.48</v>
      </c>
      <c r="E386" s="91"/>
      <c r="F386" s="80">
        <f t="shared" si="70"/>
        <v>16205</v>
      </c>
      <c r="G386" s="406">
        <f ca="1">ROUND('[7]JAP-22 Combined Charges'!J131,2)</f>
        <v>24.22</v>
      </c>
      <c r="H386" s="80">
        <f t="shared" ca="1" si="71"/>
        <v>15404</v>
      </c>
      <c r="I386" s="64"/>
      <c r="J386" s="64"/>
      <c r="K386" s="64"/>
      <c r="L386" s="64"/>
      <c r="M386" s="64"/>
      <c r="N386" s="64"/>
      <c r="O386" s="64"/>
      <c r="P386" s="64"/>
      <c r="Q386" s="64"/>
      <c r="T386" s="80"/>
    </row>
    <row r="387" spans="1:20">
      <c r="A387" s="141"/>
      <c r="B387" s="91"/>
      <c r="C387" s="328"/>
      <c r="D387" s="406"/>
      <c r="E387" s="91"/>
      <c r="F387" s="80"/>
      <c r="G387" s="406"/>
      <c r="H387" s="80"/>
      <c r="I387" s="64"/>
      <c r="J387" s="64"/>
      <c r="K387" s="64"/>
      <c r="L387" s="64"/>
      <c r="M387" s="64"/>
      <c r="N387" s="64"/>
      <c r="O387" s="64"/>
      <c r="P387" s="64"/>
      <c r="Q387" s="64"/>
      <c r="T387" s="80"/>
    </row>
    <row r="388" spans="1:20">
      <c r="A388" s="141" t="s">
        <v>720</v>
      </c>
      <c r="B388" s="91"/>
      <c r="C388" s="328">
        <v>6</v>
      </c>
      <c r="D388" s="406">
        <f>+'Tariff Summary Lights'!F309</f>
        <v>21.79</v>
      </c>
      <c r="E388" s="91"/>
      <c r="F388" s="80">
        <f t="shared" ref="F388" si="72">IF(D388="n/a",0,ROUND(C388*D388*12,0))</f>
        <v>1569</v>
      </c>
      <c r="G388" s="406">
        <f ca="1">ROUND('[7]JAP-22 Combined Charges'!J133,2)</f>
        <v>21.4</v>
      </c>
      <c r="H388" s="80">
        <f t="shared" ca="1" si="71"/>
        <v>1541</v>
      </c>
      <c r="I388" s="64"/>
      <c r="J388" s="64"/>
      <c r="K388" s="64"/>
      <c r="L388" s="64"/>
      <c r="M388" s="64"/>
      <c r="N388" s="64"/>
      <c r="O388" s="64"/>
      <c r="P388" s="64"/>
      <c r="Q388" s="64"/>
      <c r="T388" s="80"/>
    </row>
    <row r="389" spans="1:20">
      <c r="A389" s="141"/>
      <c r="B389" s="91"/>
      <c r="C389" s="328"/>
      <c r="D389" s="406"/>
      <c r="E389" s="91"/>
      <c r="F389" s="80"/>
      <c r="G389" s="406"/>
      <c r="H389" s="80"/>
      <c r="I389" s="64"/>
      <c r="J389" s="64"/>
      <c r="K389" s="64"/>
      <c r="L389" s="64"/>
      <c r="M389" s="64"/>
      <c r="N389" s="64"/>
      <c r="O389" s="64"/>
      <c r="P389" s="64"/>
      <c r="Q389" s="64"/>
      <c r="T389" s="80"/>
    </row>
    <row r="390" spans="1:20">
      <c r="A390" s="141" t="s">
        <v>721</v>
      </c>
      <c r="B390" s="91"/>
      <c r="C390" s="328">
        <v>0</v>
      </c>
      <c r="D390" s="453">
        <f>+'Tariff Summary Lights'!F311</f>
        <v>9.2100000000000009</v>
      </c>
      <c r="E390" s="91"/>
      <c r="F390" s="80">
        <f t="shared" ref="F390:F410" si="73">IF(D390="n/a",0,ROUND(C390*D390*12,0))</f>
        <v>0</v>
      </c>
      <c r="G390" s="457">
        <f ca="1">ROUND('[7]JAP-22 Combined Charges'!$J$135,2)</f>
        <v>11.88</v>
      </c>
      <c r="H390" s="80">
        <f t="shared" ref="H390:H413" ca="1" si="74">ROUND(G390*$C390*12,0)</f>
        <v>0</v>
      </c>
      <c r="I390" s="64"/>
      <c r="J390" s="64"/>
      <c r="K390" s="64"/>
      <c r="L390" s="64"/>
      <c r="M390" s="64"/>
      <c r="N390" s="64"/>
      <c r="O390" s="64"/>
      <c r="P390" s="64"/>
      <c r="Q390" s="64"/>
      <c r="T390" s="80"/>
    </row>
    <row r="391" spans="1:20">
      <c r="A391" s="141" t="s">
        <v>722</v>
      </c>
      <c r="B391" s="91"/>
      <c r="C391" s="328">
        <v>0</v>
      </c>
      <c r="D391" s="453">
        <f>+'Tariff Summary Lights'!F312</f>
        <v>9.39</v>
      </c>
      <c r="E391" s="91"/>
      <c r="F391" s="80">
        <f t="shared" si="73"/>
        <v>0</v>
      </c>
      <c r="G391" s="406">
        <f ca="1">+G390</f>
        <v>11.88</v>
      </c>
      <c r="H391" s="80">
        <f t="shared" ca="1" si="74"/>
        <v>0</v>
      </c>
      <c r="I391" s="64"/>
      <c r="J391" s="64"/>
      <c r="K391" s="64"/>
      <c r="L391" s="64"/>
      <c r="M391" s="64"/>
      <c r="N391" s="64"/>
      <c r="O391" s="64"/>
      <c r="P391" s="64"/>
      <c r="Q391" s="64"/>
      <c r="T391" s="80"/>
    </row>
    <row r="392" spans="1:20">
      <c r="A392" s="141" t="s">
        <v>723</v>
      </c>
      <c r="B392" s="91"/>
      <c r="C392" s="328">
        <v>0</v>
      </c>
      <c r="D392" s="453">
        <f>+'Tariff Summary Lights'!F313</f>
        <v>9.56</v>
      </c>
      <c r="E392" s="91"/>
      <c r="F392" s="80">
        <f t="shared" si="73"/>
        <v>0</v>
      </c>
      <c r="G392" s="406">
        <f t="shared" ref="G392:G395" ca="1" si="75">+G391</f>
        <v>11.88</v>
      </c>
      <c r="H392" s="80">
        <f t="shared" ca="1" si="74"/>
        <v>0</v>
      </c>
      <c r="I392" s="64"/>
      <c r="J392" s="64"/>
      <c r="K392" s="64"/>
      <c r="L392" s="64"/>
      <c r="M392" s="64"/>
      <c r="N392" s="64"/>
      <c r="O392" s="64"/>
      <c r="P392" s="64"/>
      <c r="Q392" s="64"/>
      <c r="T392" s="80"/>
    </row>
    <row r="393" spans="1:20">
      <c r="A393" s="141" t="s">
        <v>724</v>
      </c>
      <c r="B393" s="91"/>
      <c r="C393" s="328">
        <v>1</v>
      </c>
      <c r="D393" s="453">
        <f>+'Tariff Summary Lights'!F314</f>
        <v>9.74</v>
      </c>
      <c r="E393" s="91"/>
      <c r="F393" s="80">
        <f t="shared" si="73"/>
        <v>117</v>
      </c>
      <c r="G393" s="406">
        <f t="shared" ca="1" si="75"/>
        <v>11.88</v>
      </c>
      <c r="H393" s="80">
        <f t="shared" ca="1" si="74"/>
        <v>143</v>
      </c>
      <c r="I393" s="64"/>
      <c r="J393" s="64"/>
      <c r="K393" s="64"/>
      <c r="L393" s="64"/>
      <c r="M393" s="64"/>
      <c r="N393" s="64"/>
      <c r="O393" s="64"/>
      <c r="P393" s="64"/>
      <c r="Q393" s="64"/>
      <c r="T393" s="80"/>
    </row>
    <row r="394" spans="1:20">
      <c r="A394" s="141" t="s">
        <v>725</v>
      </c>
      <c r="B394" s="91"/>
      <c r="C394" s="328">
        <v>3</v>
      </c>
      <c r="D394" s="453">
        <f>+'Tariff Summary Lights'!F315</f>
        <v>9.91</v>
      </c>
      <c r="E394" s="91"/>
      <c r="F394" s="80">
        <f t="shared" si="73"/>
        <v>357</v>
      </c>
      <c r="G394" s="406">
        <f t="shared" ca="1" si="75"/>
        <v>11.88</v>
      </c>
      <c r="H394" s="80">
        <f t="shared" ca="1" si="74"/>
        <v>428</v>
      </c>
      <c r="I394" s="64"/>
      <c r="J394" s="64"/>
      <c r="K394" s="64"/>
      <c r="L394" s="64"/>
      <c r="M394" s="64"/>
      <c r="N394" s="64"/>
      <c r="O394" s="64"/>
      <c r="P394" s="64"/>
      <c r="Q394" s="64"/>
      <c r="T394" s="80"/>
    </row>
    <row r="395" spans="1:20">
      <c r="A395" s="141" t="s">
        <v>726</v>
      </c>
      <c r="B395" s="91"/>
      <c r="C395" s="328">
        <v>0</v>
      </c>
      <c r="D395" s="453">
        <f>+'Tariff Summary Lights'!F316</f>
        <v>10.09</v>
      </c>
      <c r="E395" s="91"/>
      <c r="F395" s="80">
        <f t="shared" si="73"/>
        <v>0</v>
      </c>
      <c r="G395" s="406">
        <f t="shared" ca="1" si="75"/>
        <v>11.88</v>
      </c>
      <c r="H395" s="80">
        <f t="shared" ca="1" si="74"/>
        <v>0</v>
      </c>
      <c r="I395" s="64"/>
      <c r="J395" s="64"/>
      <c r="K395" s="64"/>
      <c r="L395" s="64"/>
      <c r="M395" s="64"/>
      <c r="N395" s="64"/>
      <c r="O395" s="64"/>
      <c r="P395" s="64"/>
      <c r="Q395" s="64"/>
      <c r="T395" s="80"/>
    </row>
    <row r="396" spans="1:20">
      <c r="A396" s="141" t="s">
        <v>727</v>
      </c>
      <c r="B396" s="91"/>
      <c r="C396" s="328">
        <v>0</v>
      </c>
      <c r="D396" s="453">
        <f>+'Tariff Summary Lights'!F317</f>
        <v>10.27</v>
      </c>
      <c r="E396" s="91"/>
      <c r="F396" s="80">
        <f t="shared" si="73"/>
        <v>0</v>
      </c>
      <c r="G396" s="457">
        <f ca="1">ROUND('[7]JAP-22 Combined Charges'!$J$136,2)</f>
        <v>12.99</v>
      </c>
      <c r="H396" s="80">
        <f t="shared" ca="1" si="74"/>
        <v>0</v>
      </c>
      <c r="I396" s="64"/>
      <c r="J396" s="64"/>
      <c r="K396" s="64"/>
      <c r="L396" s="64"/>
      <c r="M396" s="64"/>
      <c r="N396" s="64"/>
      <c r="O396" s="64"/>
      <c r="P396" s="64"/>
      <c r="Q396" s="64"/>
      <c r="T396" s="80"/>
    </row>
    <row r="397" spans="1:20">
      <c r="A397" s="141" t="s">
        <v>728</v>
      </c>
      <c r="B397" s="91"/>
      <c r="C397" s="328">
        <v>0</v>
      </c>
      <c r="D397" s="453">
        <f>+'Tariff Summary Lights'!F318</f>
        <v>10.44</v>
      </c>
      <c r="E397" s="91"/>
      <c r="F397" s="80">
        <f t="shared" si="73"/>
        <v>0</v>
      </c>
      <c r="G397" s="406">
        <f ca="1">+G396</f>
        <v>12.99</v>
      </c>
      <c r="H397" s="80">
        <f t="shared" ca="1" si="74"/>
        <v>0</v>
      </c>
      <c r="I397" s="64"/>
      <c r="J397" s="64"/>
      <c r="K397" s="64"/>
      <c r="L397" s="64"/>
      <c r="M397" s="64"/>
      <c r="N397" s="64"/>
      <c r="O397" s="64"/>
      <c r="P397" s="64"/>
      <c r="Q397" s="64"/>
      <c r="T397" s="80"/>
    </row>
    <row r="398" spans="1:20">
      <c r="A398" s="141" t="s">
        <v>729</v>
      </c>
      <c r="B398" s="91"/>
      <c r="C398" s="328">
        <v>0</v>
      </c>
      <c r="D398" s="453">
        <f>+'Tariff Summary Lights'!F319</f>
        <v>10.62</v>
      </c>
      <c r="E398" s="91"/>
      <c r="F398" s="80">
        <f t="shared" si="73"/>
        <v>0</v>
      </c>
      <c r="G398" s="406">
        <f t="shared" ref="G398:G401" ca="1" si="76">+G397</f>
        <v>12.99</v>
      </c>
      <c r="H398" s="80">
        <f t="shared" ca="1" si="74"/>
        <v>0</v>
      </c>
      <c r="I398" s="64"/>
      <c r="J398" s="64"/>
      <c r="K398" s="64"/>
      <c r="L398" s="64"/>
      <c r="M398" s="64"/>
      <c r="N398" s="64"/>
      <c r="O398" s="64"/>
      <c r="P398" s="64"/>
      <c r="Q398" s="64"/>
      <c r="T398" s="80"/>
    </row>
    <row r="399" spans="1:20">
      <c r="A399" s="141" t="s">
        <v>730</v>
      </c>
      <c r="B399" s="91"/>
      <c r="C399" s="328">
        <v>0</v>
      </c>
      <c r="D399" s="453">
        <f>+'Tariff Summary Lights'!F320</f>
        <v>10.79</v>
      </c>
      <c r="E399" s="91"/>
      <c r="F399" s="80">
        <f t="shared" si="73"/>
        <v>0</v>
      </c>
      <c r="G399" s="406">
        <f t="shared" ca="1" si="76"/>
        <v>12.99</v>
      </c>
      <c r="H399" s="80">
        <f t="shared" ca="1" si="74"/>
        <v>0</v>
      </c>
      <c r="I399" s="64"/>
      <c r="J399" s="64"/>
      <c r="K399" s="64"/>
      <c r="L399" s="64"/>
      <c r="M399" s="64"/>
      <c r="N399" s="64"/>
      <c r="O399" s="64"/>
      <c r="P399" s="64"/>
      <c r="Q399" s="64"/>
      <c r="T399" s="80"/>
    </row>
    <row r="400" spans="1:20">
      <c r="A400" s="141" t="s">
        <v>731</v>
      </c>
      <c r="B400" s="91"/>
      <c r="C400" s="328">
        <v>0</v>
      </c>
      <c r="D400" s="453">
        <f>+'Tariff Summary Lights'!F321</f>
        <v>10.97</v>
      </c>
      <c r="E400" s="91"/>
      <c r="F400" s="80">
        <f t="shared" si="73"/>
        <v>0</v>
      </c>
      <c r="G400" s="406">
        <f t="shared" ca="1" si="76"/>
        <v>12.99</v>
      </c>
      <c r="H400" s="80">
        <f t="shared" ca="1" si="74"/>
        <v>0</v>
      </c>
      <c r="I400" s="64"/>
      <c r="J400" s="64"/>
      <c r="K400" s="64"/>
      <c r="L400" s="64"/>
      <c r="M400" s="64"/>
      <c r="N400" s="64"/>
      <c r="O400" s="64"/>
      <c r="P400" s="64"/>
      <c r="Q400" s="64"/>
      <c r="T400" s="80"/>
    </row>
    <row r="401" spans="1:20">
      <c r="A401" s="141" t="s">
        <v>732</v>
      </c>
      <c r="B401" s="91"/>
      <c r="C401" s="328">
        <v>0</v>
      </c>
      <c r="D401" s="453">
        <f>+'Tariff Summary Lights'!F322</f>
        <v>11.14</v>
      </c>
      <c r="E401" s="91"/>
      <c r="F401" s="80">
        <f t="shared" si="73"/>
        <v>0</v>
      </c>
      <c r="G401" s="406">
        <f t="shared" ca="1" si="76"/>
        <v>12.99</v>
      </c>
      <c r="H401" s="80">
        <f t="shared" ca="1" si="74"/>
        <v>0</v>
      </c>
      <c r="I401" s="64"/>
      <c r="J401" s="64"/>
      <c r="K401" s="64"/>
      <c r="L401" s="64"/>
      <c r="M401" s="64"/>
      <c r="N401" s="64"/>
      <c r="O401" s="64"/>
      <c r="P401" s="64"/>
      <c r="Q401" s="64"/>
      <c r="T401" s="80"/>
    </row>
    <row r="402" spans="1:20">
      <c r="A402" s="141" t="s">
        <v>733</v>
      </c>
      <c r="B402" s="91"/>
      <c r="C402" s="328">
        <v>0</v>
      </c>
      <c r="D402" s="453">
        <f>+'Tariff Summary Lights'!F323</f>
        <v>11.33</v>
      </c>
      <c r="E402" s="91"/>
      <c r="F402" s="80">
        <f t="shared" si="73"/>
        <v>0</v>
      </c>
      <c r="G402" s="457">
        <f ca="1">ROUND('[7]JAP-22 Combined Charges'!$J$137,2)</f>
        <v>14.1</v>
      </c>
      <c r="H402" s="80">
        <f t="shared" ca="1" si="74"/>
        <v>0</v>
      </c>
      <c r="I402" s="64"/>
      <c r="J402" s="64"/>
      <c r="K402" s="64"/>
      <c r="L402" s="64"/>
      <c r="M402" s="64"/>
      <c r="N402" s="64"/>
      <c r="O402" s="64"/>
      <c r="P402" s="64"/>
      <c r="Q402" s="64"/>
      <c r="T402" s="80"/>
    </row>
    <row r="403" spans="1:20">
      <c r="A403" s="141" t="s">
        <v>734</v>
      </c>
      <c r="B403" s="91"/>
      <c r="C403" s="328">
        <v>3</v>
      </c>
      <c r="D403" s="453">
        <f>+'Tariff Summary Lights'!F324</f>
        <v>11.5</v>
      </c>
      <c r="E403" s="91"/>
      <c r="F403" s="80">
        <f t="shared" si="73"/>
        <v>414</v>
      </c>
      <c r="G403" s="406">
        <f ca="1">+G402</f>
        <v>14.1</v>
      </c>
      <c r="H403" s="80">
        <f t="shared" ca="1" si="74"/>
        <v>508</v>
      </c>
      <c r="I403" s="64"/>
      <c r="J403" s="64"/>
      <c r="K403" s="64"/>
      <c r="L403" s="64"/>
      <c r="M403" s="64"/>
      <c r="N403" s="64"/>
      <c r="O403" s="64"/>
      <c r="P403" s="64"/>
      <c r="Q403" s="64"/>
      <c r="T403" s="80"/>
    </row>
    <row r="404" spans="1:20">
      <c r="A404" s="142" t="s">
        <v>735</v>
      </c>
      <c r="B404" s="91"/>
      <c r="C404" s="328">
        <v>0</v>
      </c>
      <c r="D404" s="453" t="str">
        <f>+'Tariff Summary Lights'!F325</f>
        <v>n/a</v>
      </c>
      <c r="E404" s="91"/>
      <c r="F404" s="80">
        <f t="shared" si="73"/>
        <v>0</v>
      </c>
      <c r="G404" s="406">
        <f t="shared" ref="G404" ca="1" si="77">+G403</f>
        <v>14.1</v>
      </c>
      <c r="H404" s="80">
        <f t="shared" ca="1" si="74"/>
        <v>0</v>
      </c>
      <c r="I404" s="64"/>
      <c r="J404" s="64"/>
      <c r="K404" s="64"/>
      <c r="L404" s="64"/>
      <c r="M404" s="64"/>
      <c r="N404" s="64"/>
      <c r="O404" s="64"/>
      <c r="P404" s="64"/>
      <c r="Q404" s="64"/>
      <c r="T404" s="80"/>
    </row>
    <row r="405" spans="1:20">
      <c r="A405" s="142" t="s">
        <v>736</v>
      </c>
      <c r="B405" s="91"/>
      <c r="C405" s="328">
        <v>0</v>
      </c>
      <c r="D405" s="453" t="str">
        <f>+'Tariff Summary Lights'!F326</f>
        <v>n/a</v>
      </c>
      <c r="E405" s="91"/>
      <c r="F405" s="80">
        <f t="shared" si="73"/>
        <v>0</v>
      </c>
      <c r="G405" s="457">
        <f ca="1">ROUND('[7]JAP-22 Combined Charges'!J138,2)</f>
        <v>15.21</v>
      </c>
      <c r="H405" s="80">
        <f t="shared" ca="1" si="74"/>
        <v>0</v>
      </c>
      <c r="I405" s="64"/>
      <c r="J405" s="64"/>
      <c r="K405" s="64"/>
      <c r="L405" s="64"/>
      <c r="M405" s="64"/>
      <c r="N405" s="64"/>
      <c r="O405" s="64"/>
      <c r="P405" s="64"/>
      <c r="Q405" s="64"/>
      <c r="T405" s="80"/>
    </row>
    <row r="406" spans="1:20">
      <c r="A406" s="142" t="s">
        <v>737</v>
      </c>
      <c r="B406" s="91"/>
      <c r="C406" s="328">
        <v>0</v>
      </c>
      <c r="D406" s="453" t="str">
        <f>+'Tariff Summary Lights'!F327</f>
        <v>n/a</v>
      </c>
      <c r="E406" s="91"/>
      <c r="F406" s="80">
        <f t="shared" si="73"/>
        <v>0</v>
      </c>
      <c r="G406" s="457">
        <f ca="1">ROUND('[7]JAP-22 Combined Charges'!J139,2)</f>
        <v>16.32</v>
      </c>
      <c r="H406" s="80">
        <f t="shared" ca="1" si="74"/>
        <v>0</v>
      </c>
      <c r="I406" s="64"/>
      <c r="J406" s="64"/>
      <c r="K406" s="64"/>
      <c r="L406" s="64"/>
      <c r="M406" s="64"/>
      <c r="N406" s="64"/>
      <c r="O406" s="64"/>
      <c r="P406" s="64"/>
      <c r="Q406" s="64"/>
      <c r="T406" s="80"/>
    </row>
    <row r="407" spans="1:20">
      <c r="A407" s="142" t="s">
        <v>738</v>
      </c>
      <c r="B407" s="91"/>
      <c r="C407" s="328">
        <v>0</v>
      </c>
      <c r="D407" s="453" t="str">
        <f>+'Tariff Summary Lights'!F328</f>
        <v>n/a</v>
      </c>
      <c r="E407" s="91"/>
      <c r="F407" s="80">
        <f t="shared" si="73"/>
        <v>0</v>
      </c>
      <c r="G407" s="457">
        <f ca="1">ROUND('[7]JAP-22 Combined Charges'!J140,2)</f>
        <v>17.420000000000002</v>
      </c>
      <c r="H407" s="80">
        <f t="shared" ca="1" si="74"/>
        <v>0</v>
      </c>
      <c r="I407" s="64"/>
      <c r="J407" s="64"/>
      <c r="K407" s="64"/>
      <c r="L407" s="64"/>
      <c r="M407" s="64"/>
      <c r="N407" s="64"/>
      <c r="O407" s="64"/>
      <c r="P407" s="64"/>
      <c r="Q407" s="64"/>
      <c r="T407" s="80"/>
    </row>
    <row r="408" spans="1:20">
      <c r="A408" s="142" t="s">
        <v>739</v>
      </c>
      <c r="B408" s="91"/>
      <c r="C408" s="328">
        <v>0</v>
      </c>
      <c r="D408" s="453" t="str">
        <f>+'Tariff Summary Lights'!F329</f>
        <v>n/a</v>
      </c>
      <c r="E408" s="91"/>
      <c r="F408" s="80">
        <f t="shared" si="73"/>
        <v>0</v>
      </c>
      <c r="G408" s="457">
        <f ca="1">ROUND('[7]JAP-22 Combined Charges'!J141,2)</f>
        <v>18.53</v>
      </c>
      <c r="H408" s="80">
        <f t="shared" ca="1" si="74"/>
        <v>0</v>
      </c>
      <c r="I408" s="64"/>
      <c r="J408" s="64"/>
      <c r="K408" s="64"/>
      <c r="L408" s="64"/>
      <c r="M408" s="64"/>
      <c r="N408" s="64"/>
      <c r="O408" s="64"/>
      <c r="P408" s="64"/>
      <c r="Q408" s="64"/>
      <c r="T408" s="80"/>
    </row>
    <row r="409" spans="1:20">
      <c r="A409" s="142" t="s">
        <v>740</v>
      </c>
      <c r="B409" s="91"/>
      <c r="C409" s="328">
        <v>0</v>
      </c>
      <c r="D409" s="453" t="str">
        <f>+'Tariff Summary Lights'!F330</f>
        <v>n/a</v>
      </c>
      <c r="E409" s="91"/>
      <c r="F409" s="80">
        <f t="shared" si="73"/>
        <v>0</v>
      </c>
      <c r="G409" s="457">
        <f ca="1">ROUND('[7]JAP-22 Combined Charges'!J142,2)</f>
        <v>19.64</v>
      </c>
      <c r="H409" s="80">
        <f t="shared" ca="1" si="74"/>
        <v>0</v>
      </c>
      <c r="I409" s="64"/>
      <c r="J409" s="64"/>
      <c r="K409" s="64"/>
      <c r="L409" s="64"/>
      <c r="M409" s="64"/>
      <c r="N409" s="64"/>
      <c r="O409" s="64"/>
      <c r="P409" s="64"/>
      <c r="Q409" s="64"/>
      <c r="T409" s="80"/>
    </row>
    <row r="410" spans="1:20">
      <c r="A410" s="142" t="s">
        <v>741</v>
      </c>
      <c r="B410" s="91"/>
      <c r="C410" s="328">
        <v>0</v>
      </c>
      <c r="D410" s="453" t="str">
        <f>+'Tariff Summary Lights'!F331</f>
        <v>n/a</v>
      </c>
      <c r="E410" s="91"/>
      <c r="F410" s="80">
        <f t="shared" si="73"/>
        <v>0</v>
      </c>
      <c r="G410" s="457">
        <f ca="1">ROUND('[7]JAP-22 Combined Charges'!J143,2)</f>
        <v>20.75</v>
      </c>
      <c r="H410" s="80">
        <f t="shared" ca="1" si="74"/>
        <v>0</v>
      </c>
      <c r="I410" s="64"/>
      <c r="J410" s="64"/>
      <c r="K410" s="64"/>
      <c r="L410" s="64"/>
      <c r="M410" s="64"/>
      <c r="N410" s="64"/>
      <c r="O410" s="64"/>
      <c r="P410" s="64"/>
      <c r="Q410" s="64"/>
      <c r="T410" s="80"/>
    </row>
    <row r="411" spans="1:20">
      <c r="A411" s="141"/>
      <c r="B411" s="91"/>
      <c r="C411" s="328"/>
      <c r="D411" s="406"/>
      <c r="E411" s="91"/>
      <c r="F411" s="80"/>
      <c r="G411" s="406"/>
      <c r="H411" s="80"/>
      <c r="I411" s="64"/>
      <c r="J411" s="64"/>
      <c r="K411" s="64"/>
      <c r="L411" s="64"/>
      <c r="M411" s="64"/>
      <c r="N411" s="64"/>
      <c r="O411" s="64"/>
      <c r="P411" s="64"/>
      <c r="Q411" s="64"/>
      <c r="T411" s="80"/>
    </row>
    <row r="412" spans="1:20">
      <c r="A412" s="141" t="s">
        <v>742</v>
      </c>
      <c r="B412" s="91"/>
      <c r="C412" s="328">
        <v>707</v>
      </c>
      <c r="D412" s="406">
        <f>+'Tariff Summary Lights'!F333</f>
        <v>2.08</v>
      </c>
      <c r="E412" s="91"/>
      <c r="F412" s="80">
        <f t="shared" ref="F412:F413" si="78">IF(D412="n/a",0,ROUND(C412*D412*12,0))</f>
        <v>17647</v>
      </c>
      <c r="G412" s="406">
        <f ca="1">ROUND('[7]JAP-22 Combined Charges'!$J$188,2)</f>
        <v>5.93</v>
      </c>
      <c r="H412" s="80">
        <f t="shared" ca="1" si="74"/>
        <v>50310</v>
      </c>
      <c r="I412" s="64"/>
      <c r="J412" s="64"/>
      <c r="K412" s="64"/>
      <c r="L412" s="64"/>
      <c r="M412" s="64"/>
      <c r="N412" s="64"/>
      <c r="O412" s="64"/>
      <c r="P412" s="64"/>
      <c r="Q412" s="64"/>
      <c r="T412" s="80"/>
    </row>
    <row r="413" spans="1:20">
      <c r="A413" s="141" t="s">
        <v>743</v>
      </c>
      <c r="B413" s="91"/>
      <c r="C413" s="328">
        <v>303</v>
      </c>
      <c r="D413" s="406">
        <f>+'Tariff Summary Lights'!F334</f>
        <v>8.18</v>
      </c>
      <c r="E413" s="91"/>
      <c r="F413" s="80">
        <f t="shared" si="78"/>
        <v>29742</v>
      </c>
      <c r="G413" s="406">
        <f ca="1">ROUND('[7]JAP-22 Combined Charges'!$J$189,2)</f>
        <v>9.75</v>
      </c>
      <c r="H413" s="80">
        <f t="shared" ca="1" si="74"/>
        <v>35451</v>
      </c>
      <c r="I413" s="64"/>
      <c r="J413" s="64"/>
      <c r="K413" s="64"/>
      <c r="L413" s="64"/>
      <c r="M413" s="64"/>
      <c r="N413" s="64"/>
      <c r="O413" s="64"/>
      <c r="P413" s="64"/>
      <c r="Q413" s="64"/>
      <c r="T413" s="80"/>
    </row>
    <row r="414" spans="1:20">
      <c r="A414" s="409" t="s">
        <v>37</v>
      </c>
      <c r="B414" s="64"/>
      <c r="C414" s="410">
        <f>SUM(C381:C413)</f>
        <v>7217</v>
      </c>
      <c r="D414" s="411"/>
      <c r="E414" s="64"/>
      <c r="F414" s="183">
        <f>SUM(F381:F413)</f>
        <v>1028863</v>
      </c>
      <c r="G414" s="411"/>
      <c r="H414" s="183">
        <f ca="1">SUM(H381:H413)</f>
        <v>1098327</v>
      </c>
      <c r="I414" s="64"/>
      <c r="J414" s="64"/>
      <c r="K414" s="64"/>
      <c r="L414" s="64"/>
      <c r="M414" s="64"/>
      <c r="N414" s="64"/>
      <c r="O414" s="64"/>
      <c r="P414" s="64"/>
      <c r="Q414" s="64"/>
      <c r="T414" s="183"/>
    </row>
    <row r="415" spans="1:20">
      <c r="A415" s="409"/>
      <c r="B415" s="64"/>
      <c r="C415" s="329"/>
      <c r="D415" s="411"/>
      <c r="E415" s="64"/>
      <c r="F415" s="434"/>
      <c r="G415" s="411"/>
      <c r="H415" s="434"/>
      <c r="I415" s="64"/>
      <c r="J415" s="64"/>
      <c r="K415" s="64"/>
      <c r="L415" s="64"/>
      <c r="M415" s="64"/>
      <c r="N415" s="64"/>
      <c r="O415" s="64"/>
      <c r="P415" s="64"/>
      <c r="Q415" s="64"/>
    </row>
    <row r="416" spans="1:20">
      <c r="A416" s="140" t="s">
        <v>186</v>
      </c>
      <c r="B416" s="91"/>
      <c r="C416" s="412">
        <v>19837</v>
      </c>
      <c r="D416" s="414"/>
      <c r="E416" s="416"/>
      <c r="F416" s="417"/>
      <c r="G416" s="414"/>
      <c r="H416" s="418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1:20">
      <c r="A417" s="140"/>
      <c r="B417" s="91"/>
      <c r="C417" s="412"/>
      <c r="D417" s="414"/>
      <c r="E417" s="416"/>
      <c r="F417" s="417"/>
      <c r="G417" s="414"/>
      <c r="H417" s="418"/>
      <c r="I417" s="64"/>
      <c r="J417" s="64"/>
      <c r="K417" s="64"/>
      <c r="L417" s="64"/>
      <c r="M417" s="64"/>
      <c r="N417" s="64"/>
      <c r="O417" s="64"/>
      <c r="P417" s="64"/>
      <c r="Q417" s="64"/>
    </row>
    <row r="418" spans="1:20">
      <c r="A418" s="413" t="s">
        <v>436</v>
      </c>
      <c r="B418" s="414"/>
      <c r="C418" s="415">
        <v>3893849.0450000004</v>
      </c>
      <c r="D418" s="414"/>
      <c r="E418" s="416"/>
      <c r="F418" s="417"/>
      <c r="G418" s="414"/>
      <c r="H418" s="418"/>
      <c r="I418" s="64"/>
      <c r="J418" s="64"/>
      <c r="K418" s="64"/>
      <c r="L418" s="64"/>
      <c r="M418" s="64"/>
      <c r="N418" s="64"/>
      <c r="O418" s="64"/>
      <c r="P418" s="64"/>
      <c r="Q418" s="64"/>
    </row>
    <row r="419" spans="1:20">
      <c r="A419" s="413" t="s">
        <v>437</v>
      </c>
      <c r="B419" s="64"/>
      <c r="C419" s="328">
        <v>-3474.4005000000179</v>
      </c>
      <c r="D419" s="420">
        <f>ROUND(F419/C419,6)</f>
        <v>8.1760870000000008</v>
      </c>
      <c r="E419" s="421"/>
      <c r="F419" s="80">
        <f>$P$18</f>
        <v>-28407</v>
      </c>
      <c r="G419" s="420">
        <f ca="1">ROUND(H419/C419,6)</f>
        <v>8.3297819999999998</v>
      </c>
      <c r="H419" s="80">
        <f ca="1">ROUND(+F419*(1+J419),0)</f>
        <v>-28941</v>
      </c>
      <c r="I419" s="421"/>
      <c r="J419" s="110">
        <f ca="1">+$J$45</f>
        <v>1.8815167015235074E-2</v>
      </c>
      <c r="K419" s="521" t="s">
        <v>438</v>
      </c>
      <c r="L419" s="521"/>
      <c r="M419" s="458"/>
      <c r="N419" s="458"/>
      <c r="O419" s="458"/>
      <c r="P419" s="458"/>
      <c r="Q419" s="458"/>
      <c r="R419" s="458"/>
      <c r="S419" s="458"/>
      <c r="T419" s="458"/>
    </row>
    <row r="420" spans="1:20" ht="16.2" thickBot="1">
      <c r="A420" s="143" t="s">
        <v>38</v>
      </c>
      <c r="B420" s="91"/>
      <c r="C420" s="422">
        <f>SUM(C418:C419)</f>
        <v>3890374.6445000004</v>
      </c>
      <c r="D420" s="83"/>
      <c r="E420" s="64"/>
      <c r="F420" s="423">
        <f>SUM(F414,F419)</f>
        <v>1000456</v>
      </c>
      <c r="G420" s="83"/>
      <c r="H420" s="423">
        <f ca="1">SUM(H414,H419)</f>
        <v>1069386</v>
      </c>
      <c r="I420" s="64"/>
      <c r="J420" s="64"/>
      <c r="K420" s="64"/>
      <c r="L420" s="64"/>
      <c r="M420" s="64"/>
      <c r="N420" s="64"/>
      <c r="O420" s="64"/>
      <c r="P420" s="64"/>
      <c r="Q420" s="64"/>
    </row>
    <row r="421" spans="1:20" ht="16.2" thickTop="1">
      <c r="A421" s="91"/>
      <c r="B421" s="91"/>
      <c r="C421" s="128"/>
      <c r="D421" s="437" t="s">
        <v>0</v>
      </c>
      <c r="E421" s="121"/>
      <c r="F421" s="83"/>
      <c r="G421" s="437" t="s">
        <v>0</v>
      </c>
      <c r="H421" s="83" t="s">
        <v>0</v>
      </c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1:20">
      <c r="A422" s="64"/>
      <c r="B422" s="64"/>
      <c r="C422" s="128"/>
      <c r="D422" s="433"/>
      <c r="E422" s="433"/>
      <c r="F422" s="438"/>
      <c r="G422" s="64"/>
      <c r="H422" s="79"/>
      <c r="I422" s="64"/>
      <c r="J422" s="64"/>
      <c r="K422" s="64"/>
      <c r="L422" s="64"/>
      <c r="M422" s="64"/>
      <c r="N422" s="64"/>
      <c r="O422" s="64"/>
      <c r="P422" s="64"/>
      <c r="Q422" s="64"/>
    </row>
    <row r="423" spans="1:20">
      <c r="A423" s="539" t="s">
        <v>208</v>
      </c>
      <c r="B423" s="539"/>
      <c r="C423" s="539"/>
      <c r="D423" s="539"/>
      <c r="E423" s="539"/>
      <c r="F423" s="539"/>
      <c r="G423" s="539"/>
      <c r="H423" s="539"/>
      <c r="I423" s="64"/>
      <c r="J423" s="64"/>
      <c r="K423" s="64"/>
      <c r="L423" s="64"/>
      <c r="M423" s="64"/>
      <c r="N423" s="64"/>
      <c r="O423" s="64"/>
      <c r="P423" s="64"/>
      <c r="Q423" s="64"/>
    </row>
    <row r="424" spans="1:20">
      <c r="A424" s="140" t="s">
        <v>744</v>
      </c>
      <c r="B424" s="91"/>
      <c r="C424" s="91"/>
      <c r="D424" s="91"/>
      <c r="E424" s="91"/>
      <c r="F424" s="91"/>
      <c r="G424" s="91"/>
      <c r="H424" s="91"/>
      <c r="I424" s="64"/>
      <c r="J424" s="64"/>
      <c r="K424" s="64"/>
      <c r="L424" s="64"/>
      <c r="M424" s="64"/>
      <c r="N424" s="64"/>
      <c r="O424" s="64"/>
      <c r="P424" s="64"/>
      <c r="Q424" s="64"/>
    </row>
    <row r="425" spans="1:20">
      <c r="A425" s="91"/>
      <c r="B425" s="91"/>
      <c r="C425" s="91"/>
      <c r="D425" s="432"/>
      <c r="E425" s="91"/>
      <c r="F425" s="91"/>
      <c r="G425" s="432"/>
      <c r="H425" s="91"/>
      <c r="I425" s="64"/>
      <c r="J425" s="64"/>
      <c r="K425" s="64"/>
      <c r="L425" s="64"/>
      <c r="M425" s="64"/>
      <c r="N425" s="64"/>
      <c r="O425" s="64"/>
      <c r="P425" s="64"/>
      <c r="Q425" s="64"/>
    </row>
    <row r="426" spans="1:20">
      <c r="A426" s="141" t="s">
        <v>745</v>
      </c>
      <c r="B426" s="91"/>
      <c r="C426" s="79">
        <v>1295805</v>
      </c>
      <c r="D426" s="439">
        <f>+'Tariff Summary Lights'!F336</f>
        <v>2.4980000000000002E-2</v>
      </c>
      <c r="E426" s="91"/>
      <c r="F426" s="80">
        <f t="shared" ref="F426:F427" si="79">IF(D426="n/a",0,ROUND(C426*D426*12,0))</f>
        <v>388431</v>
      </c>
      <c r="G426" s="439">
        <f ca="1">ROUND('[7]Schedule 57E'!$G$11,5)</f>
        <v>3.9269999999999999E-2</v>
      </c>
      <c r="H426" s="80">
        <f t="shared" ref="H426:H427" ca="1" si="80">ROUND(G426*$C426*12,0)</f>
        <v>610635</v>
      </c>
      <c r="I426" s="64"/>
      <c r="J426" s="64"/>
      <c r="K426" s="64"/>
      <c r="L426" s="64"/>
      <c r="M426" s="64"/>
      <c r="N426" s="64"/>
      <c r="O426" s="64"/>
      <c r="P426" s="64"/>
      <c r="Q426" s="64"/>
      <c r="T426" s="440"/>
    </row>
    <row r="427" spans="1:20">
      <c r="A427" s="141" t="s">
        <v>746</v>
      </c>
      <c r="B427" s="91"/>
      <c r="C427" s="79"/>
      <c r="D427" s="406">
        <f>+'Tariff Summary Lights'!F337</f>
        <v>4.08</v>
      </c>
      <c r="E427" s="91"/>
      <c r="F427" s="80">
        <f t="shared" si="79"/>
        <v>0</v>
      </c>
      <c r="G427" s="406"/>
      <c r="H427" s="80">
        <f t="shared" ca="1" si="80"/>
        <v>0</v>
      </c>
      <c r="I427" s="64"/>
      <c r="J427" s="64"/>
      <c r="K427" s="64"/>
      <c r="L427" s="64"/>
      <c r="M427" s="64"/>
      <c r="N427" s="64"/>
      <c r="O427" s="64"/>
      <c r="P427" s="64"/>
      <c r="Q427" s="64"/>
      <c r="T427" s="440"/>
    </row>
    <row r="428" spans="1:20">
      <c r="A428" s="409" t="s">
        <v>37</v>
      </c>
      <c r="B428" s="64"/>
      <c r="C428" s="428">
        <f>SUM(C426:C427)</f>
        <v>1295805</v>
      </c>
      <c r="D428" s="411"/>
      <c r="E428" s="64"/>
      <c r="F428" s="183">
        <f>SUM(F426:F427)</f>
        <v>388431</v>
      </c>
      <c r="G428" s="411"/>
      <c r="H428" s="183">
        <f ca="1">SUM(H426:H427)</f>
        <v>610635</v>
      </c>
      <c r="I428" s="64"/>
      <c r="J428" s="64"/>
      <c r="K428" s="64"/>
      <c r="L428" s="64"/>
      <c r="M428" s="64"/>
      <c r="N428" s="64"/>
      <c r="O428" s="64"/>
      <c r="P428" s="64"/>
      <c r="Q428" s="64"/>
      <c r="T428" s="183"/>
    </row>
    <row r="429" spans="1:20">
      <c r="A429" s="409"/>
      <c r="B429" s="64"/>
      <c r="C429" s="433"/>
      <c r="D429" s="411"/>
      <c r="E429" s="64"/>
      <c r="F429" s="434"/>
      <c r="G429" s="411"/>
      <c r="H429" s="434"/>
      <c r="I429" s="64"/>
      <c r="J429" s="64"/>
      <c r="K429" s="64"/>
      <c r="L429" s="64"/>
      <c r="M429" s="64"/>
      <c r="N429" s="64"/>
      <c r="O429" s="64"/>
      <c r="P429" s="64"/>
      <c r="Q429" s="64"/>
    </row>
    <row r="430" spans="1:20">
      <c r="A430" s="140" t="s">
        <v>186</v>
      </c>
      <c r="B430" s="91"/>
      <c r="C430" s="109">
        <v>1310</v>
      </c>
      <c r="D430" s="414"/>
      <c r="E430" s="416"/>
      <c r="F430" s="417"/>
      <c r="G430" s="414"/>
      <c r="H430" s="418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1:20">
      <c r="A431" s="140"/>
      <c r="B431" s="91"/>
      <c r="C431" s="109"/>
      <c r="D431" s="414"/>
      <c r="E431" s="416"/>
      <c r="F431" s="417"/>
      <c r="G431" s="414"/>
      <c r="H431" s="418"/>
      <c r="I431" s="64"/>
      <c r="J431" s="64"/>
      <c r="K431" s="64"/>
      <c r="L431" s="64"/>
      <c r="M431" s="64"/>
      <c r="N431" s="64"/>
      <c r="O431" s="64"/>
      <c r="P431" s="64"/>
      <c r="Q431" s="64"/>
    </row>
    <row r="432" spans="1:20">
      <c r="A432" s="413" t="s">
        <v>436</v>
      </c>
      <c r="B432" s="414"/>
      <c r="C432" s="430">
        <v>4534791.4849999994</v>
      </c>
      <c r="D432" s="414"/>
      <c r="E432" s="416"/>
      <c r="F432" s="417"/>
      <c r="G432" s="414"/>
      <c r="H432" s="418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1:20">
      <c r="A433" s="413" t="s">
        <v>437</v>
      </c>
      <c r="B433" s="64"/>
      <c r="C433" s="79">
        <v>1404285.6900000002</v>
      </c>
      <c r="D433" s="420">
        <f>ROUND(F433/C433,6)</f>
        <v>-8.005E-3</v>
      </c>
      <c r="E433" s="421"/>
      <c r="F433" s="80">
        <f>$P$19</f>
        <v>-11242</v>
      </c>
      <c r="G433" s="420">
        <f ca="1">ROUND(H433/C433,6)</f>
        <v>-8.1560000000000001E-3</v>
      </c>
      <c r="H433" s="80">
        <f ca="1">ROUND(+F433*(1+J433),0)</f>
        <v>-11454</v>
      </c>
      <c r="I433" s="421"/>
      <c r="J433" s="110">
        <f ca="1">+$J$45</f>
        <v>1.8815167015235074E-2</v>
      </c>
      <c r="K433" s="521" t="s">
        <v>438</v>
      </c>
      <c r="L433" s="521"/>
      <c r="M433" s="458"/>
      <c r="N433" s="458"/>
      <c r="O433" s="458"/>
      <c r="P433" s="458"/>
      <c r="Q433" s="458"/>
      <c r="R433" s="458"/>
      <c r="S433" s="458"/>
      <c r="T433" s="458"/>
    </row>
    <row r="434" spans="1:20" ht="16.2" thickBot="1">
      <c r="A434" s="143" t="s">
        <v>38</v>
      </c>
      <c r="B434" s="91"/>
      <c r="C434" s="431">
        <f>SUM(C432:C433)</f>
        <v>5939077.1749999998</v>
      </c>
      <c r="D434" s="83"/>
      <c r="E434" s="64"/>
      <c r="F434" s="423">
        <f>SUM(F428,F433)</f>
        <v>377189</v>
      </c>
      <c r="G434" s="83"/>
      <c r="H434" s="423">
        <f ca="1">SUM(H428,H433)</f>
        <v>599181</v>
      </c>
      <c r="I434" s="64"/>
      <c r="J434" s="64"/>
      <c r="K434" s="64"/>
      <c r="L434" s="64"/>
      <c r="M434" s="64"/>
      <c r="N434" s="64"/>
      <c r="O434" s="64"/>
      <c r="P434" s="64"/>
      <c r="Q434" s="64"/>
    </row>
    <row r="435" spans="1:20" ht="16.2" thickTop="1">
      <c r="A435" s="91"/>
      <c r="B435" s="91"/>
      <c r="C435" s="128"/>
      <c r="D435" s="437" t="s">
        <v>0</v>
      </c>
      <c r="E435" s="121"/>
      <c r="F435" s="83"/>
      <c r="G435" s="437" t="s">
        <v>0</v>
      </c>
      <c r="H435" s="83" t="s">
        <v>0</v>
      </c>
      <c r="I435" s="64"/>
      <c r="J435" s="64"/>
      <c r="K435" s="64"/>
      <c r="L435" s="64"/>
      <c r="M435" s="64"/>
      <c r="N435" s="64"/>
      <c r="O435" s="64"/>
      <c r="P435" s="64"/>
      <c r="Q435" s="64"/>
    </row>
    <row r="436" spans="1:20">
      <c r="A436" s="64"/>
      <c r="B436" s="64"/>
      <c r="C436" s="128"/>
      <c r="D436" s="433"/>
      <c r="E436" s="433"/>
      <c r="F436" s="438"/>
      <c r="G436" s="64"/>
      <c r="H436" s="79"/>
      <c r="I436" s="64"/>
      <c r="J436" s="64"/>
      <c r="K436" s="64"/>
      <c r="L436" s="64"/>
      <c r="M436" s="64"/>
      <c r="N436" s="64"/>
      <c r="O436" s="64"/>
      <c r="P436" s="64"/>
      <c r="Q436" s="64"/>
    </row>
    <row r="437" spans="1:20">
      <c r="A437" s="539" t="s">
        <v>210</v>
      </c>
      <c r="B437" s="539"/>
      <c r="C437" s="539"/>
      <c r="D437" s="539"/>
      <c r="E437" s="539"/>
      <c r="F437" s="539"/>
      <c r="G437" s="539"/>
      <c r="H437" s="539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1:20">
      <c r="A438" s="140" t="s">
        <v>747</v>
      </c>
      <c r="B438" s="91"/>
      <c r="C438" s="91"/>
      <c r="D438" s="91"/>
      <c r="E438" s="91"/>
      <c r="F438" s="91"/>
      <c r="G438" s="91"/>
      <c r="H438" s="91"/>
      <c r="I438" s="64"/>
      <c r="J438" s="64"/>
      <c r="K438" s="64"/>
      <c r="L438" s="64"/>
      <c r="M438" s="64"/>
      <c r="N438" s="64"/>
      <c r="O438" s="64"/>
      <c r="P438" s="64"/>
      <c r="Q438" s="64"/>
    </row>
    <row r="439" spans="1:20">
      <c r="A439" s="91"/>
      <c r="B439" s="91"/>
      <c r="C439" s="91"/>
      <c r="D439" s="432"/>
      <c r="E439" s="91"/>
      <c r="F439" s="91"/>
      <c r="G439" s="432"/>
      <c r="H439" s="91"/>
      <c r="I439" s="64"/>
      <c r="J439" s="64"/>
      <c r="K439" s="64"/>
      <c r="L439" s="64"/>
      <c r="M439" s="64"/>
      <c r="N439" s="64"/>
      <c r="O439" s="64"/>
      <c r="P439" s="64"/>
      <c r="Q439" s="64"/>
    </row>
    <row r="440" spans="1:20">
      <c r="A440" s="141" t="s">
        <v>748</v>
      </c>
      <c r="B440" s="91"/>
      <c r="C440" s="328">
        <v>58</v>
      </c>
      <c r="D440" s="406">
        <f>+'Tariff Summary Lights'!F339</f>
        <v>12.44</v>
      </c>
      <c r="E440" s="91"/>
      <c r="F440" s="80">
        <f t="shared" ref="F440:F445" si="81">IF(D440="n/a",0,ROUND(C440*D440*12,0))</f>
        <v>8658</v>
      </c>
      <c r="G440" s="406">
        <f ca="1">ROUND('[7]JAP-22 Combined Charges'!J146,2)</f>
        <v>11.24</v>
      </c>
      <c r="H440" s="80">
        <f t="shared" ref="H440:H518" ca="1" si="82">ROUND(G440*$C440*12,0)</f>
        <v>7823</v>
      </c>
      <c r="I440" s="64"/>
      <c r="J440" s="64"/>
      <c r="K440" s="64"/>
      <c r="L440" s="81"/>
      <c r="M440" s="64"/>
      <c r="N440" s="64"/>
      <c r="O440" s="64"/>
      <c r="P440" s="64"/>
      <c r="Q440" s="64"/>
      <c r="T440" s="80"/>
    </row>
    <row r="441" spans="1:20">
      <c r="A441" s="141" t="s">
        <v>749</v>
      </c>
      <c r="B441" s="91"/>
      <c r="C441" s="328">
        <v>6</v>
      </c>
      <c r="D441" s="406">
        <f>+'Tariff Summary Lights'!F340</f>
        <v>13.65</v>
      </c>
      <c r="E441" s="91"/>
      <c r="F441" s="80">
        <f t="shared" si="81"/>
        <v>983</v>
      </c>
      <c r="G441" s="406">
        <f ca="1">ROUND('[7]JAP-22 Combined Charges'!J147,2)</f>
        <v>12.42</v>
      </c>
      <c r="H441" s="80">
        <f t="shared" ca="1" si="82"/>
        <v>894</v>
      </c>
      <c r="I441" s="64"/>
      <c r="J441" s="64"/>
      <c r="K441" s="64"/>
      <c r="L441" s="81"/>
      <c r="M441" s="64"/>
      <c r="N441" s="64"/>
      <c r="O441" s="64"/>
      <c r="P441" s="64"/>
      <c r="Q441" s="64"/>
      <c r="T441" s="80"/>
    </row>
    <row r="442" spans="1:20">
      <c r="A442" s="141" t="s">
        <v>750</v>
      </c>
      <c r="B442" s="91"/>
      <c r="C442" s="328">
        <v>170</v>
      </c>
      <c r="D442" s="406">
        <f>+'Tariff Summary Lights'!F341</f>
        <v>15.58</v>
      </c>
      <c r="E442" s="91"/>
      <c r="F442" s="80">
        <f t="shared" si="81"/>
        <v>31783</v>
      </c>
      <c r="G442" s="406">
        <f ca="1">ROUND('[7]JAP-22 Combined Charges'!J148,2)</f>
        <v>14.38</v>
      </c>
      <c r="H442" s="80">
        <f t="shared" ca="1" si="82"/>
        <v>29335</v>
      </c>
      <c r="I442" s="64"/>
      <c r="J442" s="64"/>
      <c r="K442" s="64"/>
      <c r="L442" s="81"/>
      <c r="M442" s="64"/>
      <c r="N442" s="64"/>
      <c r="O442" s="64"/>
      <c r="P442" s="64"/>
      <c r="Q442" s="64"/>
      <c r="T442" s="80"/>
    </row>
    <row r="443" spans="1:20">
      <c r="A443" s="141" t="s">
        <v>751</v>
      </c>
      <c r="B443" s="91"/>
      <c r="C443" s="328">
        <v>303</v>
      </c>
      <c r="D443" s="406">
        <f>+'Tariff Summary Lights'!F342</f>
        <v>18.190000000000001</v>
      </c>
      <c r="E443" s="91"/>
      <c r="F443" s="80">
        <f t="shared" si="81"/>
        <v>66139</v>
      </c>
      <c r="G443" s="406">
        <f ca="1">ROUND('[7]JAP-22 Combined Charges'!J149,2)</f>
        <v>16.350000000000001</v>
      </c>
      <c r="H443" s="80">
        <f t="shared" ca="1" si="82"/>
        <v>59449</v>
      </c>
      <c r="I443" s="64"/>
      <c r="J443" s="64"/>
      <c r="K443" s="64"/>
      <c r="L443" s="81"/>
      <c r="M443" s="64"/>
      <c r="N443" s="64"/>
      <c r="O443" s="64"/>
      <c r="P443" s="64"/>
      <c r="Q443" s="64"/>
      <c r="T443" s="80"/>
    </row>
    <row r="444" spans="1:20">
      <c r="A444" s="141" t="s">
        <v>752</v>
      </c>
      <c r="B444" s="91"/>
      <c r="C444" s="328">
        <v>41</v>
      </c>
      <c r="D444" s="406">
        <f>+'Tariff Summary Lights'!F343</f>
        <v>20.25</v>
      </c>
      <c r="E444" s="91"/>
      <c r="F444" s="80">
        <f t="shared" si="81"/>
        <v>9963</v>
      </c>
      <c r="G444" s="406">
        <f ca="1">ROUND('[7]JAP-22 Combined Charges'!J150,2)</f>
        <v>18.32</v>
      </c>
      <c r="H444" s="80">
        <f t="shared" ca="1" si="82"/>
        <v>9013</v>
      </c>
      <c r="I444" s="64"/>
      <c r="J444" s="64"/>
      <c r="K444" s="64"/>
      <c r="L444" s="81"/>
      <c r="M444" s="64"/>
      <c r="N444" s="64"/>
      <c r="O444" s="64"/>
      <c r="P444" s="64"/>
      <c r="Q444" s="64"/>
      <c r="T444" s="80"/>
    </row>
    <row r="445" spans="1:20">
      <c r="A445" s="141" t="s">
        <v>753</v>
      </c>
      <c r="B445" s="91"/>
      <c r="C445" s="328">
        <v>406</v>
      </c>
      <c r="D445" s="406">
        <f>+'Tariff Summary Lights'!F344</f>
        <v>25.72</v>
      </c>
      <c r="E445" s="91"/>
      <c r="F445" s="80">
        <f t="shared" si="81"/>
        <v>125308</v>
      </c>
      <c r="G445" s="406">
        <f ca="1">ROUND('[7]JAP-22 Combined Charges'!J151,2)</f>
        <v>24.22</v>
      </c>
      <c r="H445" s="80">
        <f t="shared" ca="1" si="82"/>
        <v>118000</v>
      </c>
      <c r="I445" s="64"/>
      <c r="J445" s="81"/>
      <c r="K445" s="162"/>
      <c r="L445" s="81"/>
      <c r="M445" s="64"/>
      <c r="N445" s="64"/>
      <c r="O445" s="64"/>
      <c r="P445" s="64"/>
      <c r="Q445" s="64"/>
      <c r="T445" s="80"/>
    </row>
    <row r="446" spans="1:20">
      <c r="A446" s="141"/>
      <c r="B446" s="91"/>
      <c r="C446" s="79"/>
      <c r="D446" s="406"/>
      <c r="E446" s="91"/>
      <c r="F446" s="80"/>
      <c r="G446" s="406"/>
      <c r="H446" s="80"/>
      <c r="I446" s="64"/>
      <c r="J446" s="81"/>
      <c r="K446" s="81"/>
      <c r="L446" s="81"/>
      <c r="M446" s="64"/>
      <c r="N446" s="64"/>
      <c r="O446" s="64"/>
      <c r="P446" s="64"/>
      <c r="Q446" s="64"/>
      <c r="T446" s="80"/>
    </row>
    <row r="447" spans="1:20">
      <c r="A447" s="141" t="s">
        <v>754</v>
      </c>
      <c r="B447" s="91"/>
      <c r="C447" s="328">
        <v>3</v>
      </c>
      <c r="D447" s="406">
        <f>+'Tariff Summary Lights'!F346</f>
        <v>17.77</v>
      </c>
      <c r="E447" s="91"/>
      <c r="F447" s="80">
        <f t="shared" ref="F447:F450" si="83">IF(D447="n/a",0,ROUND(C447*D447*12,0))</f>
        <v>640</v>
      </c>
      <c r="G447" s="406">
        <f ca="1">ROUND('[7]JAP-22 Combined Charges'!J159,2)</f>
        <v>18.27</v>
      </c>
      <c r="H447" s="80">
        <f t="shared" ca="1" si="82"/>
        <v>658</v>
      </c>
      <c r="I447" s="64"/>
      <c r="J447" s="81"/>
      <c r="K447" s="81"/>
      <c r="L447" s="81"/>
      <c r="M447" s="64"/>
      <c r="N447" s="64"/>
      <c r="O447" s="64"/>
      <c r="P447" s="64"/>
      <c r="Q447" s="64"/>
      <c r="T447" s="80"/>
    </row>
    <row r="448" spans="1:20">
      <c r="A448" s="141" t="s">
        <v>755</v>
      </c>
      <c r="B448" s="91"/>
      <c r="C448" s="328">
        <v>22</v>
      </c>
      <c r="D448" s="406">
        <f>+'Tariff Summary Lights'!F347</f>
        <v>20.810000000000002</v>
      </c>
      <c r="E448" s="91"/>
      <c r="F448" s="80">
        <f t="shared" si="83"/>
        <v>5494</v>
      </c>
      <c r="G448" s="406">
        <f ca="1">ROUND('[7]JAP-22 Combined Charges'!J160,2)</f>
        <v>21.4</v>
      </c>
      <c r="H448" s="80">
        <f t="shared" ca="1" si="82"/>
        <v>5650</v>
      </c>
      <c r="I448" s="64"/>
      <c r="J448" s="81"/>
      <c r="K448" s="81"/>
      <c r="L448" s="81"/>
      <c r="M448" s="64"/>
      <c r="N448" s="64"/>
      <c r="O448" s="64"/>
      <c r="P448" s="64"/>
      <c r="Q448" s="64"/>
      <c r="T448" s="80"/>
    </row>
    <row r="449" spans="1:20">
      <c r="A449" s="141" t="s">
        <v>756</v>
      </c>
      <c r="B449" s="91"/>
      <c r="C449" s="328">
        <v>86</v>
      </c>
      <c r="D449" s="406">
        <f>+'Tariff Summary Lights'!F348</f>
        <v>25.880000000000003</v>
      </c>
      <c r="E449" s="91"/>
      <c r="F449" s="80">
        <f t="shared" si="83"/>
        <v>26708</v>
      </c>
      <c r="G449" s="406">
        <f ca="1">ROUND('[7]JAP-22 Combined Charges'!J161,2)</f>
        <v>27.65</v>
      </c>
      <c r="H449" s="80">
        <f t="shared" ca="1" si="82"/>
        <v>28535</v>
      </c>
      <c r="I449" s="64"/>
      <c r="J449" s="81"/>
      <c r="K449" s="81"/>
      <c r="L449" s="81"/>
      <c r="M449" s="64"/>
      <c r="N449" s="64"/>
      <c r="O449" s="64"/>
      <c r="P449" s="64"/>
      <c r="Q449" s="64"/>
      <c r="T449" s="80"/>
    </row>
    <row r="450" spans="1:20">
      <c r="A450" s="141" t="s">
        <v>757</v>
      </c>
      <c r="B450" s="91"/>
      <c r="C450" s="328">
        <v>139</v>
      </c>
      <c r="D450" s="406">
        <f>+'Tariff Summary Lights'!F349</f>
        <v>47.91</v>
      </c>
      <c r="E450" s="91"/>
      <c r="F450" s="80">
        <f t="shared" si="83"/>
        <v>79914</v>
      </c>
      <c r="G450" s="406">
        <f ca="1">ROUND('[7]JAP-22 Combined Charges'!J162,2)</f>
        <v>52.67</v>
      </c>
      <c r="H450" s="80">
        <f t="shared" ca="1" si="82"/>
        <v>87854</v>
      </c>
      <c r="I450" s="64"/>
      <c r="J450" s="81"/>
      <c r="K450" s="162"/>
      <c r="L450" s="81"/>
      <c r="M450" s="64"/>
      <c r="N450" s="64"/>
      <c r="O450" s="64"/>
      <c r="P450" s="64"/>
      <c r="Q450" s="64"/>
      <c r="T450" s="80"/>
    </row>
    <row r="451" spans="1:20">
      <c r="A451" s="141"/>
      <c r="B451" s="91"/>
      <c r="C451" s="79"/>
      <c r="D451" s="406"/>
      <c r="E451" s="91"/>
      <c r="F451" s="80"/>
      <c r="G451" s="406"/>
      <c r="H451" s="80"/>
      <c r="I451" s="64"/>
      <c r="J451" s="81"/>
      <c r="K451" s="81"/>
      <c r="L451" s="81"/>
      <c r="M451" s="64"/>
      <c r="N451" s="64"/>
      <c r="O451" s="64"/>
      <c r="P451" s="64"/>
      <c r="Q451" s="64"/>
      <c r="T451" s="80"/>
    </row>
    <row r="452" spans="1:20">
      <c r="A452" s="141" t="s">
        <v>758</v>
      </c>
      <c r="B452" s="91"/>
      <c r="C452" s="328">
        <v>1</v>
      </c>
      <c r="D452" s="406">
        <f>+'Tariff Summary Lights'!F351</f>
        <v>15.579999999999998</v>
      </c>
      <c r="E452" s="91"/>
      <c r="F452" s="80">
        <f t="shared" ref="F452:F456" si="84">IF(D452="n/a",0,ROUND(C452*D452*12,0))</f>
        <v>187</v>
      </c>
      <c r="G452" s="406">
        <f ca="1">ROUND('[7]JAP-22 Combined Charges'!J153,2)</f>
        <v>12.42</v>
      </c>
      <c r="H452" s="80">
        <f t="shared" ca="1" si="82"/>
        <v>149</v>
      </c>
      <c r="I452" s="64"/>
      <c r="J452" s="81"/>
      <c r="K452" s="81"/>
      <c r="L452" s="81"/>
      <c r="M452" s="64"/>
      <c r="N452" s="64"/>
      <c r="O452" s="64"/>
      <c r="P452" s="64"/>
      <c r="Q452" s="64"/>
      <c r="T452" s="80"/>
    </row>
    <row r="453" spans="1:20">
      <c r="A453" s="141" t="s">
        <v>759</v>
      </c>
      <c r="B453" s="91"/>
      <c r="C453" s="328">
        <v>25</v>
      </c>
      <c r="D453" s="406">
        <f>+'Tariff Summary Lights'!F352</f>
        <v>17.43</v>
      </c>
      <c r="E453" s="91"/>
      <c r="F453" s="80">
        <f t="shared" si="84"/>
        <v>5229</v>
      </c>
      <c r="G453" s="406">
        <f ca="1">ROUND('[7]JAP-22 Combined Charges'!J154,2)</f>
        <v>14.38</v>
      </c>
      <c r="H453" s="80">
        <f t="shared" ca="1" si="82"/>
        <v>4314</v>
      </c>
      <c r="I453" s="64"/>
      <c r="J453" s="81"/>
      <c r="K453" s="81"/>
      <c r="L453" s="81"/>
      <c r="M453" s="64"/>
      <c r="N453" s="64"/>
      <c r="O453" s="64"/>
      <c r="P453" s="64"/>
      <c r="Q453" s="64"/>
      <c r="T453" s="80"/>
    </row>
    <row r="454" spans="1:20">
      <c r="A454" s="141" t="s">
        <v>760</v>
      </c>
      <c r="B454" s="91"/>
      <c r="C454" s="328">
        <v>13</v>
      </c>
      <c r="D454" s="406">
        <f>+'Tariff Summary Lights'!F353</f>
        <v>20.260000000000002</v>
      </c>
      <c r="E454" s="91"/>
      <c r="F454" s="80">
        <f t="shared" si="84"/>
        <v>3161</v>
      </c>
      <c r="G454" s="406">
        <f ca="1">ROUND('[7]JAP-22 Combined Charges'!J155,2)</f>
        <v>16.350000000000001</v>
      </c>
      <c r="H454" s="80">
        <f t="shared" ca="1" si="82"/>
        <v>2551</v>
      </c>
      <c r="I454" s="64"/>
      <c r="J454" s="81"/>
      <c r="K454" s="81"/>
      <c r="L454" s="81"/>
      <c r="M454" s="64"/>
      <c r="N454" s="64"/>
      <c r="O454" s="64"/>
      <c r="P454" s="64"/>
      <c r="Q454" s="64"/>
      <c r="T454" s="80"/>
    </row>
    <row r="455" spans="1:20">
      <c r="A455" s="141" t="s">
        <v>761</v>
      </c>
      <c r="B455" s="91"/>
      <c r="C455" s="328">
        <v>34</v>
      </c>
      <c r="D455" s="406">
        <f>+'Tariff Summary Lights'!F354</f>
        <v>21.08</v>
      </c>
      <c r="E455" s="91"/>
      <c r="F455" s="80">
        <f t="shared" si="84"/>
        <v>8601</v>
      </c>
      <c r="G455" s="406">
        <f ca="1">ROUND('[7]JAP-22 Combined Charges'!J156,2)</f>
        <v>18.32</v>
      </c>
      <c r="H455" s="80">
        <f t="shared" ca="1" si="82"/>
        <v>7475</v>
      </c>
      <c r="I455" s="64"/>
      <c r="J455" s="81"/>
      <c r="K455" s="81"/>
      <c r="L455" s="81"/>
      <c r="M455" s="64"/>
      <c r="N455" s="64"/>
      <c r="O455" s="64"/>
      <c r="P455" s="64"/>
      <c r="Q455" s="64"/>
      <c r="T455" s="80"/>
    </row>
    <row r="456" spans="1:20">
      <c r="A456" s="141" t="s">
        <v>762</v>
      </c>
      <c r="B456" s="91"/>
      <c r="C456" s="328">
        <v>65</v>
      </c>
      <c r="D456" s="406">
        <f>+'Tariff Summary Lights'!F355</f>
        <v>27.560000000000002</v>
      </c>
      <c r="E456" s="91"/>
      <c r="F456" s="80">
        <f t="shared" si="84"/>
        <v>21497</v>
      </c>
      <c r="G456" s="406">
        <f ca="1">ROUND('[7]JAP-22 Combined Charges'!J157,2)</f>
        <v>24.22</v>
      </c>
      <c r="H456" s="80">
        <f t="shared" ca="1" si="82"/>
        <v>18892</v>
      </c>
      <c r="I456" s="64"/>
      <c r="J456" s="81"/>
      <c r="K456" s="162"/>
      <c r="L456" s="81"/>
      <c r="M456" s="64"/>
      <c r="N456" s="64"/>
      <c r="O456" s="64"/>
      <c r="P456" s="64"/>
      <c r="Q456" s="64"/>
      <c r="T456" s="80"/>
    </row>
    <row r="457" spans="1:20">
      <c r="A457" s="141"/>
      <c r="B457" s="91"/>
      <c r="C457" s="79"/>
      <c r="D457" s="406"/>
      <c r="E457" s="91"/>
      <c r="F457" s="80"/>
      <c r="G457" s="406"/>
      <c r="H457" s="80"/>
      <c r="I457" s="64"/>
      <c r="J457" s="81"/>
      <c r="K457" s="81"/>
      <c r="L457" s="81"/>
      <c r="M457" s="64"/>
      <c r="N457" s="64"/>
      <c r="O457" s="64"/>
      <c r="P457" s="64"/>
      <c r="Q457" s="64"/>
      <c r="T457" s="80"/>
    </row>
    <row r="458" spans="1:20">
      <c r="A458" s="141" t="s">
        <v>763</v>
      </c>
      <c r="B458" s="91"/>
      <c r="C458" s="328">
        <v>11</v>
      </c>
      <c r="D458" s="406">
        <f>+'Tariff Summary Lights'!F357</f>
        <v>24.75</v>
      </c>
      <c r="E458" s="91"/>
      <c r="F458" s="80">
        <f t="shared" ref="F458:F459" si="85">IF(D458="n/a",0,ROUND(C458*D458*12,0))</f>
        <v>3267</v>
      </c>
      <c r="G458" s="406">
        <f ca="1">ROUND('[7]JAP-22 Combined Charges'!J164,2)</f>
        <v>21.4</v>
      </c>
      <c r="H458" s="80">
        <f t="shared" ca="1" si="82"/>
        <v>2825</v>
      </c>
      <c r="I458" s="64"/>
      <c r="J458" s="81"/>
      <c r="K458" s="81"/>
      <c r="L458" s="81"/>
      <c r="M458" s="64"/>
      <c r="N458" s="64"/>
      <c r="O458" s="64"/>
      <c r="P458" s="64"/>
      <c r="Q458" s="64"/>
      <c r="T458" s="80"/>
    </row>
    <row r="459" spans="1:20">
      <c r="A459" s="141" t="s">
        <v>764</v>
      </c>
      <c r="B459" s="91"/>
      <c r="C459" s="328">
        <v>46</v>
      </c>
      <c r="D459" s="406">
        <f>+'Tariff Summary Lights'!F358</f>
        <v>31.29</v>
      </c>
      <c r="E459" s="91"/>
      <c r="F459" s="80">
        <f t="shared" si="85"/>
        <v>17272</v>
      </c>
      <c r="G459" s="406">
        <f ca="1">ROUND('[7]JAP-22 Combined Charges'!J165,2)</f>
        <v>27.65</v>
      </c>
      <c r="H459" s="80">
        <f t="shared" ca="1" si="82"/>
        <v>15263</v>
      </c>
      <c r="I459" s="64"/>
      <c r="J459" s="81"/>
      <c r="K459" s="162"/>
      <c r="L459" s="81"/>
      <c r="M459" s="64"/>
      <c r="N459" s="64"/>
      <c r="O459" s="64"/>
      <c r="P459" s="64"/>
      <c r="Q459" s="64"/>
      <c r="T459" s="80"/>
    </row>
    <row r="460" spans="1:20">
      <c r="A460" s="141"/>
      <c r="B460" s="91"/>
      <c r="C460" s="79"/>
      <c r="D460" s="406"/>
      <c r="E460" s="91"/>
      <c r="F460" s="80"/>
      <c r="G460" s="406"/>
      <c r="H460" s="80"/>
      <c r="I460" s="64"/>
      <c r="J460" s="64"/>
      <c r="K460" s="64"/>
      <c r="L460" s="81"/>
      <c r="M460" s="64"/>
      <c r="N460" s="64"/>
      <c r="O460" s="64"/>
      <c r="P460" s="64"/>
      <c r="Q460" s="64"/>
      <c r="T460" s="80"/>
    </row>
    <row r="461" spans="1:20">
      <c r="A461" s="452" t="s">
        <v>962</v>
      </c>
      <c r="B461" s="91"/>
      <c r="C461" s="328">
        <v>0</v>
      </c>
      <c r="D461" s="453" t="str">
        <f>+'Tariff Summary Lights'!F360</f>
        <v>n/a</v>
      </c>
      <c r="E461" s="91"/>
      <c r="F461" s="80">
        <f t="shared" ref="F461:F523" si="86">IF(D461="n/a",0,ROUND(C461*D461*12,0))</f>
        <v>0</v>
      </c>
      <c r="G461" s="457">
        <f ca="1">ROUND('[7]JAP-22 Combined Charges'!$J$168,2)</f>
        <v>11.88</v>
      </c>
      <c r="H461" s="80">
        <f t="shared" ca="1" si="82"/>
        <v>0</v>
      </c>
      <c r="I461" s="64"/>
      <c r="J461" s="64"/>
      <c r="K461" s="64"/>
      <c r="L461" s="81"/>
      <c r="M461" s="64"/>
      <c r="N461" s="64"/>
      <c r="O461" s="64"/>
      <c r="P461" s="64"/>
      <c r="Q461" s="64"/>
      <c r="T461" s="80"/>
    </row>
    <row r="462" spans="1:20">
      <c r="A462" s="141" t="s">
        <v>765</v>
      </c>
      <c r="B462" s="91"/>
      <c r="C462" s="328">
        <v>0</v>
      </c>
      <c r="D462" s="453">
        <f>+'Tariff Summary Lights'!F361</f>
        <v>10.09</v>
      </c>
      <c r="E462" s="91"/>
      <c r="F462" s="80">
        <f t="shared" si="86"/>
        <v>0</v>
      </c>
      <c r="G462" s="406">
        <f ca="1">+G461</f>
        <v>11.88</v>
      </c>
      <c r="H462" s="80">
        <f t="shared" ca="1" si="82"/>
        <v>0</v>
      </c>
      <c r="I462" s="64"/>
      <c r="J462" s="64"/>
      <c r="K462" s="64"/>
      <c r="L462" s="81"/>
      <c r="M462" s="64"/>
      <c r="N462" s="64"/>
      <c r="O462" s="64"/>
      <c r="P462" s="64"/>
      <c r="Q462" s="64"/>
      <c r="T462" s="80"/>
    </row>
    <row r="463" spans="1:20">
      <c r="A463" s="141" t="s">
        <v>766</v>
      </c>
      <c r="B463" s="91"/>
      <c r="C463" s="328">
        <v>0</v>
      </c>
      <c r="D463" s="453">
        <f>+'Tariff Summary Lights'!F362</f>
        <v>10.26</v>
      </c>
      <c r="E463" s="91"/>
      <c r="F463" s="80">
        <f t="shared" si="86"/>
        <v>0</v>
      </c>
      <c r="G463" s="406">
        <f t="shared" ref="G463" ca="1" si="87">+G462</f>
        <v>11.88</v>
      </c>
      <c r="H463" s="80">
        <f t="shared" ca="1" si="82"/>
        <v>0</v>
      </c>
      <c r="I463" s="64"/>
      <c r="J463" s="64"/>
      <c r="K463" s="64"/>
      <c r="L463" s="81"/>
      <c r="M463" s="64"/>
      <c r="N463" s="64"/>
      <c r="O463" s="64"/>
      <c r="P463" s="64"/>
      <c r="Q463" s="64"/>
      <c r="T463" s="80"/>
    </row>
    <row r="464" spans="1:20">
      <c r="A464" s="141" t="s">
        <v>767</v>
      </c>
      <c r="B464" s="91"/>
      <c r="C464" s="328">
        <v>0</v>
      </c>
      <c r="D464" s="453">
        <f>+'Tariff Summary Lights'!F363</f>
        <v>10.44</v>
      </c>
      <c r="E464" s="91"/>
      <c r="F464" s="80">
        <f t="shared" si="86"/>
        <v>0</v>
      </c>
      <c r="G464" s="457">
        <f ca="1">ROUND('[7]JAP-22 Combined Charges'!$J$169,2)</f>
        <v>12.99</v>
      </c>
      <c r="H464" s="80">
        <f t="shared" ca="1" si="82"/>
        <v>0</v>
      </c>
      <c r="I464" s="64"/>
      <c r="J464" s="64"/>
      <c r="K464" s="64"/>
      <c r="L464" s="81"/>
      <c r="M464" s="64"/>
      <c r="N464" s="64"/>
      <c r="O464" s="64"/>
      <c r="P464" s="64"/>
      <c r="Q464" s="64"/>
      <c r="T464" s="80"/>
    </row>
    <row r="465" spans="1:20">
      <c r="A465" s="141" t="s">
        <v>768</v>
      </c>
      <c r="B465" s="64"/>
      <c r="C465" s="328">
        <v>0</v>
      </c>
      <c r="D465" s="453">
        <f>+'Tariff Summary Lights'!F364</f>
        <v>10.62</v>
      </c>
      <c r="E465" s="91"/>
      <c r="F465" s="80">
        <f t="shared" si="86"/>
        <v>0</v>
      </c>
      <c r="G465" s="406">
        <f ca="1">+G464</f>
        <v>12.99</v>
      </c>
      <c r="H465" s="80">
        <f t="shared" ca="1" si="82"/>
        <v>0</v>
      </c>
      <c r="I465" s="64"/>
      <c r="J465" s="64"/>
      <c r="K465" s="64"/>
      <c r="L465" s="81"/>
      <c r="M465" s="64"/>
      <c r="N465" s="64"/>
      <c r="O465" s="64"/>
      <c r="P465" s="64"/>
      <c r="Q465" s="64"/>
      <c r="T465" s="80"/>
    </row>
    <row r="466" spans="1:20">
      <c r="A466" s="141" t="s">
        <v>769</v>
      </c>
      <c r="B466" s="64"/>
      <c r="C466" s="328">
        <v>0</v>
      </c>
      <c r="D466" s="453">
        <f>+'Tariff Summary Lights'!F365</f>
        <v>10.79</v>
      </c>
      <c r="E466" s="91"/>
      <c r="F466" s="80">
        <f t="shared" si="86"/>
        <v>0</v>
      </c>
      <c r="G466" s="406">
        <f t="shared" ref="G466:G469" ca="1" si="88">+G465</f>
        <v>12.99</v>
      </c>
      <c r="H466" s="80">
        <f t="shared" ca="1" si="82"/>
        <v>0</v>
      </c>
      <c r="I466" s="64"/>
      <c r="J466" s="64"/>
      <c r="K466" s="64"/>
      <c r="L466" s="81"/>
      <c r="M466" s="64"/>
      <c r="N466" s="64"/>
      <c r="O466" s="64"/>
      <c r="P466" s="64"/>
      <c r="Q466" s="64"/>
      <c r="T466" s="80"/>
    </row>
    <row r="467" spans="1:20">
      <c r="A467" s="141" t="s">
        <v>770</v>
      </c>
      <c r="B467" s="64"/>
      <c r="C467" s="328">
        <v>0</v>
      </c>
      <c r="D467" s="453">
        <f>+'Tariff Summary Lights'!F366</f>
        <v>10.97</v>
      </c>
      <c r="E467" s="91"/>
      <c r="F467" s="80">
        <f t="shared" si="86"/>
        <v>0</v>
      </c>
      <c r="G467" s="406">
        <f t="shared" ca="1" si="88"/>
        <v>12.99</v>
      </c>
      <c r="H467" s="80">
        <f t="shared" ca="1" si="82"/>
        <v>0</v>
      </c>
      <c r="I467" s="64"/>
      <c r="J467" s="64"/>
      <c r="K467" s="64"/>
      <c r="L467" s="81"/>
      <c r="M467" s="64"/>
      <c r="N467" s="64"/>
      <c r="O467" s="64"/>
      <c r="P467" s="64"/>
      <c r="Q467" s="64"/>
      <c r="T467" s="80"/>
    </row>
    <row r="468" spans="1:20">
      <c r="A468" s="141" t="s">
        <v>771</v>
      </c>
      <c r="B468" s="64"/>
      <c r="C468" s="328">
        <v>1</v>
      </c>
      <c r="D468" s="453">
        <f>+'Tariff Summary Lights'!F367</f>
        <v>11.14</v>
      </c>
      <c r="E468" s="91"/>
      <c r="F468" s="80">
        <f t="shared" si="86"/>
        <v>134</v>
      </c>
      <c r="G468" s="406">
        <f t="shared" ca="1" si="88"/>
        <v>12.99</v>
      </c>
      <c r="H468" s="80">
        <f t="shared" ca="1" si="82"/>
        <v>156</v>
      </c>
      <c r="I468" s="64"/>
      <c r="J468" s="64"/>
      <c r="K468" s="64"/>
      <c r="L468" s="81"/>
      <c r="M468" s="64"/>
      <c r="N468" s="64"/>
      <c r="O468" s="64"/>
      <c r="P468" s="64"/>
      <c r="Q468" s="64"/>
      <c r="T468" s="80"/>
    </row>
    <row r="469" spans="1:20">
      <c r="A469" s="141" t="s">
        <v>963</v>
      </c>
      <c r="B469" s="64"/>
      <c r="C469" s="328">
        <v>0</v>
      </c>
      <c r="D469" s="453" t="str">
        <f>+'Tariff Summary Lights'!F368</f>
        <v>n/a</v>
      </c>
      <c r="E469" s="91"/>
      <c r="F469" s="80">
        <f t="shared" si="86"/>
        <v>0</v>
      </c>
      <c r="G469" s="406">
        <f t="shared" ca="1" si="88"/>
        <v>12.99</v>
      </c>
      <c r="H469" s="80">
        <f t="shared" ca="1" si="82"/>
        <v>0</v>
      </c>
      <c r="I469" s="64"/>
      <c r="J469" s="64"/>
      <c r="K469" s="64"/>
      <c r="L469" s="81"/>
      <c r="M469" s="64"/>
      <c r="N469" s="64"/>
      <c r="O469" s="64"/>
      <c r="P469" s="64"/>
      <c r="Q469" s="64"/>
      <c r="T469" s="80"/>
    </row>
    <row r="470" spans="1:20">
      <c r="A470" s="141" t="s">
        <v>964</v>
      </c>
      <c r="B470" s="64"/>
      <c r="C470" s="328">
        <v>0</v>
      </c>
      <c r="D470" s="453" t="str">
        <f>+'Tariff Summary Lights'!F369</f>
        <v>n/a</v>
      </c>
      <c r="E470" s="91"/>
      <c r="F470" s="80">
        <f t="shared" si="86"/>
        <v>0</v>
      </c>
      <c r="G470" s="457">
        <f ca="1">ROUND('[7]JAP-22 Combined Charges'!$J$170,2)</f>
        <v>14.1</v>
      </c>
      <c r="H470" s="80">
        <f t="shared" ca="1" si="82"/>
        <v>0</v>
      </c>
      <c r="I470" s="64"/>
      <c r="J470" s="64"/>
      <c r="K470" s="64"/>
      <c r="L470" s="81"/>
      <c r="M470" s="64"/>
      <c r="N470" s="64"/>
      <c r="O470" s="64"/>
      <c r="P470" s="64"/>
      <c r="Q470" s="64"/>
      <c r="T470" s="80"/>
    </row>
    <row r="471" spans="1:20">
      <c r="A471" s="141" t="s">
        <v>772</v>
      </c>
      <c r="B471" s="64"/>
      <c r="C471" s="328">
        <v>0</v>
      </c>
      <c r="D471" s="453">
        <f>+'Tariff Summary Lights'!F370</f>
        <v>13.13</v>
      </c>
      <c r="E471" s="91"/>
      <c r="F471" s="80">
        <f t="shared" si="86"/>
        <v>0</v>
      </c>
      <c r="G471" s="406">
        <f ca="1">+G470</f>
        <v>14.1</v>
      </c>
      <c r="H471" s="80">
        <f t="shared" ca="1" si="82"/>
        <v>0</v>
      </c>
      <c r="I471" s="64"/>
      <c r="J471" s="64"/>
      <c r="K471" s="64"/>
      <c r="L471" s="81"/>
      <c r="M471" s="64"/>
      <c r="N471" s="64"/>
      <c r="O471" s="64"/>
      <c r="P471" s="64"/>
      <c r="Q471" s="64"/>
      <c r="T471" s="80"/>
    </row>
    <row r="472" spans="1:20">
      <c r="A472" s="141" t="s">
        <v>773</v>
      </c>
      <c r="B472" s="64"/>
      <c r="C472" s="328">
        <v>0</v>
      </c>
      <c r="D472" s="453">
        <f>+'Tariff Summary Lights'!F371</f>
        <v>13.3</v>
      </c>
      <c r="E472" s="91"/>
      <c r="F472" s="80">
        <f t="shared" si="86"/>
        <v>0</v>
      </c>
      <c r="G472" s="406">
        <f t="shared" ref="G472:G474" ca="1" si="89">+G471</f>
        <v>14.1</v>
      </c>
      <c r="H472" s="80">
        <f t="shared" ca="1" si="82"/>
        <v>0</v>
      </c>
      <c r="I472" s="64"/>
      <c r="J472" s="64"/>
      <c r="K472" s="64"/>
      <c r="L472" s="81"/>
      <c r="M472" s="64"/>
      <c r="N472" s="64"/>
      <c r="O472" s="64"/>
      <c r="P472" s="64"/>
      <c r="Q472" s="64"/>
      <c r="T472" s="80"/>
    </row>
    <row r="473" spans="1:20">
      <c r="A473" s="141" t="s">
        <v>774</v>
      </c>
      <c r="B473" s="64"/>
      <c r="C473" s="328">
        <v>0</v>
      </c>
      <c r="D473" s="453">
        <f>+'Tariff Summary Lights'!F372</f>
        <v>13.48</v>
      </c>
      <c r="E473" s="91"/>
      <c r="F473" s="80">
        <f t="shared" si="86"/>
        <v>0</v>
      </c>
      <c r="G473" s="406">
        <f t="shared" ca="1" si="89"/>
        <v>14.1</v>
      </c>
      <c r="H473" s="80">
        <f t="shared" ca="1" si="82"/>
        <v>0</v>
      </c>
      <c r="I473" s="64"/>
      <c r="J473" s="64"/>
      <c r="K473" s="64"/>
      <c r="L473" s="81"/>
      <c r="M473" s="64"/>
      <c r="N473" s="64"/>
      <c r="O473" s="64"/>
      <c r="P473" s="64"/>
      <c r="Q473" s="64"/>
      <c r="T473" s="80"/>
    </row>
    <row r="474" spans="1:20">
      <c r="A474" s="141" t="s">
        <v>775</v>
      </c>
      <c r="B474" s="64"/>
      <c r="C474" s="328">
        <v>0</v>
      </c>
      <c r="D474" s="453">
        <f>+'Tariff Summary Lights'!F373</f>
        <v>13.66</v>
      </c>
      <c r="E474" s="91"/>
      <c r="F474" s="80">
        <f t="shared" si="86"/>
        <v>0</v>
      </c>
      <c r="G474" s="406">
        <f t="shared" ca="1" si="89"/>
        <v>14.1</v>
      </c>
      <c r="H474" s="80">
        <f t="shared" ca="1" si="82"/>
        <v>0</v>
      </c>
      <c r="I474" s="64"/>
      <c r="J474" s="64"/>
      <c r="K474" s="64"/>
      <c r="L474" s="81"/>
      <c r="M474" s="64"/>
      <c r="N474" s="64"/>
      <c r="O474" s="64"/>
      <c r="P474" s="64"/>
      <c r="Q474" s="64"/>
      <c r="T474" s="80"/>
    </row>
    <row r="475" spans="1:20">
      <c r="A475" s="141" t="s">
        <v>776</v>
      </c>
      <c r="B475" s="64"/>
      <c r="C475" s="328">
        <v>0</v>
      </c>
      <c r="D475" s="453">
        <f>+'Tariff Summary Lights'!F374</f>
        <v>13.83</v>
      </c>
      <c r="E475" s="91"/>
      <c r="F475" s="80">
        <f t="shared" si="86"/>
        <v>0</v>
      </c>
      <c r="G475" s="457">
        <f ca="1">ROUND('[7]JAP-22 Combined Charges'!$J$171,2)</f>
        <v>15.21</v>
      </c>
      <c r="H475" s="80">
        <f t="shared" ca="1" si="82"/>
        <v>0</v>
      </c>
      <c r="I475" s="64"/>
      <c r="J475" s="64"/>
      <c r="K475" s="64"/>
      <c r="L475" s="81"/>
      <c r="M475" s="64"/>
      <c r="N475" s="64"/>
      <c r="O475" s="64"/>
      <c r="P475" s="64"/>
      <c r="Q475" s="64"/>
      <c r="T475" s="80"/>
    </row>
    <row r="476" spans="1:20">
      <c r="A476" s="141" t="s">
        <v>777</v>
      </c>
      <c r="B476" s="64"/>
      <c r="C476" s="328">
        <v>1</v>
      </c>
      <c r="D476" s="453">
        <f>+'Tariff Summary Lights'!F375</f>
        <v>14.01</v>
      </c>
      <c r="E476" s="91"/>
      <c r="F476" s="80">
        <f t="shared" si="86"/>
        <v>168</v>
      </c>
      <c r="G476" s="406">
        <f ca="1">+G475</f>
        <v>15.21</v>
      </c>
      <c r="H476" s="80">
        <f t="shared" ca="1" si="82"/>
        <v>183</v>
      </c>
      <c r="I476" s="64"/>
      <c r="J476" s="64"/>
      <c r="K476" s="64"/>
      <c r="L476" s="81"/>
      <c r="M476" s="64"/>
      <c r="N476" s="64"/>
      <c r="O476" s="64"/>
      <c r="P476" s="64"/>
      <c r="Q476" s="64"/>
      <c r="T476" s="80"/>
    </row>
    <row r="477" spans="1:20">
      <c r="A477" s="141" t="s">
        <v>965</v>
      </c>
      <c r="B477" s="64"/>
      <c r="C477" s="328">
        <v>0</v>
      </c>
      <c r="D477" s="453" t="str">
        <f>+'Tariff Summary Lights'!F376</f>
        <v>n/a</v>
      </c>
      <c r="E477" s="91"/>
      <c r="F477" s="80">
        <f t="shared" si="86"/>
        <v>0</v>
      </c>
      <c r="G477" s="406">
        <f ca="1">+G476</f>
        <v>15.21</v>
      </c>
      <c r="H477" s="80">
        <f t="shared" ca="1" si="82"/>
        <v>0</v>
      </c>
      <c r="I477" s="64"/>
      <c r="J477" s="64"/>
      <c r="K477" s="64"/>
      <c r="L477" s="81"/>
      <c r="M477" s="64"/>
      <c r="N477" s="64"/>
      <c r="O477" s="64"/>
      <c r="P477" s="64"/>
      <c r="Q477" s="64"/>
      <c r="T477" s="80"/>
    </row>
    <row r="478" spans="1:20">
      <c r="A478" s="141" t="s">
        <v>966</v>
      </c>
      <c r="B478" s="64"/>
      <c r="C478" s="328">
        <v>0</v>
      </c>
      <c r="D478" s="453" t="str">
        <f>+'Tariff Summary Lights'!F377</f>
        <v>n/a</v>
      </c>
      <c r="E478" s="91"/>
      <c r="F478" s="80">
        <f t="shared" si="86"/>
        <v>0</v>
      </c>
      <c r="G478" s="457">
        <f ca="1">ROUND('[7]JAP-22 Combined Charges'!$J$172,2)</f>
        <v>16.32</v>
      </c>
      <c r="H478" s="80">
        <f t="shared" ca="1" si="82"/>
        <v>0</v>
      </c>
      <c r="I478" s="64"/>
      <c r="J478" s="64"/>
      <c r="K478" s="64"/>
      <c r="L478" s="81"/>
      <c r="M478" s="64"/>
      <c r="N478" s="64"/>
      <c r="O478" s="64"/>
      <c r="P478" s="64"/>
      <c r="Q478" s="64"/>
      <c r="T478" s="80"/>
    </row>
    <row r="479" spans="1:20">
      <c r="A479" s="142" t="s">
        <v>967</v>
      </c>
      <c r="B479" s="64"/>
      <c r="C479" s="328">
        <v>0</v>
      </c>
      <c r="D479" s="453">
        <f>+'Tariff Summary Lights'!F378</f>
        <v>15.28</v>
      </c>
      <c r="E479" s="91"/>
      <c r="F479" s="80">
        <f t="shared" si="86"/>
        <v>0</v>
      </c>
      <c r="G479" s="406">
        <f ca="1">+G478</f>
        <v>16.32</v>
      </c>
      <c r="H479" s="80">
        <f t="shared" ca="1" si="82"/>
        <v>0</v>
      </c>
      <c r="I479" s="64"/>
      <c r="J479" s="64"/>
      <c r="K479" s="64"/>
      <c r="L479" s="81"/>
      <c r="M479" s="64"/>
      <c r="N479" s="64"/>
      <c r="O479" s="64"/>
      <c r="P479" s="64"/>
      <c r="Q479" s="64"/>
      <c r="T479" s="80"/>
    </row>
    <row r="480" spans="1:20">
      <c r="A480" s="142" t="s">
        <v>968</v>
      </c>
      <c r="B480" s="64"/>
      <c r="C480" s="328">
        <v>0</v>
      </c>
      <c r="D480" s="453" t="str">
        <f>+'Tariff Summary Lights'!F379</f>
        <v>n/a</v>
      </c>
      <c r="E480" s="91"/>
      <c r="F480" s="80">
        <f t="shared" si="86"/>
        <v>0</v>
      </c>
      <c r="G480" s="406">
        <f ca="1">+G479</f>
        <v>16.32</v>
      </c>
      <c r="H480" s="80">
        <f t="shared" ca="1" si="82"/>
        <v>0</v>
      </c>
      <c r="I480" s="64"/>
      <c r="J480" s="64"/>
      <c r="K480" s="64"/>
      <c r="L480" s="81"/>
      <c r="M480" s="64"/>
      <c r="N480" s="64"/>
      <c r="O480" s="64"/>
      <c r="P480" s="64"/>
      <c r="Q480" s="64"/>
      <c r="T480" s="80"/>
    </row>
    <row r="481" spans="1:20">
      <c r="A481" s="142" t="s">
        <v>969</v>
      </c>
      <c r="B481" s="64"/>
      <c r="C481" s="328">
        <v>0</v>
      </c>
      <c r="D481" s="453" t="str">
        <f>+'Tariff Summary Lights'!F380</f>
        <v>n/a</v>
      </c>
      <c r="E481" s="91"/>
      <c r="F481" s="80">
        <f t="shared" si="86"/>
        <v>0</v>
      </c>
      <c r="G481" s="457">
        <f ca="1">ROUND('[7]JAP-22 Combined Charges'!$J$173,2)</f>
        <v>17.420000000000002</v>
      </c>
      <c r="H481" s="80">
        <f t="shared" ca="1" si="82"/>
        <v>0</v>
      </c>
      <c r="I481" s="64"/>
      <c r="J481" s="64"/>
      <c r="K481" s="64"/>
      <c r="L481" s="81"/>
      <c r="M481" s="64"/>
      <c r="N481" s="64"/>
      <c r="O481" s="64"/>
      <c r="P481" s="64"/>
      <c r="Q481" s="64"/>
      <c r="T481" s="80"/>
    </row>
    <row r="482" spans="1:20">
      <c r="A482" s="142" t="s">
        <v>970</v>
      </c>
      <c r="B482" s="64"/>
      <c r="C482" s="328">
        <v>0</v>
      </c>
      <c r="D482" s="453">
        <f>+'Tariff Summary Lights'!F381</f>
        <v>18.41</v>
      </c>
      <c r="E482" s="91"/>
      <c r="F482" s="80">
        <f t="shared" si="86"/>
        <v>0</v>
      </c>
      <c r="G482" s="406">
        <f ca="1">+G481</f>
        <v>17.420000000000002</v>
      </c>
      <c r="H482" s="80">
        <f t="shared" ca="1" si="82"/>
        <v>0</v>
      </c>
      <c r="I482" s="64"/>
      <c r="J482" s="64"/>
      <c r="K482" s="64"/>
      <c r="L482" s="81"/>
      <c r="M482" s="64"/>
      <c r="N482" s="64"/>
      <c r="O482" s="64"/>
      <c r="P482" s="64"/>
      <c r="Q482" s="64"/>
      <c r="T482" s="80"/>
    </row>
    <row r="483" spans="1:20">
      <c r="A483" s="142" t="s">
        <v>778</v>
      </c>
      <c r="B483" s="64"/>
      <c r="C483" s="328">
        <v>0</v>
      </c>
      <c r="D483" s="453">
        <f>+'Tariff Summary Lights'!F382</f>
        <v>18.59</v>
      </c>
      <c r="E483" s="91"/>
      <c r="F483" s="80">
        <f t="shared" si="86"/>
        <v>0</v>
      </c>
      <c r="G483" s="406">
        <f t="shared" ref="G483:G485" ca="1" si="90">+G482</f>
        <v>17.420000000000002</v>
      </c>
      <c r="H483" s="80">
        <f t="shared" ca="1" si="82"/>
        <v>0</v>
      </c>
      <c r="I483" s="64"/>
      <c r="J483" s="64"/>
      <c r="K483" s="64"/>
      <c r="L483" s="81"/>
      <c r="M483" s="64"/>
      <c r="N483" s="64"/>
      <c r="O483" s="64"/>
      <c r="P483" s="64"/>
      <c r="Q483" s="64"/>
      <c r="T483" s="80"/>
    </row>
    <row r="484" spans="1:20">
      <c r="A484" s="142" t="s">
        <v>779</v>
      </c>
      <c r="B484" s="64"/>
      <c r="C484" s="328">
        <v>0</v>
      </c>
      <c r="D484" s="453">
        <f>+'Tariff Summary Lights'!F383</f>
        <v>18.77</v>
      </c>
      <c r="E484" s="91"/>
      <c r="F484" s="80">
        <f t="shared" si="86"/>
        <v>0</v>
      </c>
      <c r="G484" s="406">
        <f t="shared" ca="1" si="90"/>
        <v>17.420000000000002</v>
      </c>
      <c r="H484" s="80">
        <f t="shared" ca="1" si="82"/>
        <v>0</v>
      </c>
      <c r="I484" s="64"/>
      <c r="J484" s="64"/>
      <c r="K484" s="64"/>
      <c r="L484" s="81"/>
      <c r="M484" s="64"/>
      <c r="N484" s="64"/>
      <c r="O484" s="64"/>
      <c r="P484" s="64"/>
      <c r="Q484" s="64"/>
      <c r="T484" s="80"/>
    </row>
    <row r="485" spans="1:20">
      <c r="A485" s="142" t="s">
        <v>780</v>
      </c>
      <c r="B485" s="64"/>
      <c r="C485" s="328">
        <v>0</v>
      </c>
      <c r="D485" s="453">
        <f>+'Tariff Summary Lights'!F384</f>
        <v>18.940000000000001</v>
      </c>
      <c r="E485" s="91"/>
      <c r="F485" s="80">
        <f t="shared" si="86"/>
        <v>0</v>
      </c>
      <c r="G485" s="406">
        <f t="shared" ca="1" si="90"/>
        <v>17.420000000000002</v>
      </c>
      <c r="H485" s="80">
        <f t="shared" ca="1" si="82"/>
        <v>0</v>
      </c>
      <c r="I485" s="64"/>
      <c r="J485" s="64"/>
      <c r="K485" s="64"/>
      <c r="L485" s="81"/>
      <c r="M485" s="64"/>
      <c r="N485" s="64"/>
      <c r="O485" s="64"/>
      <c r="P485" s="64"/>
      <c r="Q485" s="64"/>
      <c r="T485" s="80"/>
    </row>
    <row r="486" spans="1:20">
      <c r="A486" s="142" t="s">
        <v>781</v>
      </c>
      <c r="B486" s="64"/>
      <c r="C486" s="328">
        <v>0</v>
      </c>
      <c r="D486" s="453">
        <f>+'Tariff Summary Lights'!F385</f>
        <v>19.12</v>
      </c>
      <c r="E486" s="91"/>
      <c r="F486" s="80">
        <f t="shared" si="86"/>
        <v>0</v>
      </c>
      <c r="G486" s="457">
        <f ca="1">ROUND('[7]JAP-22 Combined Charges'!$J$174,2)</f>
        <v>18.53</v>
      </c>
      <c r="H486" s="80">
        <f t="shared" ca="1" si="82"/>
        <v>0</v>
      </c>
      <c r="I486" s="64"/>
      <c r="J486" s="64"/>
      <c r="K486" s="64"/>
      <c r="L486" s="81"/>
      <c r="M486" s="64"/>
      <c r="N486" s="64"/>
      <c r="O486" s="64"/>
      <c r="P486" s="64"/>
      <c r="Q486" s="64"/>
      <c r="T486" s="80"/>
    </row>
    <row r="487" spans="1:20">
      <c r="A487" s="142" t="s">
        <v>782</v>
      </c>
      <c r="B487" s="64"/>
      <c r="C487" s="328">
        <v>0</v>
      </c>
      <c r="D487" s="453">
        <f>+'Tariff Summary Lights'!F386</f>
        <v>19.29</v>
      </c>
      <c r="E487" s="91"/>
      <c r="F487" s="80">
        <f t="shared" si="86"/>
        <v>0</v>
      </c>
      <c r="G487" s="406">
        <f ca="1">+G486</f>
        <v>18.53</v>
      </c>
      <c r="H487" s="80">
        <f t="shared" ca="1" si="82"/>
        <v>0</v>
      </c>
      <c r="I487" s="64"/>
      <c r="J487" s="64"/>
      <c r="K487" s="64"/>
      <c r="L487" s="81"/>
      <c r="M487" s="64"/>
      <c r="N487" s="64"/>
      <c r="O487" s="64"/>
      <c r="P487" s="64"/>
      <c r="Q487" s="64"/>
      <c r="T487" s="80"/>
    </row>
    <row r="488" spans="1:20">
      <c r="A488" s="142" t="s">
        <v>971</v>
      </c>
      <c r="B488" s="64"/>
      <c r="C488" s="328">
        <v>0</v>
      </c>
      <c r="D488" s="453" t="str">
        <f>+'Tariff Summary Lights'!F387</f>
        <v>n/a</v>
      </c>
      <c r="E488" s="91"/>
      <c r="F488" s="80">
        <f t="shared" si="86"/>
        <v>0</v>
      </c>
      <c r="G488" s="406">
        <f t="shared" ref="G488" ca="1" si="91">+G487</f>
        <v>18.53</v>
      </c>
      <c r="H488" s="80">
        <f t="shared" ca="1" si="82"/>
        <v>0</v>
      </c>
      <c r="I488" s="64"/>
      <c r="J488" s="64"/>
      <c r="K488" s="64"/>
      <c r="L488" s="81"/>
      <c r="M488" s="64"/>
      <c r="N488" s="64"/>
      <c r="O488" s="64"/>
      <c r="P488" s="64"/>
      <c r="Q488" s="64"/>
      <c r="T488" s="80"/>
    </row>
    <row r="489" spans="1:20">
      <c r="A489" s="142" t="s">
        <v>972</v>
      </c>
      <c r="B489" s="64"/>
      <c r="C489" s="328">
        <v>0</v>
      </c>
      <c r="D489" s="453">
        <f>+'Tariff Summary Lights'!F388</f>
        <v>24.38</v>
      </c>
      <c r="E489" s="91"/>
      <c r="F489" s="80">
        <f t="shared" si="86"/>
        <v>0</v>
      </c>
      <c r="G489" s="457">
        <f ca="1">ROUND('[7]JAP-22 Combined Charges'!$J$175,2)</f>
        <v>19.64</v>
      </c>
      <c r="H489" s="80">
        <f t="shared" ca="1" si="82"/>
        <v>0</v>
      </c>
      <c r="I489" s="64"/>
      <c r="J489" s="64"/>
      <c r="K489" s="64"/>
      <c r="L489" s="81"/>
      <c r="M489" s="64"/>
      <c r="N489" s="64"/>
      <c r="O489" s="64"/>
      <c r="P489" s="64"/>
      <c r="Q489" s="64"/>
      <c r="T489" s="80"/>
    </row>
    <row r="490" spans="1:20">
      <c r="A490" s="142" t="s">
        <v>783</v>
      </c>
      <c r="B490" s="64"/>
      <c r="C490" s="328">
        <v>0</v>
      </c>
      <c r="D490" s="453">
        <f>+'Tariff Summary Lights'!F389</f>
        <v>24.56</v>
      </c>
      <c r="E490" s="91"/>
      <c r="F490" s="80">
        <f t="shared" si="86"/>
        <v>0</v>
      </c>
      <c r="G490" s="406">
        <f ca="1">+G489</f>
        <v>19.64</v>
      </c>
      <c r="H490" s="80">
        <f t="shared" ca="1" si="82"/>
        <v>0</v>
      </c>
      <c r="I490" s="64"/>
      <c r="J490" s="64"/>
      <c r="K490" s="64"/>
      <c r="L490" s="81"/>
      <c r="M490" s="64"/>
      <c r="N490" s="64"/>
      <c r="O490" s="64"/>
      <c r="P490" s="64"/>
      <c r="Q490" s="64"/>
      <c r="T490" s="80"/>
    </row>
    <row r="491" spans="1:20">
      <c r="A491" s="142" t="s">
        <v>784</v>
      </c>
      <c r="B491" s="64"/>
      <c r="C491" s="328">
        <v>0</v>
      </c>
      <c r="D491" s="453">
        <f>+'Tariff Summary Lights'!F390</f>
        <v>24.73</v>
      </c>
      <c r="E491" s="91"/>
      <c r="F491" s="80">
        <f t="shared" si="86"/>
        <v>0</v>
      </c>
      <c r="G491" s="406">
        <f t="shared" ref="G491:G494" ca="1" si="92">+G490</f>
        <v>19.64</v>
      </c>
      <c r="H491" s="80">
        <f t="shared" ca="1" si="82"/>
        <v>0</v>
      </c>
      <c r="I491" s="64"/>
      <c r="J491" s="64"/>
      <c r="K491" s="64"/>
      <c r="L491" s="81"/>
      <c r="M491" s="64"/>
      <c r="N491" s="64"/>
      <c r="O491" s="64"/>
      <c r="P491" s="64"/>
      <c r="Q491" s="64"/>
      <c r="T491" s="80"/>
    </row>
    <row r="492" spans="1:20">
      <c r="A492" s="142" t="s">
        <v>785</v>
      </c>
      <c r="B492" s="64"/>
      <c r="C492" s="328">
        <v>0</v>
      </c>
      <c r="D492" s="453">
        <f>+'Tariff Summary Lights'!F391</f>
        <v>24.91</v>
      </c>
      <c r="E492" s="91"/>
      <c r="F492" s="80">
        <f t="shared" si="86"/>
        <v>0</v>
      </c>
      <c r="G492" s="406">
        <f t="shared" ca="1" si="92"/>
        <v>19.64</v>
      </c>
      <c r="H492" s="80">
        <f t="shared" ca="1" si="82"/>
        <v>0</v>
      </c>
      <c r="I492" s="64"/>
      <c r="J492" s="64"/>
      <c r="K492" s="64"/>
      <c r="L492" s="81"/>
      <c r="M492" s="64"/>
      <c r="N492" s="64"/>
      <c r="O492" s="64"/>
      <c r="P492" s="64"/>
      <c r="Q492" s="64"/>
      <c r="T492" s="80"/>
    </row>
    <row r="493" spans="1:20">
      <c r="A493" s="142" t="s">
        <v>786</v>
      </c>
      <c r="B493" s="64"/>
      <c r="C493" s="328">
        <v>1</v>
      </c>
      <c r="D493" s="453">
        <f>+'Tariff Summary Lights'!F392</f>
        <v>25.08</v>
      </c>
      <c r="E493" s="91"/>
      <c r="F493" s="80">
        <f t="shared" si="86"/>
        <v>301</v>
      </c>
      <c r="G493" s="406">
        <f t="shared" ca="1" si="92"/>
        <v>19.64</v>
      </c>
      <c r="H493" s="80">
        <f t="shared" ca="1" si="82"/>
        <v>236</v>
      </c>
      <c r="I493" s="64"/>
      <c r="J493" s="64"/>
      <c r="K493" s="64"/>
      <c r="L493" s="81"/>
      <c r="M493" s="64"/>
      <c r="N493" s="64"/>
      <c r="O493" s="64"/>
      <c r="P493" s="64"/>
      <c r="Q493" s="64"/>
      <c r="T493" s="80"/>
    </row>
    <row r="494" spans="1:20">
      <c r="A494" s="142" t="s">
        <v>787</v>
      </c>
      <c r="B494" s="64"/>
      <c r="C494" s="328">
        <v>0</v>
      </c>
      <c r="D494" s="453">
        <f>+'Tariff Summary Lights'!F393</f>
        <v>25.27</v>
      </c>
      <c r="E494" s="91"/>
      <c r="F494" s="80">
        <f t="shared" si="86"/>
        <v>0</v>
      </c>
      <c r="G494" s="406">
        <f t="shared" ca="1" si="92"/>
        <v>19.64</v>
      </c>
      <c r="H494" s="80">
        <f t="shared" ca="1" si="82"/>
        <v>0</v>
      </c>
      <c r="I494" s="64"/>
      <c r="J494" s="64"/>
      <c r="K494" s="64"/>
      <c r="L494" s="81"/>
      <c r="M494" s="64"/>
      <c r="N494" s="64"/>
      <c r="O494" s="64"/>
      <c r="P494" s="64"/>
      <c r="Q494" s="64"/>
      <c r="T494" s="80"/>
    </row>
    <row r="495" spans="1:20">
      <c r="A495" s="142" t="s">
        <v>973</v>
      </c>
      <c r="B495" s="64"/>
      <c r="C495" s="328">
        <v>0</v>
      </c>
      <c r="D495" s="453" t="str">
        <f>+'Tariff Summary Lights'!F394</f>
        <v>n/a</v>
      </c>
      <c r="E495" s="91"/>
      <c r="F495" s="80">
        <f t="shared" si="86"/>
        <v>0</v>
      </c>
      <c r="G495" s="457">
        <f ca="1">ROUND('[7]JAP-22 Combined Charges'!$J$176,2)</f>
        <v>20.75</v>
      </c>
      <c r="H495" s="80">
        <f t="shared" ca="1" si="82"/>
        <v>0</v>
      </c>
      <c r="I495" s="64"/>
      <c r="J495" s="64"/>
      <c r="K495" s="64"/>
      <c r="L495" s="81"/>
      <c r="M495" s="64"/>
      <c r="N495" s="64"/>
      <c r="O495" s="64"/>
      <c r="P495" s="64"/>
      <c r="Q495" s="64"/>
      <c r="T495" s="80"/>
    </row>
    <row r="496" spans="1:20">
      <c r="A496" s="141" t="s">
        <v>788</v>
      </c>
      <c r="B496" s="64"/>
      <c r="C496" s="328">
        <v>0</v>
      </c>
      <c r="D496" s="453">
        <f>+'Tariff Summary Lights'!F395</f>
        <v>30.11</v>
      </c>
      <c r="E496" s="91"/>
      <c r="F496" s="80">
        <f t="shared" si="86"/>
        <v>0</v>
      </c>
      <c r="G496" s="457">
        <f ca="1">ROUND('[7]JAP-22 Combined Charges'!$J$177,2)</f>
        <v>23.16</v>
      </c>
      <c r="H496" s="80">
        <f t="shared" ca="1" si="82"/>
        <v>0</v>
      </c>
      <c r="I496" s="64"/>
      <c r="J496" s="64"/>
      <c r="K496" s="64"/>
      <c r="L496" s="81"/>
      <c r="M496" s="64"/>
      <c r="N496" s="64"/>
      <c r="O496" s="64"/>
      <c r="P496" s="64"/>
      <c r="Q496" s="64"/>
      <c r="T496" s="80"/>
    </row>
    <row r="497" spans="1:20">
      <c r="A497" s="141" t="s">
        <v>789</v>
      </c>
      <c r="B497" s="64"/>
      <c r="C497" s="328">
        <v>0</v>
      </c>
      <c r="D497" s="453">
        <f>+'Tariff Summary Lights'!F396</f>
        <v>30.29</v>
      </c>
      <c r="E497" s="91"/>
      <c r="F497" s="80">
        <f t="shared" si="86"/>
        <v>0</v>
      </c>
      <c r="G497" s="406">
        <f ca="1">+G496</f>
        <v>23.16</v>
      </c>
      <c r="H497" s="80">
        <f t="shared" ca="1" si="82"/>
        <v>0</v>
      </c>
      <c r="I497" s="64"/>
      <c r="J497" s="64"/>
      <c r="K497" s="64"/>
      <c r="L497" s="81"/>
      <c r="M497" s="64"/>
      <c r="N497" s="64"/>
      <c r="O497" s="64"/>
      <c r="P497" s="64"/>
      <c r="Q497" s="64"/>
      <c r="T497" s="80"/>
    </row>
    <row r="498" spans="1:20">
      <c r="A498" s="141" t="s">
        <v>790</v>
      </c>
      <c r="B498" s="64"/>
      <c r="C498" s="328">
        <v>0</v>
      </c>
      <c r="D498" s="453">
        <f>+'Tariff Summary Lights'!F397</f>
        <v>30.47</v>
      </c>
      <c r="E498" s="91"/>
      <c r="F498" s="80">
        <f t="shared" si="86"/>
        <v>0</v>
      </c>
      <c r="G498" s="406">
        <f t="shared" ref="G498:G501" ca="1" si="93">+G497</f>
        <v>23.16</v>
      </c>
      <c r="H498" s="80">
        <f t="shared" ca="1" si="82"/>
        <v>0</v>
      </c>
      <c r="I498" s="64"/>
      <c r="J498" s="64"/>
      <c r="K498" s="64"/>
      <c r="L498" s="81"/>
      <c r="M498" s="64"/>
      <c r="N498" s="64"/>
      <c r="O498" s="64"/>
      <c r="P498" s="64"/>
      <c r="Q498" s="64"/>
      <c r="T498" s="80"/>
    </row>
    <row r="499" spans="1:20">
      <c r="A499" s="141" t="s">
        <v>791</v>
      </c>
      <c r="B499" s="64"/>
      <c r="C499" s="328">
        <v>0</v>
      </c>
      <c r="D499" s="453">
        <f>+'Tariff Summary Lights'!F398</f>
        <v>30.64</v>
      </c>
      <c r="E499" s="91"/>
      <c r="F499" s="80">
        <f t="shared" si="86"/>
        <v>0</v>
      </c>
      <c r="G499" s="406">
        <f t="shared" ca="1" si="93"/>
        <v>23.16</v>
      </c>
      <c r="H499" s="80">
        <f t="shared" ca="1" si="82"/>
        <v>0</v>
      </c>
      <c r="I499" s="64"/>
      <c r="J499" s="64"/>
      <c r="K499" s="64"/>
      <c r="L499" s="81"/>
      <c r="M499" s="64"/>
      <c r="N499" s="64"/>
      <c r="O499" s="64"/>
      <c r="P499" s="64"/>
      <c r="Q499" s="64"/>
      <c r="T499" s="80"/>
    </row>
    <row r="500" spans="1:20">
      <c r="A500" s="141" t="s">
        <v>792</v>
      </c>
      <c r="B500" s="64"/>
      <c r="C500" s="328">
        <v>0</v>
      </c>
      <c r="D500" s="453">
        <f>+'Tariff Summary Lights'!F399</f>
        <v>30.82</v>
      </c>
      <c r="E500" s="91"/>
      <c r="F500" s="80">
        <f t="shared" si="86"/>
        <v>0</v>
      </c>
      <c r="G500" s="406">
        <f t="shared" ca="1" si="93"/>
        <v>23.16</v>
      </c>
      <c r="H500" s="80">
        <f t="shared" ca="1" si="82"/>
        <v>0</v>
      </c>
      <c r="I500" s="64"/>
      <c r="J500" s="64"/>
      <c r="K500" s="64"/>
      <c r="L500" s="81"/>
      <c r="M500" s="64"/>
      <c r="N500" s="64"/>
      <c r="O500" s="64"/>
      <c r="P500" s="64"/>
      <c r="Q500" s="64"/>
      <c r="T500" s="80"/>
    </row>
    <row r="501" spans="1:20">
      <c r="A501" s="141" t="s">
        <v>974</v>
      </c>
      <c r="B501" s="64"/>
      <c r="C501" s="328">
        <v>0</v>
      </c>
      <c r="D501" s="453" t="str">
        <f>+'Tariff Summary Lights'!F400</f>
        <v>n/a</v>
      </c>
      <c r="E501" s="91"/>
      <c r="F501" s="80">
        <f t="shared" si="86"/>
        <v>0</v>
      </c>
      <c r="G501" s="406">
        <f t="shared" ca="1" si="93"/>
        <v>23.16</v>
      </c>
      <c r="H501" s="80">
        <f t="shared" ca="1" si="82"/>
        <v>0</v>
      </c>
      <c r="I501" s="64"/>
      <c r="J501" s="64"/>
      <c r="K501" s="64"/>
      <c r="L501" s="81"/>
      <c r="M501" s="64"/>
      <c r="N501" s="64"/>
      <c r="O501" s="64"/>
      <c r="P501" s="64"/>
      <c r="Q501" s="64"/>
      <c r="T501" s="80"/>
    </row>
    <row r="502" spans="1:20">
      <c r="A502" s="141" t="s">
        <v>975</v>
      </c>
      <c r="B502" s="64"/>
      <c r="C502" s="328">
        <v>0</v>
      </c>
      <c r="D502" s="453" t="str">
        <f>+'Tariff Summary Lights'!F401</f>
        <v>n/a</v>
      </c>
      <c r="E502" s="91"/>
      <c r="F502" s="80">
        <f t="shared" si="86"/>
        <v>0</v>
      </c>
      <c r="G502" s="457">
        <f ca="1">ROUND('[7]JAP-22 Combined Charges'!$J$178,2)</f>
        <v>26.85</v>
      </c>
      <c r="H502" s="80">
        <f t="shared" ca="1" si="82"/>
        <v>0</v>
      </c>
      <c r="I502" s="64"/>
      <c r="J502" s="64"/>
      <c r="K502" s="64"/>
      <c r="L502" s="81"/>
      <c r="M502" s="64"/>
      <c r="N502" s="64"/>
      <c r="O502" s="64"/>
      <c r="P502" s="64"/>
      <c r="Q502" s="64"/>
      <c r="T502" s="80"/>
    </row>
    <row r="503" spans="1:20">
      <c r="A503" s="141" t="s">
        <v>793</v>
      </c>
      <c r="B503" s="64"/>
      <c r="C503" s="328">
        <v>0</v>
      </c>
      <c r="D503" s="453">
        <f>+'Tariff Summary Lights'!F402</f>
        <v>52.24</v>
      </c>
      <c r="E503" s="91"/>
      <c r="F503" s="80">
        <f t="shared" si="86"/>
        <v>0</v>
      </c>
      <c r="G503" s="457">
        <f ca="1">ROUND('[7]JAP-22 Combined Charges'!$J$179,2)</f>
        <v>30.55</v>
      </c>
      <c r="H503" s="80">
        <f t="shared" ca="1" si="82"/>
        <v>0</v>
      </c>
      <c r="I503" s="64"/>
      <c r="J503" s="64"/>
      <c r="K503" s="64"/>
      <c r="L503" s="81"/>
      <c r="M503" s="64"/>
      <c r="N503" s="64"/>
      <c r="O503" s="64"/>
      <c r="P503" s="64"/>
      <c r="Q503" s="64"/>
      <c r="T503" s="80"/>
    </row>
    <row r="504" spans="1:20">
      <c r="A504" s="141" t="s">
        <v>794</v>
      </c>
      <c r="B504" s="64"/>
      <c r="C504" s="328">
        <v>0</v>
      </c>
      <c r="D504" s="453">
        <f>+'Tariff Summary Lights'!F403</f>
        <v>52.41</v>
      </c>
      <c r="E504" s="91"/>
      <c r="F504" s="80">
        <f t="shared" si="86"/>
        <v>0</v>
      </c>
      <c r="G504" s="406">
        <f ca="1">+G503</f>
        <v>30.55</v>
      </c>
      <c r="H504" s="80">
        <f t="shared" ca="1" si="82"/>
        <v>0</v>
      </c>
      <c r="I504" s="64"/>
      <c r="J504" s="64"/>
      <c r="K504" s="64"/>
      <c r="L504" s="81"/>
      <c r="M504" s="64"/>
      <c r="N504" s="64"/>
      <c r="O504" s="64"/>
      <c r="P504" s="64"/>
      <c r="Q504" s="64"/>
      <c r="T504" s="80"/>
    </row>
    <row r="505" spans="1:20">
      <c r="A505" s="141" t="s">
        <v>795</v>
      </c>
      <c r="B505" s="64"/>
      <c r="C505" s="328">
        <v>0</v>
      </c>
      <c r="D505" s="453">
        <f>+'Tariff Summary Lights'!F404</f>
        <v>52.59</v>
      </c>
      <c r="E505" s="91"/>
      <c r="F505" s="80">
        <f t="shared" si="86"/>
        <v>0</v>
      </c>
      <c r="G505" s="406">
        <f t="shared" ref="G505:G509" ca="1" si="94">+G504</f>
        <v>30.55</v>
      </c>
      <c r="H505" s="80">
        <f t="shared" ca="1" si="82"/>
        <v>0</v>
      </c>
      <c r="I505" s="64"/>
      <c r="J505" s="64"/>
      <c r="K505" s="64"/>
      <c r="L505" s="81"/>
      <c r="M505" s="64"/>
      <c r="N505" s="64"/>
      <c r="O505" s="64"/>
      <c r="P505" s="64"/>
      <c r="Q505" s="64"/>
      <c r="T505" s="80"/>
    </row>
    <row r="506" spans="1:20">
      <c r="A506" s="141" t="s">
        <v>796</v>
      </c>
      <c r="B506" s="64"/>
      <c r="C506" s="328">
        <v>0</v>
      </c>
      <c r="D506" s="453">
        <f>+'Tariff Summary Lights'!F405</f>
        <v>52.76</v>
      </c>
      <c r="E506" s="91"/>
      <c r="F506" s="80">
        <f t="shared" si="86"/>
        <v>0</v>
      </c>
      <c r="G506" s="406">
        <f t="shared" ca="1" si="94"/>
        <v>30.55</v>
      </c>
      <c r="H506" s="80">
        <f t="shared" ca="1" si="82"/>
        <v>0</v>
      </c>
      <c r="I506" s="64"/>
      <c r="J506" s="64"/>
      <c r="K506" s="64"/>
      <c r="L506" s="81"/>
      <c r="M506" s="64"/>
      <c r="N506" s="64"/>
      <c r="O506" s="64"/>
      <c r="P506" s="64"/>
      <c r="Q506" s="64"/>
      <c r="T506" s="80"/>
    </row>
    <row r="507" spans="1:20">
      <c r="A507" s="141" t="s">
        <v>797</v>
      </c>
      <c r="B507" s="64"/>
      <c r="C507" s="328">
        <v>0</v>
      </c>
      <c r="D507" s="453">
        <f>+'Tariff Summary Lights'!F406</f>
        <v>52.94</v>
      </c>
      <c r="E507" s="91"/>
      <c r="F507" s="80">
        <f t="shared" si="86"/>
        <v>0</v>
      </c>
      <c r="G507" s="406">
        <f t="shared" ca="1" si="94"/>
        <v>30.55</v>
      </c>
      <c r="H507" s="80">
        <f t="shared" ca="1" si="82"/>
        <v>0</v>
      </c>
      <c r="I507" s="64"/>
      <c r="J507" s="64"/>
      <c r="K507" s="64"/>
      <c r="L507" s="81"/>
      <c r="M507" s="64"/>
      <c r="N507" s="64"/>
      <c r="O507" s="64"/>
      <c r="P507" s="64"/>
      <c r="Q507" s="64"/>
      <c r="T507" s="80"/>
    </row>
    <row r="508" spans="1:20">
      <c r="A508" s="141" t="s">
        <v>798</v>
      </c>
      <c r="B508" s="64"/>
      <c r="C508" s="328">
        <v>0</v>
      </c>
      <c r="D508" s="453">
        <f>+'Tariff Summary Lights'!F407</f>
        <v>53.12</v>
      </c>
      <c r="E508" s="91"/>
      <c r="F508" s="80">
        <f t="shared" si="86"/>
        <v>0</v>
      </c>
      <c r="G508" s="406">
        <f t="shared" ca="1" si="94"/>
        <v>30.55</v>
      </c>
      <c r="H508" s="80">
        <f t="shared" ca="1" si="82"/>
        <v>0</v>
      </c>
      <c r="I508" s="64"/>
      <c r="J508" s="64"/>
      <c r="K508" s="64"/>
      <c r="L508" s="81"/>
      <c r="M508" s="64"/>
      <c r="N508" s="64"/>
      <c r="O508" s="64"/>
      <c r="P508" s="64"/>
      <c r="Q508" s="64"/>
      <c r="T508" s="80"/>
    </row>
    <row r="509" spans="1:20">
      <c r="A509" s="141" t="s">
        <v>976</v>
      </c>
      <c r="B509" s="64"/>
      <c r="C509" s="328">
        <v>0</v>
      </c>
      <c r="D509" s="453" t="str">
        <f>+'Tariff Summary Lights'!F408</f>
        <v>n/a</v>
      </c>
      <c r="E509" s="91"/>
      <c r="F509" s="80">
        <f t="shared" si="86"/>
        <v>0</v>
      </c>
      <c r="G509" s="406">
        <f t="shared" ca="1" si="94"/>
        <v>30.55</v>
      </c>
      <c r="H509" s="80">
        <f t="shared" ca="1" si="82"/>
        <v>0</v>
      </c>
      <c r="I509" s="64"/>
      <c r="J509" s="64"/>
      <c r="K509" s="64"/>
      <c r="L509" s="81"/>
      <c r="M509" s="64"/>
      <c r="N509" s="64"/>
      <c r="O509" s="64"/>
      <c r="P509" s="64"/>
      <c r="Q509" s="64"/>
      <c r="T509" s="80"/>
    </row>
    <row r="510" spans="1:20">
      <c r="A510" s="141" t="s">
        <v>977</v>
      </c>
      <c r="B510" s="64"/>
      <c r="C510" s="328">
        <v>0</v>
      </c>
      <c r="D510" s="453" t="str">
        <f>+'Tariff Summary Lights'!F409</f>
        <v>n/a</v>
      </c>
      <c r="E510" s="91"/>
      <c r="F510" s="80">
        <f t="shared" si="86"/>
        <v>0</v>
      </c>
      <c r="G510" s="457">
        <f ca="1">ROUND('[7]JAP-22 Combined Charges'!$J$180,2)</f>
        <v>34.25</v>
      </c>
      <c r="H510" s="80">
        <f t="shared" ca="1" si="82"/>
        <v>0</v>
      </c>
      <c r="I510" s="64"/>
      <c r="J510" s="64"/>
      <c r="K510" s="64"/>
      <c r="L510" s="81"/>
      <c r="M510" s="64"/>
      <c r="N510" s="64"/>
      <c r="O510" s="64"/>
      <c r="P510" s="64"/>
      <c r="Q510" s="64"/>
      <c r="T510" s="80"/>
    </row>
    <row r="511" spans="1:20">
      <c r="A511" s="141" t="s">
        <v>978</v>
      </c>
      <c r="B511" s="64"/>
      <c r="C511" s="328">
        <v>0</v>
      </c>
      <c r="D511" s="453" t="str">
        <f>+'Tariff Summary Lights'!F410</f>
        <v>n/a</v>
      </c>
      <c r="E511" s="91"/>
      <c r="F511" s="80">
        <f t="shared" si="86"/>
        <v>0</v>
      </c>
      <c r="G511" s="457">
        <f ca="1">ROUND('[7]JAP-22 Combined Charges'!$J$181,2)</f>
        <v>37.950000000000003</v>
      </c>
      <c r="H511" s="80">
        <f t="shared" ca="1" si="82"/>
        <v>0</v>
      </c>
      <c r="I511" s="64"/>
      <c r="J511" s="64"/>
      <c r="K511" s="64"/>
      <c r="L511" s="81"/>
      <c r="M511" s="64"/>
      <c r="N511" s="64"/>
      <c r="O511" s="64"/>
      <c r="P511" s="64"/>
      <c r="Q511" s="64"/>
      <c r="T511" s="80"/>
    </row>
    <row r="512" spans="1:20">
      <c r="A512" s="141" t="s">
        <v>979</v>
      </c>
      <c r="B512" s="64"/>
      <c r="C512" s="328">
        <v>0</v>
      </c>
      <c r="D512" s="453" t="str">
        <f>+'Tariff Summary Lights'!F411</f>
        <v>n/a</v>
      </c>
      <c r="E512" s="91"/>
      <c r="F512" s="80">
        <f t="shared" si="86"/>
        <v>0</v>
      </c>
      <c r="G512" s="457">
        <f ca="1">ROUND('[7]JAP-22 Combined Charges'!$J$182,2)</f>
        <v>41.64</v>
      </c>
      <c r="H512" s="80">
        <f t="shared" ca="1" si="82"/>
        <v>0</v>
      </c>
      <c r="I512" s="64"/>
      <c r="J512" s="64"/>
      <c r="K512" s="64"/>
      <c r="L512" s="81"/>
      <c r="M512" s="64"/>
      <c r="N512" s="64"/>
      <c r="O512" s="64"/>
      <c r="P512" s="64"/>
      <c r="Q512" s="64"/>
      <c r="T512" s="80"/>
    </row>
    <row r="513" spans="1:20">
      <c r="A513" s="141" t="s">
        <v>980</v>
      </c>
      <c r="B513" s="64"/>
      <c r="C513" s="328">
        <v>0</v>
      </c>
      <c r="D513" s="453">
        <f>+'Tariff Summary Lights'!F412</f>
        <v>63.32</v>
      </c>
      <c r="E513" s="91"/>
      <c r="F513" s="80">
        <f t="shared" si="86"/>
        <v>0</v>
      </c>
      <c r="G513" s="406">
        <f ca="1">+G512</f>
        <v>41.64</v>
      </c>
      <c r="H513" s="80">
        <f t="shared" ca="1" si="82"/>
        <v>0</v>
      </c>
      <c r="I513" s="64"/>
      <c r="J513" s="64"/>
      <c r="K513" s="64"/>
      <c r="L513" s="64"/>
      <c r="M513" s="64"/>
      <c r="N513" s="64"/>
      <c r="O513" s="64"/>
      <c r="P513" s="64"/>
      <c r="Q513" s="64"/>
      <c r="T513" s="80"/>
    </row>
    <row r="514" spans="1:20">
      <c r="A514" s="142" t="s">
        <v>799</v>
      </c>
      <c r="B514" s="64"/>
      <c r="C514" s="328">
        <v>0</v>
      </c>
      <c r="D514" s="453">
        <f>+'Tariff Summary Lights'!F413</f>
        <v>63.49</v>
      </c>
      <c r="E514" s="91"/>
      <c r="F514" s="80">
        <f t="shared" si="86"/>
        <v>0</v>
      </c>
      <c r="G514" s="406">
        <f t="shared" ref="G514:G523" ca="1" si="95">+G513</f>
        <v>41.64</v>
      </c>
      <c r="H514" s="80">
        <f t="shared" ca="1" si="82"/>
        <v>0</v>
      </c>
      <c r="I514" s="64"/>
      <c r="J514" s="64"/>
      <c r="K514" s="64"/>
      <c r="L514" s="64"/>
      <c r="M514" s="64"/>
      <c r="N514" s="64"/>
      <c r="O514" s="64"/>
      <c r="P514" s="64"/>
      <c r="Q514" s="64"/>
      <c r="T514" s="80"/>
    </row>
    <row r="515" spans="1:20">
      <c r="A515" s="141" t="s">
        <v>800</v>
      </c>
      <c r="B515" s="64"/>
      <c r="C515" s="328">
        <v>0</v>
      </c>
      <c r="D515" s="453">
        <f>+'Tariff Summary Lights'!F414</f>
        <v>63.67</v>
      </c>
      <c r="E515" s="91"/>
      <c r="F515" s="80">
        <f t="shared" si="86"/>
        <v>0</v>
      </c>
      <c r="G515" s="406">
        <f t="shared" ca="1" si="95"/>
        <v>41.64</v>
      </c>
      <c r="H515" s="80">
        <f t="shared" ca="1" si="82"/>
        <v>0</v>
      </c>
      <c r="I515" s="64"/>
      <c r="J515" s="64"/>
      <c r="K515" s="64"/>
      <c r="L515" s="64"/>
      <c r="M515" s="64"/>
      <c r="N515" s="64"/>
      <c r="O515" s="64"/>
      <c r="P515" s="64"/>
      <c r="Q515" s="64"/>
      <c r="T515" s="80"/>
    </row>
    <row r="516" spans="1:20">
      <c r="A516" s="141" t="s">
        <v>801</v>
      </c>
      <c r="B516" s="64"/>
      <c r="C516" s="328">
        <v>0</v>
      </c>
      <c r="D516" s="453">
        <f>+'Tariff Summary Lights'!F415</f>
        <v>63.84</v>
      </c>
      <c r="E516" s="91"/>
      <c r="F516" s="80">
        <f t="shared" si="86"/>
        <v>0</v>
      </c>
      <c r="G516" s="406">
        <f t="shared" ca="1" si="95"/>
        <v>41.64</v>
      </c>
      <c r="H516" s="80">
        <f t="shared" ca="1" si="82"/>
        <v>0</v>
      </c>
      <c r="I516" s="64"/>
      <c r="J516" s="64"/>
      <c r="K516" s="64"/>
      <c r="L516" s="64"/>
      <c r="M516" s="64"/>
      <c r="N516" s="64"/>
      <c r="O516" s="64"/>
      <c r="P516" s="64"/>
      <c r="Q516" s="64"/>
      <c r="T516" s="80"/>
    </row>
    <row r="517" spans="1:20">
      <c r="A517" s="141" t="s">
        <v>802</v>
      </c>
      <c r="B517" s="64"/>
      <c r="C517" s="328">
        <v>0</v>
      </c>
      <c r="D517" s="453">
        <f>+'Tariff Summary Lights'!F416</f>
        <v>64.02</v>
      </c>
      <c r="E517" s="91"/>
      <c r="F517" s="80">
        <f t="shared" si="86"/>
        <v>0</v>
      </c>
      <c r="G517" s="406">
        <f t="shared" ca="1" si="95"/>
        <v>41.64</v>
      </c>
      <c r="H517" s="80">
        <f t="shared" ca="1" si="82"/>
        <v>0</v>
      </c>
      <c r="I517" s="64"/>
      <c r="J517" s="64"/>
      <c r="K517" s="64"/>
      <c r="L517" s="64"/>
      <c r="M517" s="64"/>
      <c r="N517" s="64"/>
      <c r="O517" s="64"/>
      <c r="P517" s="64"/>
      <c r="Q517" s="64"/>
      <c r="T517" s="80"/>
    </row>
    <row r="518" spans="1:20">
      <c r="A518" s="141" t="s">
        <v>803</v>
      </c>
      <c r="B518" s="64"/>
      <c r="C518" s="328">
        <v>0</v>
      </c>
      <c r="D518" s="453">
        <f>+'Tariff Summary Lights'!F417</f>
        <v>64.2</v>
      </c>
      <c r="E518" s="91"/>
      <c r="F518" s="80">
        <f t="shared" si="86"/>
        <v>0</v>
      </c>
      <c r="G518" s="406">
        <f t="shared" ca="1" si="95"/>
        <v>41.64</v>
      </c>
      <c r="H518" s="80">
        <f t="shared" ca="1" si="82"/>
        <v>0</v>
      </c>
      <c r="I518" s="64"/>
      <c r="J518" s="64"/>
      <c r="K518" s="64"/>
      <c r="L518" s="64"/>
      <c r="M518" s="64"/>
      <c r="N518" s="64"/>
      <c r="O518" s="64"/>
      <c r="P518" s="64"/>
      <c r="Q518" s="64"/>
      <c r="T518" s="80"/>
    </row>
    <row r="519" spans="1:20">
      <c r="A519" s="141" t="s">
        <v>804</v>
      </c>
      <c r="B519" s="64"/>
      <c r="C519" s="328">
        <v>0</v>
      </c>
      <c r="D519" s="453">
        <f>+'Tariff Summary Lights'!F418</f>
        <v>64.37</v>
      </c>
      <c r="E519" s="91"/>
      <c r="F519" s="80">
        <f t="shared" si="86"/>
        <v>0</v>
      </c>
      <c r="G519" s="406">
        <f t="shared" ca="1" si="95"/>
        <v>41.64</v>
      </c>
      <c r="H519" s="80">
        <f t="shared" ref="H519:H523" ca="1" si="96">ROUND(G519*$C519*12,0)</f>
        <v>0</v>
      </c>
      <c r="I519" s="64"/>
      <c r="J519" s="64"/>
      <c r="K519" s="64"/>
      <c r="L519" s="64"/>
      <c r="M519" s="64"/>
      <c r="N519" s="64"/>
      <c r="O519" s="64"/>
      <c r="P519" s="64"/>
      <c r="Q519" s="64"/>
      <c r="T519" s="80"/>
    </row>
    <row r="520" spans="1:20">
      <c r="A520" s="141" t="s">
        <v>805</v>
      </c>
      <c r="B520" s="64"/>
      <c r="C520" s="328">
        <v>0</v>
      </c>
      <c r="D520" s="453">
        <f>+'Tariff Summary Lights'!F419</f>
        <v>64.55</v>
      </c>
      <c r="E520" s="91"/>
      <c r="F520" s="80">
        <f t="shared" si="86"/>
        <v>0</v>
      </c>
      <c r="G520" s="406">
        <f t="shared" ca="1" si="95"/>
        <v>41.64</v>
      </c>
      <c r="H520" s="80">
        <f t="shared" ca="1" si="96"/>
        <v>0</v>
      </c>
      <c r="I520" s="64"/>
      <c r="J520" s="64"/>
      <c r="K520" s="64"/>
      <c r="L520" s="64"/>
      <c r="M520" s="64"/>
      <c r="N520" s="64"/>
      <c r="O520" s="64"/>
      <c r="P520" s="64"/>
      <c r="Q520" s="64"/>
      <c r="T520" s="80"/>
    </row>
    <row r="521" spans="1:20">
      <c r="A521" s="141" t="s">
        <v>806</v>
      </c>
      <c r="B521" s="64"/>
      <c r="C521" s="328">
        <v>0</v>
      </c>
      <c r="D521" s="453">
        <f>+'Tariff Summary Lights'!F420</f>
        <v>64.72</v>
      </c>
      <c r="E521" s="91"/>
      <c r="F521" s="80">
        <f t="shared" si="86"/>
        <v>0</v>
      </c>
      <c r="G521" s="406">
        <f t="shared" ca="1" si="95"/>
        <v>41.64</v>
      </c>
      <c r="H521" s="80">
        <f t="shared" ca="1" si="96"/>
        <v>0</v>
      </c>
      <c r="I521" s="64"/>
      <c r="J521" s="64"/>
      <c r="K521" s="64"/>
      <c r="L521" s="64"/>
      <c r="M521" s="64"/>
      <c r="N521" s="64"/>
      <c r="O521" s="64"/>
      <c r="P521" s="64"/>
      <c r="Q521" s="64"/>
      <c r="T521" s="80"/>
    </row>
    <row r="522" spans="1:20">
      <c r="A522" s="141" t="s">
        <v>807</v>
      </c>
      <c r="B522" s="64"/>
      <c r="C522" s="328">
        <v>0</v>
      </c>
      <c r="D522" s="453">
        <f>+'Tariff Summary Lights'!F421</f>
        <v>64.900000000000006</v>
      </c>
      <c r="E522" s="91"/>
      <c r="F522" s="80">
        <f t="shared" si="86"/>
        <v>0</v>
      </c>
      <c r="G522" s="406">
        <f t="shared" ca="1" si="95"/>
        <v>41.64</v>
      </c>
      <c r="H522" s="80">
        <f t="shared" ca="1" si="96"/>
        <v>0</v>
      </c>
      <c r="I522" s="64"/>
      <c r="J522" s="81"/>
      <c r="K522" s="64"/>
      <c r="L522" s="64"/>
      <c r="M522" s="64"/>
      <c r="N522" s="64"/>
      <c r="O522" s="64"/>
      <c r="P522" s="64"/>
      <c r="Q522" s="64"/>
      <c r="T522" s="80"/>
    </row>
    <row r="523" spans="1:20">
      <c r="A523" s="141" t="s">
        <v>981</v>
      </c>
      <c r="B523" s="64"/>
      <c r="C523" s="328">
        <v>0</v>
      </c>
      <c r="D523" s="453" t="str">
        <f>+'Tariff Summary Lights'!F422</f>
        <v>n/a</v>
      </c>
      <c r="E523" s="91"/>
      <c r="F523" s="80">
        <f t="shared" si="86"/>
        <v>0</v>
      </c>
      <c r="G523" s="406">
        <f t="shared" ca="1" si="95"/>
        <v>41.64</v>
      </c>
      <c r="H523" s="80">
        <f t="shared" ca="1" si="96"/>
        <v>0</v>
      </c>
      <c r="I523" s="64"/>
      <c r="J523" s="81"/>
      <c r="K523" s="64"/>
      <c r="L523" s="64"/>
      <c r="M523" s="64"/>
      <c r="N523" s="64"/>
      <c r="O523" s="64"/>
      <c r="P523" s="64"/>
      <c r="Q523" s="64"/>
      <c r="T523" s="80"/>
    </row>
    <row r="524" spans="1:20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1:20">
      <c r="A525" s="142" t="s">
        <v>808</v>
      </c>
      <c r="B525" s="91"/>
      <c r="C525" s="328">
        <v>160</v>
      </c>
      <c r="D525" s="406">
        <f>+'Tariff Summary Lights'!F424</f>
        <v>8.18</v>
      </c>
      <c r="E525" s="91"/>
      <c r="F525" s="80">
        <f t="shared" ref="F525" si="97">IF(D525="n/a",0,ROUND(C525*D525*12,0))</f>
        <v>15706</v>
      </c>
      <c r="G525" s="406">
        <f ca="1">ROUND('[7]JAP-22 Combined Charges'!$J$191,2)</f>
        <v>9.75</v>
      </c>
      <c r="H525" s="80">
        <f ca="1">ROUND(G525*$C525*12,0)</f>
        <v>18720</v>
      </c>
      <c r="I525" s="64"/>
      <c r="J525" s="64"/>
      <c r="K525" s="64"/>
      <c r="L525" s="64"/>
      <c r="M525" s="64"/>
      <c r="N525" s="64"/>
      <c r="O525" s="64"/>
      <c r="P525" s="64"/>
      <c r="Q525" s="64"/>
      <c r="T525" s="80"/>
    </row>
    <row r="526" spans="1:20">
      <c r="A526" s="409" t="s">
        <v>37</v>
      </c>
      <c r="B526" s="64"/>
      <c r="C526" s="410">
        <f>SUM(C440:C525)</f>
        <v>1592</v>
      </c>
      <c r="D526" s="411"/>
      <c r="E526" s="64"/>
      <c r="F526" s="429">
        <f>SUM(F440:F525)</f>
        <v>431113</v>
      </c>
      <c r="G526" s="411"/>
      <c r="H526" s="429">
        <f ca="1">SUM(H440:H525)</f>
        <v>417975</v>
      </c>
      <c r="I526" s="64"/>
      <c r="J526" s="64"/>
      <c r="K526" s="64"/>
      <c r="L526" s="64"/>
      <c r="M526" s="64"/>
      <c r="N526" s="64"/>
      <c r="O526" s="64"/>
      <c r="P526" s="64"/>
      <c r="Q526" s="64"/>
      <c r="T526" s="429"/>
    </row>
    <row r="527" spans="1:20">
      <c r="A527" s="409"/>
      <c r="B527" s="64"/>
      <c r="C527" s="433"/>
      <c r="D527" s="411"/>
      <c r="E527" s="64"/>
      <c r="F527" s="434"/>
      <c r="G527" s="411"/>
      <c r="H527" s="434"/>
      <c r="I527" s="64"/>
      <c r="J527" s="64"/>
      <c r="K527" s="64"/>
      <c r="L527" s="64"/>
      <c r="M527" s="64"/>
      <c r="N527" s="64"/>
      <c r="O527" s="64"/>
      <c r="P527" s="64"/>
      <c r="Q527" s="64"/>
    </row>
    <row r="528" spans="1:20">
      <c r="A528" s="140" t="s">
        <v>186</v>
      </c>
      <c r="B528" s="91"/>
      <c r="C528" s="109">
        <v>3662</v>
      </c>
      <c r="D528" s="414"/>
      <c r="E528" s="416"/>
      <c r="F528" s="417"/>
      <c r="G528" s="414"/>
      <c r="H528" s="418"/>
      <c r="I528" s="64"/>
      <c r="J528" s="64"/>
      <c r="K528" s="64"/>
      <c r="L528" s="64"/>
      <c r="M528" s="64"/>
      <c r="N528" s="64"/>
      <c r="O528" s="64"/>
      <c r="P528" s="64"/>
      <c r="Q528" s="64"/>
    </row>
    <row r="529" spans="1:20">
      <c r="A529" s="140"/>
      <c r="B529" s="91"/>
      <c r="C529" s="109"/>
      <c r="D529" s="414"/>
      <c r="E529" s="416"/>
      <c r="F529" s="417"/>
      <c r="G529" s="414"/>
      <c r="H529" s="418"/>
      <c r="I529" s="64"/>
      <c r="J529" s="64"/>
      <c r="K529" s="64"/>
      <c r="L529" s="64"/>
      <c r="M529" s="64"/>
      <c r="N529" s="64"/>
      <c r="O529" s="64"/>
      <c r="P529" s="64"/>
      <c r="Q529" s="64"/>
    </row>
    <row r="530" spans="1:20">
      <c r="A530" s="413" t="s">
        <v>436</v>
      </c>
      <c r="B530" s="414"/>
      <c r="C530" s="430">
        <v>2337951.7660000003</v>
      </c>
      <c r="D530" s="414"/>
      <c r="E530" s="416"/>
      <c r="F530" s="417"/>
      <c r="G530" s="414"/>
      <c r="H530" s="418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1:20">
      <c r="A531" s="413" t="s">
        <v>437</v>
      </c>
      <c r="B531" s="64"/>
      <c r="C531" s="79">
        <v>10984.916500000007</v>
      </c>
      <c r="D531" s="420">
        <f>ROUND(F531/C531,6)</f>
        <v>-1.0945009999999999</v>
      </c>
      <c r="E531" s="421"/>
      <c r="F531" s="80">
        <f>$P$20</f>
        <v>-12023</v>
      </c>
      <c r="G531" s="420">
        <f ca="1">ROUND(H531/C531,6)</f>
        <v>-1.1150739999999999</v>
      </c>
      <c r="H531" s="80">
        <f ca="1">ROUND(+F531*(1+J531),0)</f>
        <v>-12249</v>
      </c>
      <c r="I531" s="421"/>
      <c r="J531" s="110">
        <f ca="1">+$J$45</f>
        <v>1.8815167015235074E-2</v>
      </c>
      <c r="K531" s="521" t="s">
        <v>438</v>
      </c>
      <c r="L531" s="521"/>
      <c r="M531" s="458"/>
      <c r="N531" s="458"/>
      <c r="O531" s="458"/>
      <c r="P531" s="458"/>
      <c r="Q531" s="458"/>
      <c r="R531" s="458"/>
      <c r="S531" s="458"/>
      <c r="T531" s="458"/>
    </row>
    <row r="532" spans="1:20" ht="16.2" thickBot="1">
      <c r="A532" s="143" t="s">
        <v>38</v>
      </c>
      <c r="B532" s="91"/>
      <c r="C532" s="431">
        <f>SUM(C530:C531)</f>
        <v>2348936.6825000001</v>
      </c>
      <c r="D532" s="83"/>
      <c r="E532" s="64"/>
      <c r="F532" s="423">
        <f>SUM(F526,F531)</f>
        <v>419090</v>
      </c>
      <c r="G532" s="83"/>
      <c r="H532" s="423">
        <f ca="1">SUM(H526,H531)</f>
        <v>405726</v>
      </c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1:20" ht="16.2" thickTop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</row>
  </sheetData>
  <mergeCells count="26">
    <mergeCell ref="N9:P9"/>
    <mergeCell ref="R9:T9"/>
    <mergeCell ref="A12:H12"/>
    <mergeCell ref="A27:H27"/>
    <mergeCell ref="K531:L531"/>
    <mergeCell ref="K296:L296"/>
    <mergeCell ref="K143:L143"/>
    <mergeCell ref="K113:L113"/>
    <mergeCell ref="A437:H437"/>
    <mergeCell ref="A423:H423"/>
    <mergeCell ref="K433:L433"/>
    <mergeCell ref="K419:L419"/>
    <mergeCell ref="K374:L374"/>
    <mergeCell ref="A48:H48"/>
    <mergeCell ref="A116:H116"/>
    <mergeCell ref="A147:H147"/>
    <mergeCell ref="A302:H302"/>
    <mergeCell ref="A378:H37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7" fitToHeight="0" orientation="landscape" r:id="rId1"/>
  <headerFooter>
    <oddFooter>&amp;L&amp;F
&amp;A&amp;RTax Reform Electric Rate Design Workpapers
Docket No. UE-170033
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80"/>
  <sheetViews>
    <sheetView tabSelected="1" zoomScaleNormal="100" workbookViewId="0">
      <pane xSplit="3" ySplit="6" topLeftCell="D58" activePane="bottomRight" state="frozen"/>
      <selection activeCell="H150" sqref="H150"/>
      <selection pane="topRight" activeCell="H150" sqref="H150"/>
      <selection pane="bottomLeft" activeCell="H150" sqref="H150"/>
      <selection pane="bottomRight" activeCell="F5" sqref="F5"/>
    </sheetView>
  </sheetViews>
  <sheetFormatPr defaultColWidth="8.19921875" defaultRowHeight="13.2"/>
  <cols>
    <col min="1" max="1" width="4" style="289" bestFit="1" customWidth="1"/>
    <col min="2" max="2" width="9.8984375" style="289" customWidth="1"/>
    <col min="3" max="3" width="56.09765625" style="289" bestFit="1" customWidth="1"/>
    <col min="4" max="4" width="13" style="289" customWidth="1"/>
    <col min="5" max="5" width="11.69921875" style="289" bestFit="1" customWidth="1"/>
    <col min="6" max="6" width="9.69921875" style="289" bestFit="1" customWidth="1"/>
    <col min="7" max="7" width="8" style="289" bestFit="1" customWidth="1"/>
    <col min="8" max="8" width="2.296875" style="337" customWidth="1"/>
    <col min="9" max="9" width="9.69921875" style="337" bestFit="1" customWidth="1"/>
    <col min="10" max="10" width="10.296875" style="337" bestFit="1" customWidth="1"/>
    <col min="11" max="11" width="2.5" style="289" customWidth="1"/>
    <col min="12" max="252" width="8.19921875" style="289"/>
    <col min="253" max="253" width="4" style="289" bestFit="1" customWidth="1"/>
    <col min="254" max="254" width="9.8984375" style="289" customWidth="1"/>
    <col min="255" max="255" width="56.09765625" style="289" bestFit="1" customWidth="1"/>
    <col min="256" max="256" width="13" style="289" customWidth="1"/>
    <col min="257" max="257" width="11.296875" style="289" bestFit="1" customWidth="1"/>
    <col min="258" max="258" width="11.796875" style="289" customWidth="1"/>
    <col min="259" max="259" width="2.8984375" style="289" customWidth="1"/>
    <col min="260" max="260" width="13" style="289" bestFit="1" customWidth="1"/>
    <col min="261" max="261" width="14.8984375" style="289" bestFit="1" customWidth="1"/>
    <col min="262" max="262" width="13" style="289" bestFit="1" customWidth="1"/>
    <col min="263" max="508" width="8.19921875" style="289"/>
    <col min="509" max="509" width="4" style="289" bestFit="1" customWidth="1"/>
    <col min="510" max="510" width="9.8984375" style="289" customWidth="1"/>
    <col min="511" max="511" width="56.09765625" style="289" bestFit="1" customWidth="1"/>
    <col min="512" max="512" width="13" style="289" customWidth="1"/>
    <col min="513" max="513" width="11.296875" style="289" bestFit="1" customWidth="1"/>
    <col min="514" max="514" width="11.796875" style="289" customWidth="1"/>
    <col min="515" max="515" width="2.8984375" style="289" customWidth="1"/>
    <col min="516" max="516" width="13" style="289" bestFit="1" customWidth="1"/>
    <col min="517" max="517" width="14.8984375" style="289" bestFit="1" customWidth="1"/>
    <col min="518" max="518" width="13" style="289" bestFit="1" customWidth="1"/>
    <col min="519" max="764" width="8.19921875" style="289"/>
    <col min="765" max="765" width="4" style="289" bestFit="1" customWidth="1"/>
    <col min="766" max="766" width="9.8984375" style="289" customWidth="1"/>
    <col min="767" max="767" width="56.09765625" style="289" bestFit="1" customWidth="1"/>
    <col min="768" max="768" width="13" style="289" customWidth="1"/>
    <col min="769" max="769" width="11.296875" style="289" bestFit="1" customWidth="1"/>
    <col min="770" max="770" width="11.796875" style="289" customWidth="1"/>
    <col min="771" max="771" width="2.8984375" style="289" customWidth="1"/>
    <col min="772" max="772" width="13" style="289" bestFit="1" customWidth="1"/>
    <col min="773" max="773" width="14.8984375" style="289" bestFit="1" customWidth="1"/>
    <col min="774" max="774" width="13" style="289" bestFit="1" customWidth="1"/>
    <col min="775" max="1020" width="8.19921875" style="289"/>
    <col min="1021" max="1021" width="4" style="289" bestFit="1" customWidth="1"/>
    <col min="1022" max="1022" width="9.8984375" style="289" customWidth="1"/>
    <col min="1023" max="1023" width="56.09765625" style="289" bestFit="1" customWidth="1"/>
    <col min="1024" max="1024" width="13" style="289" customWidth="1"/>
    <col min="1025" max="1025" width="11.296875" style="289" bestFit="1" customWidth="1"/>
    <col min="1026" max="1026" width="11.796875" style="289" customWidth="1"/>
    <col min="1027" max="1027" width="2.8984375" style="289" customWidth="1"/>
    <col min="1028" max="1028" width="13" style="289" bestFit="1" customWidth="1"/>
    <col min="1029" max="1029" width="14.8984375" style="289" bestFit="1" customWidth="1"/>
    <col min="1030" max="1030" width="13" style="289" bestFit="1" customWidth="1"/>
    <col min="1031" max="1276" width="8.19921875" style="289"/>
    <col min="1277" max="1277" width="4" style="289" bestFit="1" customWidth="1"/>
    <col min="1278" max="1278" width="9.8984375" style="289" customWidth="1"/>
    <col min="1279" max="1279" width="56.09765625" style="289" bestFit="1" customWidth="1"/>
    <col min="1280" max="1280" width="13" style="289" customWidth="1"/>
    <col min="1281" max="1281" width="11.296875" style="289" bestFit="1" customWidth="1"/>
    <col min="1282" max="1282" width="11.796875" style="289" customWidth="1"/>
    <col min="1283" max="1283" width="2.8984375" style="289" customWidth="1"/>
    <col min="1284" max="1284" width="13" style="289" bestFit="1" customWidth="1"/>
    <col min="1285" max="1285" width="14.8984375" style="289" bestFit="1" customWidth="1"/>
    <col min="1286" max="1286" width="13" style="289" bestFit="1" customWidth="1"/>
    <col min="1287" max="1532" width="8.19921875" style="289"/>
    <col min="1533" max="1533" width="4" style="289" bestFit="1" customWidth="1"/>
    <col min="1534" max="1534" width="9.8984375" style="289" customWidth="1"/>
    <col min="1535" max="1535" width="56.09765625" style="289" bestFit="1" customWidth="1"/>
    <col min="1536" max="1536" width="13" style="289" customWidth="1"/>
    <col min="1537" max="1537" width="11.296875" style="289" bestFit="1" customWidth="1"/>
    <col min="1538" max="1538" width="11.796875" style="289" customWidth="1"/>
    <col min="1539" max="1539" width="2.8984375" style="289" customWidth="1"/>
    <col min="1540" max="1540" width="13" style="289" bestFit="1" customWidth="1"/>
    <col min="1541" max="1541" width="14.8984375" style="289" bestFit="1" customWidth="1"/>
    <col min="1542" max="1542" width="13" style="289" bestFit="1" customWidth="1"/>
    <col min="1543" max="1788" width="8.19921875" style="289"/>
    <col min="1789" max="1789" width="4" style="289" bestFit="1" customWidth="1"/>
    <col min="1790" max="1790" width="9.8984375" style="289" customWidth="1"/>
    <col min="1791" max="1791" width="56.09765625" style="289" bestFit="1" customWidth="1"/>
    <col min="1792" max="1792" width="13" style="289" customWidth="1"/>
    <col min="1793" max="1793" width="11.296875" style="289" bestFit="1" customWidth="1"/>
    <col min="1794" max="1794" width="11.796875" style="289" customWidth="1"/>
    <col min="1795" max="1795" width="2.8984375" style="289" customWidth="1"/>
    <col min="1796" max="1796" width="13" style="289" bestFit="1" customWidth="1"/>
    <col min="1797" max="1797" width="14.8984375" style="289" bestFit="1" customWidth="1"/>
    <col min="1798" max="1798" width="13" style="289" bestFit="1" customWidth="1"/>
    <col min="1799" max="2044" width="8.19921875" style="289"/>
    <col min="2045" max="2045" width="4" style="289" bestFit="1" customWidth="1"/>
    <col min="2046" max="2046" width="9.8984375" style="289" customWidth="1"/>
    <col min="2047" max="2047" width="56.09765625" style="289" bestFit="1" customWidth="1"/>
    <col min="2048" max="2048" width="13" style="289" customWidth="1"/>
    <col min="2049" max="2049" width="11.296875" style="289" bestFit="1" customWidth="1"/>
    <col min="2050" max="2050" width="11.796875" style="289" customWidth="1"/>
    <col min="2051" max="2051" width="2.8984375" style="289" customWidth="1"/>
    <col min="2052" max="2052" width="13" style="289" bestFit="1" customWidth="1"/>
    <col min="2053" max="2053" width="14.8984375" style="289" bestFit="1" customWidth="1"/>
    <col min="2054" max="2054" width="13" style="289" bestFit="1" customWidth="1"/>
    <col min="2055" max="2300" width="8.19921875" style="289"/>
    <col min="2301" max="2301" width="4" style="289" bestFit="1" customWidth="1"/>
    <col min="2302" max="2302" width="9.8984375" style="289" customWidth="1"/>
    <col min="2303" max="2303" width="56.09765625" style="289" bestFit="1" customWidth="1"/>
    <col min="2304" max="2304" width="13" style="289" customWidth="1"/>
    <col min="2305" max="2305" width="11.296875" style="289" bestFit="1" customWidth="1"/>
    <col min="2306" max="2306" width="11.796875" style="289" customWidth="1"/>
    <col min="2307" max="2307" width="2.8984375" style="289" customWidth="1"/>
    <col min="2308" max="2308" width="13" style="289" bestFit="1" customWidth="1"/>
    <col min="2309" max="2309" width="14.8984375" style="289" bestFit="1" customWidth="1"/>
    <col min="2310" max="2310" width="13" style="289" bestFit="1" customWidth="1"/>
    <col min="2311" max="2556" width="8.19921875" style="289"/>
    <col min="2557" max="2557" width="4" style="289" bestFit="1" customWidth="1"/>
    <col min="2558" max="2558" width="9.8984375" style="289" customWidth="1"/>
    <col min="2559" max="2559" width="56.09765625" style="289" bestFit="1" customWidth="1"/>
    <col min="2560" max="2560" width="13" style="289" customWidth="1"/>
    <col min="2561" max="2561" width="11.296875" style="289" bestFit="1" customWidth="1"/>
    <col min="2562" max="2562" width="11.796875" style="289" customWidth="1"/>
    <col min="2563" max="2563" width="2.8984375" style="289" customWidth="1"/>
    <col min="2564" max="2564" width="13" style="289" bestFit="1" customWidth="1"/>
    <col min="2565" max="2565" width="14.8984375" style="289" bestFit="1" customWidth="1"/>
    <col min="2566" max="2566" width="13" style="289" bestFit="1" customWidth="1"/>
    <col min="2567" max="2812" width="8.19921875" style="289"/>
    <col min="2813" max="2813" width="4" style="289" bestFit="1" customWidth="1"/>
    <col min="2814" max="2814" width="9.8984375" style="289" customWidth="1"/>
    <col min="2815" max="2815" width="56.09765625" style="289" bestFit="1" customWidth="1"/>
    <col min="2816" max="2816" width="13" style="289" customWidth="1"/>
    <col min="2817" max="2817" width="11.296875" style="289" bestFit="1" customWidth="1"/>
    <col min="2818" max="2818" width="11.796875" style="289" customWidth="1"/>
    <col min="2819" max="2819" width="2.8984375" style="289" customWidth="1"/>
    <col min="2820" max="2820" width="13" style="289" bestFit="1" customWidth="1"/>
    <col min="2821" max="2821" width="14.8984375" style="289" bestFit="1" customWidth="1"/>
    <col min="2822" max="2822" width="13" style="289" bestFit="1" customWidth="1"/>
    <col min="2823" max="3068" width="8.19921875" style="289"/>
    <col min="3069" max="3069" width="4" style="289" bestFit="1" customWidth="1"/>
    <col min="3070" max="3070" width="9.8984375" style="289" customWidth="1"/>
    <col min="3071" max="3071" width="56.09765625" style="289" bestFit="1" customWidth="1"/>
    <col min="3072" max="3072" width="13" style="289" customWidth="1"/>
    <col min="3073" max="3073" width="11.296875" style="289" bestFit="1" customWidth="1"/>
    <col min="3074" max="3074" width="11.796875" style="289" customWidth="1"/>
    <col min="3075" max="3075" width="2.8984375" style="289" customWidth="1"/>
    <col min="3076" max="3076" width="13" style="289" bestFit="1" customWidth="1"/>
    <col min="3077" max="3077" width="14.8984375" style="289" bestFit="1" customWidth="1"/>
    <col min="3078" max="3078" width="13" style="289" bestFit="1" customWidth="1"/>
    <col min="3079" max="3324" width="8.19921875" style="289"/>
    <col min="3325" max="3325" width="4" style="289" bestFit="1" customWidth="1"/>
    <col min="3326" max="3326" width="9.8984375" style="289" customWidth="1"/>
    <col min="3327" max="3327" width="56.09765625" style="289" bestFit="1" customWidth="1"/>
    <col min="3328" max="3328" width="13" style="289" customWidth="1"/>
    <col min="3329" max="3329" width="11.296875" style="289" bestFit="1" customWidth="1"/>
    <col min="3330" max="3330" width="11.796875" style="289" customWidth="1"/>
    <col min="3331" max="3331" width="2.8984375" style="289" customWidth="1"/>
    <col min="3332" max="3332" width="13" style="289" bestFit="1" customWidth="1"/>
    <col min="3333" max="3333" width="14.8984375" style="289" bestFit="1" customWidth="1"/>
    <col min="3334" max="3334" width="13" style="289" bestFit="1" customWidth="1"/>
    <col min="3335" max="3580" width="8.19921875" style="289"/>
    <col min="3581" max="3581" width="4" style="289" bestFit="1" customWidth="1"/>
    <col min="3582" max="3582" width="9.8984375" style="289" customWidth="1"/>
    <col min="3583" max="3583" width="56.09765625" style="289" bestFit="1" customWidth="1"/>
    <col min="3584" max="3584" width="13" style="289" customWidth="1"/>
    <col min="3585" max="3585" width="11.296875" style="289" bestFit="1" customWidth="1"/>
    <col min="3586" max="3586" width="11.796875" style="289" customWidth="1"/>
    <col min="3587" max="3587" width="2.8984375" style="289" customWidth="1"/>
    <col min="3588" max="3588" width="13" style="289" bestFit="1" customWidth="1"/>
    <col min="3589" max="3589" width="14.8984375" style="289" bestFit="1" customWidth="1"/>
    <col min="3590" max="3590" width="13" style="289" bestFit="1" customWidth="1"/>
    <col min="3591" max="3836" width="8.19921875" style="289"/>
    <col min="3837" max="3837" width="4" style="289" bestFit="1" customWidth="1"/>
    <col min="3838" max="3838" width="9.8984375" style="289" customWidth="1"/>
    <col min="3839" max="3839" width="56.09765625" style="289" bestFit="1" customWidth="1"/>
    <col min="3840" max="3840" width="13" style="289" customWidth="1"/>
    <col min="3841" max="3841" width="11.296875" style="289" bestFit="1" customWidth="1"/>
    <col min="3842" max="3842" width="11.796875" style="289" customWidth="1"/>
    <col min="3843" max="3843" width="2.8984375" style="289" customWidth="1"/>
    <col min="3844" max="3844" width="13" style="289" bestFit="1" customWidth="1"/>
    <col min="3845" max="3845" width="14.8984375" style="289" bestFit="1" customWidth="1"/>
    <col min="3846" max="3846" width="13" style="289" bestFit="1" customWidth="1"/>
    <col min="3847" max="4092" width="8.19921875" style="289"/>
    <col min="4093" max="4093" width="4" style="289" bestFit="1" customWidth="1"/>
    <col min="4094" max="4094" width="9.8984375" style="289" customWidth="1"/>
    <col min="4095" max="4095" width="56.09765625" style="289" bestFit="1" customWidth="1"/>
    <col min="4096" max="4096" width="13" style="289" customWidth="1"/>
    <col min="4097" max="4097" width="11.296875" style="289" bestFit="1" customWidth="1"/>
    <col min="4098" max="4098" width="11.796875" style="289" customWidth="1"/>
    <col min="4099" max="4099" width="2.8984375" style="289" customWidth="1"/>
    <col min="4100" max="4100" width="13" style="289" bestFit="1" customWidth="1"/>
    <col min="4101" max="4101" width="14.8984375" style="289" bestFit="1" customWidth="1"/>
    <col min="4102" max="4102" width="13" style="289" bestFit="1" customWidth="1"/>
    <col min="4103" max="4348" width="8.19921875" style="289"/>
    <col min="4349" max="4349" width="4" style="289" bestFit="1" customWidth="1"/>
    <col min="4350" max="4350" width="9.8984375" style="289" customWidth="1"/>
    <col min="4351" max="4351" width="56.09765625" style="289" bestFit="1" customWidth="1"/>
    <col min="4352" max="4352" width="13" style="289" customWidth="1"/>
    <col min="4353" max="4353" width="11.296875" style="289" bestFit="1" customWidth="1"/>
    <col min="4354" max="4354" width="11.796875" style="289" customWidth="1"/>
    <col min="4355" max="4355" width="2.8984375" style="289" customWidth="1"/>
    <col min="4356" max="4356" width="13" style="289" bestFit="1" customWidth="1"/>
    <col min="4357" max="4357" width="14.8984375" style="289" bestFit="1" customWidth="1"/>
    <col min="4358" max="4358" width="13" style="289" bestFit="1" customWidth="1"/>
    <col min="4359" max="4604" width="8.19921875" style="289"/>
    <col min="4605" max="4605" width="4" style="289" bestFit="1" customWidth="1"/>
    <col min="4606" max="4606" width="9.8984375" style="289" customWidth="1"/>
    <col min="4607" max="4607" width="56.09765625" style="289" bestFit="1" customWidth="1"/>
    <col min="4608" max="4608" width="13" style="289" customWidth="1"/>
    <col min="4609" max="4609" width="11.296875" style="289" bestFit="1" customWidth="1"/>
    <col min="4610" max="4610" width="11.796875" style="289" customWidth="1"/>
    <col min="4611" max="4611" width="2.8984375" style="289" customWidth="1"/>
    <col min="4612" max="4612" width="13" style="289" bestFit="1" customWidth="1"/>
    <col min="4613" max="4613" width="14.8984375" style="289" bestFit="1" customWidth="1"/>
    <col min="4614" max="4614" width="13" style="289" bestFit="1" customWidth="1"/>
    <col min="4615" max="4860" width="8.19921875" style="289"/>
    <col min="4861" max="4861" width="4" style="289" bestFit="1" customWidth="1"/>
    <col min="4862" max="4862" width="9.8984375" style="289" customWidth="1"/>
    <col min="4863" max="4863" width="56.09765625" style="289" bestFit="1" customWidth="1"/>
    <col min="4864" max="4864" width="13" style="289" customWidth="1"/>
    <col min="4865" max="4865" width="11.296875" style="289" bestFit="1" customWidth="1"/>
    <col min="4866" max="4866" width="11.796875" style="289" customWidth="1"/>
    <col min="4867" max="4867" width="2.8984375" style="289" customWidth="1"/>
    <col min="4868" max="4868" width="13" style="289" bestFit="1" customWidth="1"/>
    <col min="4869" max="4869" width="14.8984375" style="289" bestFit="1" customWidth="1"/>
    <col min="4870" max="4870" width="13" style="289" bestFit="1" customWidth="1"/>
    <col min="4871" max="5116" width="8.19921875" style="289"/>
    <col min="5117" max="5117" width="4" style="289" bestFit="1" customWidth="1"/>
    <col min="5118" max="5118" width="9.8984375" style="289" customWidth="1"/>
    <col min="5119" max="5119" width="56.09765625" style="289" bestFit="1" customWidth="1"/>
    <col min="5120" max="5120" width="13" style="289" customWidth="1"/>
    <col min="5121" max="5121" width="11.296875" style="289" bestFit="1" customWidth="1"/>
    <col min="5122" max="5122" width="11.796875" style="289" customWidth="1"/>
    <col min="5123" max="5123" width="2.8984375" style="289" customWidth="1"/>
    <col min="5124" max="5124" width="13" style="289" bestFit="1" customWidth="1"/>
    <col min="5125" max="5125" width="14.8984375" style="289" bestFit="1" customWidth="1"/>
    <col min="5126" max="5126" width="13" style="289" bestFit="1" customWidth="1"/>
    <col min="5127" max="5372" width="8.19921875" style="289"/>
    <col min="5373" max="5373" width="4" style="289" bestFit="1" customWidth="1"/>
    <col min="5374" max="5374" width="9.8984375" style="289" customWidth="1"/>
    <col min="5375" max="5375" width="56.09765625" style="289" bestFit="1" customWidth="1"/>
    <col min="5376" max="5376" width="13" style="289" customWidth="1"/>
    <col min="5377" max="5377" width="11.296875" style="289" bestFit="1" customWidth="1"/>
    <col min="5378" max="5378" width="11.796875" style="289" customWidth="1"/>
    <col min="5379" max="5379" width="2.8984375" style="289" customWidth="1"/>
    <col min="5380" max="5380" width="13" style="289" bestFit="1" customWidth="1"/>
    <col min="5381" max="5381" width="14.8984375" style="289" bestFit="1" customWidth="1"/>
    <col min="5382" max="5382" width="13" style="289" bestFit="1" customWidth="1"/>
    <col min="5383" max="5628" width="8.19921875" style="289"/>
    <col min="5629" max="5629" width="4" style="289" bestFit="1" customWidth="1"/>
    <col min="5630" max="5630" width="9.8984375" style="289" customWidth="1"/>
    <col min="5631" max="5631" width="56.09765625" style="289" bestFit="1" customWidth="1"/>
    <col min="5632" max="5632" width="13" style="289" customWidth="1"/>
    <col min="5633" max="5633" width="11.296875" style="289" bestFit="1" customWidth="1"/>
    <col min="5634" max="5634" width="11.796875" style="289" customWidth="1"/>
    <col min="5635" max="5635" width="2.8984375" style="289" customWidth="1"/>
    <col min="5636" max="5636" width="13" style="289" bestFit="1" customWidth="1"/>
    <col min="5637" max="5637" width="14.8984375" style="289" bestFit="1" customWidth="1"/>
    <col min="5638" max="5638" width="13" style="289" bestFit="1" customWidth="1"/>
    <col min="5639" max="5884" width="8.19921875" style="289"/>
    <col min="5885" max="5885" width="4" style="289" bestFit="1" customWidth="1"/>
    <col min="5886" max="5886" width="9.8984375" style="289" customWidth="1"/>
    <col min="5887" max="5887" width="56.09765625" style="289" bestFit="1" customWidth="1"/>
    <col min="5888" max="5888" width="13" style="289" customWidth="1"/>
    <col min="5889" max="5889" width="11.296875" style="289" bestFit="1" customWidth="1"/>
    <col min="5890" max="5890" width="11.796875" style="289" customWidth="1"/>
    <col min="5891" max="5891" width="2.8984375" style="289" customWidth="1"/>
    <col min="5892" max="5892" width="13" style="289" bestFit="1" customWidth="1"/>
    <col min="5893" max="5893" width="14.8984375" style="289" bestFit="1" customWidth="1"/>
    <col min="5894" max="5894" width="13" style="289" bestFit="1" customWidth="1"/>
    <col min="5895" max="6140" width="8.19921875" style="289"/>
    <col min="6141" max="6141" width="4" style="289" bestFit="1" customWidth="1"/>
    <col min="6142" max="6142" width="9.8984375" style="289" customWidth="1"/>
    <col min="6143" max="6143" width="56.09765625" style="289" bestFit="1" customWidth="1"/>
    <col min="6144" max="6144" width="13" style="289" customWidth="1"/>
    <col min="6145" max="6145" width="11.296875" style="289" bestFit="1" customWidth="1"/>
    <col min="6146" max="6146" width="11.796875" style="289" customWidth="1"/>
    <col min="6147" max="6147" width="2.8984375" style="289" customWidth="1"/>
    <col min="6148" max="6148" width="13" style="289" bestFit="1" customWidth="1"/>
    <col min="6149" max="6149" width="14.8984375" style="289" bestFit="1" customWidth="1"/>
    <col min="6150" max="6150" width="13" style="289" bestFit="1" customWidth="1"/>
    <col min="6151" max="6396" width="8.19921875" style="289"/>
    <col min="6397" max="6397" width="4" style="289" bestFit="1" customWidth="1"/>
    <col min="6398" max="6398" width="9.8984375" style="289" customWidth="1"/>
    <col min="6399" max="6399" width="56.09765625" style="289" bestFit="1" customWidth="1"/>
    <col min="6400" max="6400" width="13" style="289" customWidth="1"/>
    <col min="6401" max="6401" width="11.296875" style="289" bestFit="1" customWidth="1"/>
    <col min="6402" max="6402" width="11.796875" style="289" customWidth="1"/>
    <col min="6403" max="6403" width="2.8984375" style="289" customWidth="1"/>
    <col min="6404" max="6404" width="13" style="289" bestFit="1" customWidth="1"/>
    <col min="6405" max="6405" width="14.8984375" style="289" bestFit="1" customWidth="1"/>
    <col min="6406" max="6406" width="13" style="289" bestFit="1" customWidth="1"/>
    <col min="6407" max="6652" width="8.19921875" style="289"/>
    <col min="6653" max="6653" width="4" style="289" bestFit="1" customWidth="1"/>
    <col min="6654" max="6654" width="9.8984375" style="289" customWidth="1"/>
    <col min="6655" max="6655" width="56.09765625" style="289" bestFit="1" customWidth="1"/>
    <col min="6656" max="6656" width="13" style="289" customWidth="1"/>
    <col min="6657" max="6657" width="11.296875" style="289" bestFit="1" customWidth="1"/>
    <col min="6658" max="6658" width="11.796875" style="289" customWidth="1"/>
    <col min="6659" max="6659" width="2.8984375" style="289" customWidth="1"/>
    <col min="6660" max="6660" width="13" style="289" bestFit="1" customWidth="1"/>
    <col min="6661" max="6661" width="14.8984375" style="289" bestFit="1" customWidth="1"/>
    <col min="6662" max="6662" width="13" style="289" bestFit="1" customWidth="1"/>
    <col min="6663" max="6908" width="8.19921875" style="289"/>
    <col min="6909" max="6909" width="4" style="289" bestFit="1" customWidth="1"/>
    <col min="6910" max="6910" width="9.8984375" style="289" customWidth="1"/>
    <col min="6911" max="6911" width="56.09765625" style="289" bestFit="1" customWidth="1"/>
    <col min="6912" max="6912" width="13" style="289" customWidth="1"/>
    <col min="6913" max="6913" width="11.296875" style="289" bestFit="1" customWidth="1"/>
    <col min="6914" max="6914" width="11.796875" style="289" customWidth="1"/>
    <col min="6915" max="6915" width="2.8984375" style="289" customWidth="1"/>
    <col min="6916" max="6916" width="13" style="289" bestFit="1" customWidth="1"/>
    <col min="6917" max="6917" width="14.8984375" style="289" bestFit="1" customWidth="1"/>
    <col min="6918" max="6918" width="13" style="289" bestFit="1" customWidth="1"/>
    <col min="6919" max="7164" width="8.19921875" style="289"/>
    <col min="7165" max="7165" width="4" style="289" bestFit="1" customWidth="1"/>
    <col min="7166" max="7166" width="9.8984375" style="289" customWidth="1"/>
    <col min="7167" max="7167" width="56.09765625" style="289" bestFit="1" customWidth="1"/>
    <col min="7168" max="7168" width="13" style="289" customWidth="1"/>
    <col min="7169" max="7169" width="11.296875" style="289" bestFit="1" customWidth="1"/>
    <col min="7170" max="7170" width="11.796875" style="289" customWidth="1"/>
    <col min="7171" max="7171" width="2.8984375" style="289" customWidth="1"/>
    <col min="7172" max="7172" width="13" style="289" bestFit="1" customWidth="1"/>
    <col min="7173" max="7173" width="14.8984375" style="289" bestFit="1" customWidth="1"/>
    <col min="7174" max="7174" width="13" style="289" bestFit="1" customWidth="1"/>
    <col min="7175" max="7420" width="8.19921875" style="289"/>
    <col min="7421" max="7421" width="4" style="289" bestFit="1" customWidth="1"/>
    <col min="7422" max="7422" width="9.8984375" style="289" customWidth="1"/>
    <col min="7423" max="7423" width="56.09765625" style="289" bestFit="1" customWidth="1"/>
    <col min="7424" max="7424" width="13" style="289" customWidth="1"/>
    <col min="7425" max="7425" width="11.296875" style="289" bestFit="1" customWidth="1"/>
    <col min="7426" max="7426" width="11.796875" style="289" customWidth="1"/>
    <col min="7427" max="7427" width="2.8984375" style="289" customWidth="1"/>
    <col min="7428" max="7428" width="13" style="289" bestFit="1" customWidth="1"/>
    <col min="7429" max="7429" width="14.8984375" style="289" bestFit="1" customWidth="1"/>
    <col min="7430" max="7430" width="13" style="289" bestFit="1" customWidth="1"/>
    <col min="7431" max="7676" width="8.19921875" style="289"/>
    <col min="7677" max="7677" width="4" style="289" bestFit="1" customWidth="1"/>
    <col min="7678" max="7678" width="9.8984375" style="289" customWidth="1"/>
    <col min="7679" max="7679" width="56.09765625" style="289" bestFit="1" customWidth="1"/>
    <col min="7680" max="7680" width="13" style="289" customWidth="1"/>
    <col min="7681" max="7681" width="11.296875" style="289" bestFit="1" customWidth="1"/>
    <col min="7682" max="7682" width="11.796875" style="289" customWidth="1"/>
    <col min="7683" max="7683" width="2.8984375" style="289" customWidth="1"/>
    <col min="7684" max="7684" width="13" style="289" bestFit="1" customWidth="1"/>
    <col min="7685" max="7685" width="14.8984375" style="289" bestFit="1" customWidth="1"/>
    <col min="7686" max="7686" width="13" style="289" bestFit="1" customWidth="1"/>
    <col min="7687" max="7932" width="8.19921875" style="289"/>
    <col min="7933" max="7933" width="4" style="289" bestFit="1" customWidth="1"/>
    <col min="7934" max="7934" width="9.8984375" style="289" customWidth="1"/>
    <col min="7935" max="7935" width="56.09765625" style="289" bestFit="1" customWidth="1"/>
    <col min="7936" max="7936" width="13" style="289" customWidth="1"/>
    <col min="7937" max="7937" width="11.296875" style="289" bestFit="1" customWidth="1"/>
    <col min="7938" max="7938" width="11.796875" style="289" customWidth="1"/>
    <col min="7939" max="7939" width="2.8984375" style="289" customWidth="1"/>
    <col min="7940" max="7940" width="13" style="289" bestFit="1" customWidth="1"/>
    <col min="7941" max="7941" width="14.8984375" style="289" bestFit="1" customWidth="1"/>
    <col min="7942" max="7942" width="13" style="289" bestFit="1" customWidth="1"/>
    <col min="7943" max="8188" width="8.19921875" style="289"/>
    <col min="8189" max="8189" width="4" style="289" bestFit="1" customWidth="1"/>
    <col min="8190" max="8190" width="9.8984375" style="289" customWidth="1"/>
    <col min="8191" max="8191" width="56.09765625" style="289" bestFit="1" customWidth="1"/>
    <col min="8192" max="8192" width="13" style="289" customWidth="1"/>
    <col min="8193" max="8193" width="11.296875" style="289" bestFit="1" customWidth="1"/>
    <col min="8194" max="8194" width="11.796875" style="289" customWidth="1"/>
    <col min="8195" max="8195" width="2.8984375" style="289" customWidth="1"/>
    <col min="8196" max="8196" width="13" style="289" bestFit="1" customWidth="1"/>
    <col min="8197" max="8197" width="14.8984375" style="289" bestFit="1" customWidth="1"/>
    <col min="8198" max="8198" width="13" style="289" bestFit="1" customWidth="1"/>
    <col min="8199" max="8444" width="8.19921875" style="289"/>
    <col min="8445" max="8445" width="4" style="289" bestFit="1" customWidth="1"/>
    <col min="8446" max="8446" width="9.8984375" style="289" customWidth="1"/>
    <col min="8447" max="8447" width="56.09765625" style="289" bestFit="1" customWidth="1"/>
    <col min="8448" max="8448" width="13" style="289" customWidth="1"/>
    <col min="8449" max="8449" width="11.296875" style="289" bestFit="1" customWidth="1"/>
    <col min="8450" max="8450" width="11.796875" style="289" customWidth="1"/>
    <col min="8451" max="8451" width="2.8984375" style="289" customWidth="1"/>
    <col min="8452" max="8452" width="13" style="289" bestFit="1" customWidth="1"/>
    <col min="8453" max="8453" width="14.8984375" style="289" bestFit="1" customWidth="1"/>
    <col min="8454" max="8454" width="13" style="289" bestFit="1" customWidth="1"/>
    <col min="8455" max="8700" width="8.19921875" style="289"/>
    <col min="8701" max="8701" width="4" style="289" bestFit="1" customWidth="1"/>
    <col min="8702" max="8702" width="9.8984375" style="289" customWidth="1"/>
    <col min="8703" max="8703" width="56.09765625" style="289" bestFit="1" customWidth="1"/>
    <col min="8704" max="8704" width="13" style="289" customWidth="1"/>
    <col min="8705" max="8705" width="11.296875" style="289" bestFit="1" customWidth="1"/>
    <col min="8706" max="8706" width="11.796875" style="289" customWidth="1"/>
    <col min="8707" max="8707" width="2.8984375" style="289" customWidth="1"/>
    <col min="8708" max="8708" width="13" style="289" bestFit="1" customWidth="1"/>
    <col min="8709" max="8709" width="14.8984375" style="289" bestFit="1" customWidth="1"/>
    <col min="8710" max="8710" width="13" style="289" bestFit="1" customWidth="1"/>
    <col min="8711" max="8956" width="8.19921875" style="289"/>
    <col min="8957" max="8957" width="4" style="289" bestFit="1" customWidth="1"/>
    <col min="8958" max="8958" width="9.8984375" style="289" customWidth="1"/>
    <col min="8959" max="8959" width="56.09765625" style="289" bestFit="1" customWidth="1"/>
    <col min="8960" max="8960" width="13" style="289" customWidth="1"/>
    <col min="8961" max="8961" width="11.296875" style="289" bestFit="1" customWidth="1"/>
    <col min="8962" max="8962" width="11.796875" style="289" customWidth="1"/>
    <col min="8963" max="8963" width="2.8984375" style="289" customWidth="1"/>
    <col min="8964" max="8964" width="13" style="289" bestFit="1" customWidth="1"/>
    <col min="8965" max="8965" width="14.8984375" style="289" bestFit="1" customWidth="1"/>
    <col min="8966" max="8966" width="13" style="289" bestFit="1" customWidth="1"/>
    <col min="8967" max="9212" width="8.19921875" style="289"/>
    <col min="9213" max="9213" width="4" style="289" bestFit="1" customWidth="1"/>
    <col min="9214" max="9214" width="9.8984375" style="289" customWidth="1"/>
    <col min="9215" max="9215" width="56.09765625" style="289" bestFit="1" customWidth="1"/>
    <col min="9216" max="9216" width="13" style="289" customWidth="1"/>
    <col min="9217" max="9217" width="11.296875" style="289" bestFit="1" customWidth="1"/>
    <col min="9218" max="9218" width="11.796875" style="289" customWidth="1"/>
    <col min="9219" max="9219" width="2.8984375" style="289" customWidth="1"/>
    <col min="9220" max="9220" width="13" style="289" bestFit="1" customWidth="1"/>
    <col min="9221" max="9221" width="14.8984375" style="289" bestFit="1" customWidth="1"/>
    <col min="9222" max="9222" width="13" style="289" bestFit="1" customWidth="1"/>
    <col min="9223" max="9468" width="8.19921875" style="289"/>
    <col min="9469" max="9469" width="4" style="289" bestFit="1" customWidth="1"/>
    <col min="9470" max="9470" width="9.8984375" style="289" customWidth="1"/>
    <col min="9471" max="9471" width="56.09765625" style="289" bestFit="1" customWidth="1"/>
    <col min="9472" max="9472" width="13" style="289" customWidth="1"/>
    <col min="9473" max="9473" width="11.296875" style="289" bestFit="1" customWidth="1"/>
    <col min="9474" max="9474" width="11.796875" style="289" customWidth="1"/>
    <col min="9475" max="9475" width="2.8984375" style="289" customWidth="1"/>
    <col min="9476" max="9476" width="13" style="289" bestFit="1" customWidth="1"/>
    <col min="9477" max="9477" width="14.8984375" style="289" bestFit="1" customWidth="1"/>
    <col min="9478" max="9478" width="13" style="289" bestFit="1" customWidth="1"/>
    <col min="9479" max="9724" width="8.19921875" style="289"/>
    <col min="9725" max="9725" width="4" style="289" bestFit="1" customWidth="1"/>
    <col min="9726" max="9726" width="9.8984375" style="289" customWidth="1"/>
    <col min="9727" max="9727" width="56.09765625" style="289" bestFit="1" customWidth="1"/>
    <col min="9728" max="9728" width="13" style="289" customWidth="1"/>
    <col min="9729" max="9729" width="11.296875" style="289" bestFit="1" customWidth="1"/>
    <col min="9730" max="9730" width="11.796875" style="289" customWidth="1"/>
    <col min="9731" max="9731" width="2.8984375" style="289" customWidth="1"/>
    <col min="9732" max="9732" width="13" style="289" bestFit="1" customWidth="1"/>
    <col min="9733" max="9733" width="14.8984375" style="289" bestFit="1" customWidth="1"/>
    <col min="9734" max="9734" width="13" style="289" bestFit="1" customWidth="1"/>
    <col min="9735" max="9980" width="8.19921875" style="289"/>
    <col min="9981" max="9981" width="4" style="289" bestFit="1" customWidth="1"/>
    <col min="9982" max="9982" width="9.8984375" style="289" customWidth="1"/>
    <col min="9983" max="9983" width="56.09765625" style="289" bestFit="1" customWidth="1"/>
    <col min="9984" max="9984" width="13" style="289" customWidth="1"/>
    <col min="9985" max="9985" width="11.296875" style="289" bestFit="1" customWidth="1"/>
    <col min="9986" max="9986" width="11.796875" style="289" customWidth="1"/>
    <col min="9987" max="9987" width="2.8984375" style="289" customWidth="1"/>
    <col min="9988" max="9988" width="13" style="289" bestFit="1" customWidth="1"/>
    <col min="9989" max="9989" width="14.8984375" style="289" bestFit="1" customWidth="1"/>
    <col min="9990" max="9990" width="13" style="289" bestFit="1" customWidth="1"/>
    <col min="9991" max="10236" width="8.19921875" style="289"/>
    <col min="10237" max="10237" width="4" style="289" bestFit="1" customWidth="1"/>
    <col min="10238" max="10238" width="9.8984375" style="289" customWidth="1"/>
    <col min="10239" max="10239" width="56.09765625" style="289" bestFit="1" customWidth="1"/>
    <col min="10240" max="10240" width="13" style="289" customWidth="1"/>
    <col min="10241" max="10241" width="11.296875" style="289" bestFit="1" customWidth="1"/>
    <col min="10242" max="10242" width="11.796875" style="289" customWidth="1"/>
    <col min="10243" max="10243" width="2.8984375" style="289" customWidth="1"/>
    <col min="10244" max="10244" width="13" style="289" bestFit="1" customWidth="1"/>
    <col min="10245" max="10245" width="14.8984375" style="289" bestFit="1" customWidth="1"/>
    <col min="10246" max="10246" width="13" style="289" bestFit="1" customWidth="1"/>
    <col min="10247" max="10492" width="8.19921875" style="289"/>
    <col min="10493" max="10493" width="4" style="289" bestFit="1" customWidth="1"/>
    <col min="10494" max="10494" width="9.8984375" style="289" customWidth="1"/>
    <col min="10495" max="10495" width="56.09765625" style="289" bestFit="1" customWidth="1"/>
    <col min="10496" max="10496" width="13" style="289" customWidth="1"/>
    <col min="10497" max="10497" width="11.296875" style="289" bestFit="1" customWidth="1"/>
    <col min="10498" max="10498" width="11.796875" style="289" customWidth="1"/>
    <col min="10499" max="10499" width="2.8984375" style="289" customWidth="1"/>
    <col min="10500" max="10500" width="13" style="289" bestFit="1" customWidth="1"/>
    <col min="10501" max="10501" width="14.8984375" style="289" bestFit="1" customWidth="1"/>
    <col min="10502" max="10502" width="13" style="289" bestFit="1" customWidth="1"/>
    <col min="10503" max="10748" width="8.19921875" style="289"/>
    <col min="10749" max="10749" width="4" style="289" bestFit="1" customWidth="1"/>
    <col min="10750" max="10750" width="9.8984375" style="289" customWidth="1"/>
    <col min="10751" max="10751" width="56.09765625" style="289" bestFit="1" customWidth="1"/>
    <col min="10752" max="10752" width="13" style="289" customWidth="1"/>
    <col min="10753" max="10753" width="11.296875" style="289" bestFit="1" customWidth="1"/>
    <col min="10754" max="10754" width="11.796875" style="289" customWidth="1"/>
    <col min="10755" max="10755" width="2.8984375" style="289" customWidth="1"/>
    <col min="10756" max="10756" width="13" style="289" bestFit="1" customWidth="1"/>
    <col min="10757" max="10757" width="14.8984375" style="289" bestFit="1" customWidth="1"/>
    <col min="10758" max="10758" width="13" style="289" bestFit="1" customWidth="1"/>
    <col min="10759" max="11004" width="8.19921875" style="289"/>
    <col min="11005" max="11005" width="4" style="289" bestFit="1" customWidth="1"/>
    <col min="11006" max="11006" width="9.8984375" style="289" customWidth="1"/>
    <col min="11007" max="11007" width="56.09765625" style="289" bestFit="1" customWidth="1"/>
    <col min="11008" max="11008" width="13" style="289" customWidth="1"/>
    <col min="11009" max="11009" width="11.296875" style="289" bestFit="1" customWidth="1"/>
    <col min="11010" max="11010" width="11.796875" style="289" customWidth="1"/>
    <col min="11011" max="11011" width="2.8984375" style="289" customWidth="1"/>
    <col min="11012" max="11012" width="13" style="289" bestFit="1" customWidth="1"/>
    <col min="11013" max="11013" width="14.8984375" style="289" bestFit="1" customWidth="1"/>
    <col min="11014" max="11014" width="13" style="289" bestFit="1" customWidth="1"/>
    <col min="11015" max="11260" width="8.19921875" style="289"/>
    <col min="11261" max="11261" width="4" style="289" bestFit="1" customWidth="1"/>
    <col min="11262" max="11262" width="9.8984375" style="289" customWidth="1"/>
    <col min="11263" max="11263" width="56.09765625" style="289" bestFit="1" customWidth="1"/>
    <col min="11264" max="11264" width="13" style="289" customWidth="1"/>
    <col min="11265" max="11265" width="11.296875" style="289" bestFit="1" customWidth="1"/>
    <col min="11266" max="11266" width="11.796875" style="289" customWidth="1"/>
    <col min="11267" max="11267" width="2.8984375" style="289" customWidth="1"/>
    <col min="11268" max="11268" width="13" style="289" bestFit="1" customWidth="1"/>
    <col min="11269" max="11269" width="14.8984375" style="289" bestFit="1" customWidth="1"/>
    <col min="11270" max="11270" width="13" style="289" bestFit="1" customWidth="1"/>
    <col min="11271" max="11516" width="8.19921875" style="289"/>
    <col min="11517" max="11517" width="4" style="289" bestFit="1" customWidth="1"/>
    <col min="11518" max="11518" width="9.8984375" style="289" customWidth="1"/>
    <col min="11519" max="11519" width="56.09765625" style="289" bestFit="1" customWidth="1"/>
    <col min="11520" max="11520" width="13" style="289" customWidth="1"/>
    <col min="11521" max="11521" width="11.296875" style="289" bestFit="1" customWidth="1"/>
    <col min="11522" max="11522" width="11.796875" style="289" customWidth="1"/>
    <col min="11523" max="11523" width="2.8984375" style="289" customWidth="1"/>
    <col min="11524" max="11524" width="13" style="289" bestFit="1" customWidth="1"/>
    <col min="11525" max="11525" width="14.8984375" style="289" bestFit="1" customWidth="1"/>
    <col min="11526" max="11526" width="13" style="289" bestFit="1" customWidth="1"/>
    <col min="11527" max="11772" width="8.19921875" style="289"/>
    <col min="11773" max="11773" width="4" style="289" bestFit="1" customWidth="1"/>
    <col min="11774" max="11774" width="9.8984375" style="289" customWidth="1"/>
    <col min="11775" max="11775" width="56.09765625" style="289" bestFit="1" customWidth="1"/>
    <col min="11776" max="11776" width="13" style="289" customWidth="1"/>
    <col min="11777" max="11777" width="11.296875" style="289" bestFit="1" customWidth="1"/>
    <col min="11778" max="11778" width="11.796875" style="289" customWidth="1"/>
    <col min="11779" max="11779" width="2.8984375" style="289" customWidth="1"/>
    <col min="11780" max="11780" width="13" style="289" bestFit="1" customWidth="1"/>
    <col min="11781" max="11781" width="14.8984375" style="289" bestFit="1" customWidth="1"/>
    <col min="11782" max="11782" width="13" style="289" bestFit="1" customWidth="1"/>
    <col min="11783" max="12028" width="8.19921875" style="289"/>
    <col min="12029" max="12029" width="4" style="289" bestFit="1" customWidth="1"/>
    <col min="12030" max="12030" width="9.8984375" style="289" customWidth="1"/>
    <col min="12031" max="12031" width="56.09765625" style="289" bestFit="1" customWidth="1"/>
    <col min="12032" max="12032" width="13" style="289" customWidth="1"/>
    <col min="12033" max="12033" width="11.296875" style="289" bestFit="1" customWidth="1"/>
    <col min="12034" max="12034" width="11.796875" style="289" customWidth="1"/>
    <col min="12035" max="12035" width="2.8984375" style="289" customWidth="1"/>
    <col min="12036" max="12036" width="13" style="289" bestFit="1" customWidth="1"/>
    <col min="12037" max="12037" width="14.8984375" style="289" bestFit="1" customWidth="1"/>
    <col min="12038" max="12038" width="13" style="289" bestFit="1" customWidth="1"/>
    <col min="12039" max="12284" width="8.19921875" style="289"/>
    <col min="12285" max="12285" width="4" style="289" bestFit="1" customWidth="1"/>
    <col min="12286" max="12286" width="9.8984375" style="289" customWidth="1"/>
    <col min="12287" max="12287" width="56.09765625" style="289" bestFit="1" customWidth="1"/>
    <col min="12288" max="12288" width="13" style="289" customWidth="1"/>
    <col min="12289" max="12289" width="11.296875" style="289" bestFit="1" customWidth="1"/>
    <col min="12290" max="12290" width="11.796875" style="289" customWidth="1"/>
    <col min="12291" max="12291" width="2.8984375" style="289" customWidth="1"/>
    <col min="12292" max="12292" width="13" style="289" bestFit="1" customWidth="1"/>
    <col min="12293" max="12293" width="14.8984375" style="289" bestFit="1" customWidth="1"/>
    <col min="12294" max="12294" width="13" style="289" bestFit="1" customWidth="1"/>
    <col min="12295" max="12540" width="8.19921875" style="289"/>
    <col min="12541" max="12541" width="4" style="289" bestFit="1" customWidth="1"/>
    <col min="12542" max="12542" width="9.8984375" style="289" customWidth="1"/>
    <col min="12543" max="12543" width="56.09765625" style="289" bestFit="1" customWidth="1"/>
    <col min="12544" max="12544" width="13" style="289" customWidth="1"/>
    <col min="12545" max="12545" width="11.296875" style="289" bestFit="1" customWidth="1"/>
    <col min="12546" max="12546" width="11.796875" style="289" customWidth="1"/>
    <col min="12547" max="12547" width="2.8984375" style="289" customWidth="1"/>
    <col min="12548" max="12548" width="13" style="289" bestFit="1" customWidth="1"/>
    <col min="12549" max="12549" width="14.8984375" style="289" bestFit="1" customWidth="1"/>
    <col min="12550" max="12550" width="13" style="289" bestFit="1" customWidth="1"/>
    <col min="12551" max="12796" width="8.19921875" style="289"/>
    <col min="12797" max="12797" width="4" style="289" bestFit="1" customWidth="1"/>
    <col min="12798" max="12798" width="9.8984375" style="289" customWidth="1"/>
    <col min="12799" max="12799" width="56.09765625" style="289" bestFit="1" customWidth="1"/>
    <col min="12800" max="12800" width="13" style="289" customWidth="1"/>
    <col min="12801" max="12801" width="11.296875" style="289" bestFit="1" customWidth="1"/>
    <col min="12802" max="12802" width="11.796875" style="289" customWidth="1"/>
    <col min="12803" max="12803" width="2.8984375" style="289" customWidth="1"/>
    <col min="12804" max="12804" width="13" style="289" bestFit="1" customWidth="1"/>
    <col min="12805" max="12805" width="14.8984375" style="289" bestFit="1" customWidth="1"/>
    <col min="12806" max="12806" width="13" style="289" bestFit="1" customWidth="1"/>
    <col min="12807" max="13052" width="8.19921875" style="289"/>
    <col min="13053" max="13053" width="4" style="289" bestFit="1" customWidth="1"/>
    <col min="13054" max="13054" width="9.8984375" style="289" customWidth="1"/>
    <col min="13055" max="13055" width="56.09765625" style="289" bestFit="1" customWidth="1"/>
    <col min="13056" max="13056" width="13" style="289" customWidth="1"/>
    <col min="13057" max="13057" width="11.296875" style="289" bestFit="1" customWidth="1"/>
    <col min="13058" max="13058" width="11.796875" style="289" customWidth="1"/>
    <col min="13059" max="13059" width="2.8984375" style="289" customWidth="1"/>
    <col min="13060" max="13060" width="13" style="289" bestFit="1" customWidth="1"/>
    <col min="13061" max="13061" width="14.8984375" style="289" bestFit="1" customWidth="1"/>
    <col min="13062" max="13062" width="13" style="289" bestFit="1" customWidth="1"/>
    <col min="13063" max="13308" width="8.19921875" style="289"/>
    <col min="13309" max="13309" width="4" style="289" bestFit="1" customWidth="1"/>
    <col min="13310" max="13310" width="9.8984375" style="289" customWidth="1"/>
    <col min="13311" max="13311" width="56.09765625" style="289" bestFit="1" customWidth="1"/>
    <col min="13312" max="13312" width="13" style="289" customWidth="1"/>
    <col min="13313" max="13313" width="11.296875" style="289" bestFit="1" customWidth="1"/>
    <col min="13314" max="13314" width="11.796875" style="289" customWidth="1"/>
    <col min="13315" max="13315" width="2.8984375" style="289" customWidth="1"/>
    <col min="13316" max="13316" width="13" style="289" bestFit="1" customWidth="1"/>
    <col min="13317" max="13317" width="14.8984375" style="289" bestFit="1" customWidth="1"/>
    <col min="13318" max="13318" width="13" style="289" bestFit="1" customWidth="1"/>
    <col min="13319" max="13564" width="8.19921875" style="289"/>
    <col min="13565" max="13565" width="4" style="289" bestFit="1" customWidth="1"/>
    <col min="13566" max="13566" width="9.8984375" style="289" customWidth="1"/>
    <col min="13567" max="13567" width="56.09765625" style="289" bestFit="1" customWidth="1"/>
    <col min="13568" max="13568" width="13" style="289" customWidth="1"/>
    <col min="13569" max="13569" width="11.296875" style="289" bestFit="1" customWidth="1"/>
    <col min="13570" max="13570" width="11.796875" style="289" customWidth="1"/>
    <col min="13571" max="13571" width="2.8984375" style="289" customWidth="1"/>
    <col min="13572" max="13572" width="13" style="289" bestFit="1" customWidth="1"/>
    <col min="13573" max="13573" width="14.8984375" style="289" bestFit="1" customWidth="1"/>
    <col min="13574" max="13574" width="13" style="289" bestFit="1" customWidth="1"/>
    <col min="13575" max="13820" width="8.19921875" style="289"/>
    <col min="13821" max="13821" width="4" style="289" bestFit="1" customWidth="1"/>
    <col min="13822" max="13822" width="9.8984375" style="289" customWidth="1"/>
    <col min="13823" max="13823" width="56.09765625" style="289" bestFit="1" customWidth="1"/>
    <col min="13824" max="13824" width="13" style="289" customWidth="1"/>
    <col min="13825" max="13825" width="11.296875" style="289" bestFit="1" customWidth="1"/>
    <col min="13826" max="13826" width="11.796875" style="289" customWidth="1"/>
    <col min="13827" max="13827" width="2.8984375" style="289" customWidth="1"/>
    <col min="13828" max="13828" width="13" style="289" bestFit="1" customWidth="1"/>
    <col min="13829" max="13829" width="14.8984375" style="289" bestFit="1" customWidth="1"/>
    <col min="13830" max="13830" width="13" style="289" bestFit="1" customWidth="1"/>
    <col min="13831" max="14076" width="8.19921875" style="289"/>
    <col min="14077" max="14077" width="4" style="289" bestFit="1" customWidth="1"/>
    <col min="14078" max="14078" width="9.8984375" style="289" customWidth="1"/>
    <col min="14079" max="14079" width="56.09765625" style="289" bestFit="1" customWidth="1"/>
    <col min="14080" max="14080" width="13" style="289" customWidth="1"/>
    <col min="14081" max="14081" width="11.296875" style="289" bestFit="1" customWidth="1"/>
    <col min="14082" max="14082" width="11.796875" style="289" customWidth="1"/>
    <col min="14083" max="14083" width="2.8984375" style="289" customWidth="1"/>
    <col min="14084" max="14084" width="13" style="289" bestFit="1" customWidth="1"/>
    <col min="14085" max="14085" width="14.8984375" style="289" bestFit="1" customWidth="1"/>
    <col min="14086" max="14086" width="13" style="289" bestFit="1" customWidth="1"/>
    <col min="14087" max="14332" width="8.19921875" style="289"/>
    <col min="14333" max="14333" width="4" style="289" bestFit="1" customWidth="1"/>
    <col min="14334" max="14334" width="9.8984375" style="289" customWidth="1"/>
    <col min="14335" max="14335" width="56.09765625" style="289" bestFit="1" customWidth="1"/>
    <col min="14336" max="14336" width="13" style="289" customWidth="1"/>
    <col min="14337" max="14337" width="11.296875" style="289" bestFit="1" customWidth="1"/>
    <col min="14338" max="14338" width="11.796875" style="289" customWidth="1"/>
    <col min="14339" max="14339" width="2.8984375" style="289" customWidth="1"/>
    <col min="14340" max="14340" width="13" style="289" bestFit="1" customWidth="1"/>
    <col min="14341" max="14341" width="14.8984375" style="289" bestFit="1" customWidth="1"/>
    <col min="14342" max="14342" width="13" style="289" bestFit="1" customWidth="1"/>
    <col min="14343" max="14588" width="8.19921875" style="289"/>
    <col min="14589" max="14589" width="4" style="289" bestFit="1" customWidth="1"/>
    <col min="14590" max="14590" width="9.8984375" style="289" customWidth="1"/>
    <col min="14591" max="14591" width="56.09765625" style="289" bestFit="1" customWidth="1"/>
    <col min="14592" max="14592" width="13" style="289" customWidth="1"/>
    <col min="14593" max="14593" width="11.296875" style="289" bestFit="1" customWidth="1"/>
    <col min="14594" max="14594" width="11.796875" style="289" customWidth="1"/>
    <col min="14595" max="14595" width="2.8984375" style="289" customWidth="1"/>
    <col min="14596" max="14596" width="13" style="289" bestFit="1" customWidth="1"/>
    <col min="14597" max="14597" width="14.8984375" style="289" bestFit="1" customWidth="1"/>
    <col min="14598" max="14598" width="13" style="289" bestFit="1" customWidth="1"/>
    <col min="14599" max="14844" width="8.19921875" style="289"/>
    <col min="14845" max="14845" width="4" style="289" bestFit="1" customWidth="1"/>
    <col min="14846" max="14846" width="9.8984375" style="289" customWidth="1"/>
    <col min="14847" max="14847" width="56.09765625" style="289" bestFit="1" customWidth="1"/>
    <col min="14848" max="14848" width="13" style="289" customWidth="1"/>
    <col min="14849" max="14849" width="11.296875" style="289" bestFit="1" customWidth="1"/>
    <col min="14850" max="14850" width="11.796875" style="289" customWidth="1"/>
    <col min="14851" max="14851" width="2.8984375" style="289" customWidth="1"/>
    <col min="14852" max="14852" width="13" style="289" bestFit="1" customWidth="1"/>
    <col min="14853" max="14853" width="14.8984375" style="289" bestFit="1" customWidth="1"/>
    <col min="14854" max="14854" width="13" style="289" bestFit="1" customWidth="1"/>
    <col min="14855" max="15100" width="8.19921875" style="289"/>
    <col min="15101" max="15101" width="4" style="289" bestFit="1" customWidth="1"/>
    <col min="15102" max="15102" width="9.8984375" style="289" customWidth="1"/>
    <col min="15103" max="15103" width="56.09765625" style="289" bestFit="1" customWidth="1"/>
    <col min="15104" max="15104" width="13" style="289" customWidth="1"/>
    <col min="15105" max="15105" width="11.296875" style="289" bestFit="1" customWidth="1"/>
    <col min="15106" max="15106" width="11.796875" style="289" customWidth="1"/>
    <col min="15107" max="15107" width="2.8984375" style="289" customWidth="1"/>
    <col min="15108" max="15108" width="13" style="289" bestFit="1" customWidth="1"/>
    <col min="15109" max="15109" width="14.8984375" style="289" bestFit="1" customWidth="1"/>
    <col min="15110" max="15110" width="13" style="289" bestFit="1" customWidth="1"/>
    <col min="15111" max="15356" width="8.19921875" style="289"/>
    <col min="15357" max="15357" width="4" style="289" bestFit="1" customWidth="1"/>
    <col min="15358" max="15358" width="9.8984375" style="289" customWidth="1"/>
    <col min="15359" max="15359" width="56.09765625" style="289" bestFit="1" customWidth="1"/>
    <col min="15360" max="15360" width="13" style="289" customWidth="1"/>
    <col min="15361" max="15361" width="11.296875" style="289" bestFit="1" customWidth="1"/>
    <col min="15362" max="15362" width="11.796875" style="289" customWidth="1"/>
    <col min="15363" max="15363" width="2.8984375" style="289" customWidth="1"/>
    <col min="15364" max="15364" width="13" style="289" bestFit="1" customWidth="1"/>
    <col min="15365" max="15365" width="14.8984375" style="289" bestFit="1" customWidth="1"/>
    <col min="15366" max="15366" width="13" style="289" bestFit="1" customWidth="1"/>
    <col min="15367" max="15612" width="8.19921875" style="289"/>
    <col min="15613" max="15613" width="4" style="289" bestFit="1" customWidth="1"/>
    <col min="15614" max="15614" width="9.8984375" style="289" customWidth="1"/>
    <col min="15615" max="15615" width="56.09765625" style="289" bestFit="1" customWidth="1"/>
    <col min="15616" max="15616" width="13" style="289" customWidth="1"/>
    <col min="15617" max="15617" width="11.296875" style="289" bestFit="1" customWidth="1"/>
    <col min="15618" max="15618" width="11.796875" style="289" customWidth="1"/>
    <col min="15619" max="15619" width="2.8984375" style="289" customWidth="1"/>
    <col min="15620" max="15620" width="13" style="289" bestFit="1" customWidth="1"/>
    <col min="15621" max="15621" width="14.8984375" style="289" bestFit="1" customWidth="1"/>
    <col min="15622" max="15622" width="13" style="289" bestFit="1" customWidth="1"/>
    <col min="15623" max="15868" width="8.19921875" style="289"/>
    <col min="15869" max="15869" width="4" style="289" bestFit="1" customWidth="1"/>
    <col min="15870" max="15870" width="9.8984375" style="289" customWidth="1"/>
    <col min="15871" max="15871" width="56.09765625" style="289" bestFit="1" customWidth="1"/>
    <col min="15872" max="15872" width="13" style="289" customWidth="1"/>
    <col min="15873" max="15873" width="11.296875" style="289" bestFit="1" customWidth="1"/>
    <col min="15874" max="15874" width="11.796875" style="289" customWidth="1"/>
    <col min="15875" max="15875" width="2.8984375" style="289" customWidth="1"/>
    <col min="15876" max="15876" width="13" style="289" bestFit="1" customWidth="1"/>
    <col min="15877" max="15877" width="14.8984375" style="289" bestFit="1" customWidth="1"/>
    <col min="15878" max="15878" width="13" style="289" bestFit="1" customWidth="1"/>
    <col min="15879" max="16124" width="8.19921875" style="289"/>
    <col min="16125" max="16125" width="4" style="289" bestFit="1" customWidth="1"/>
    <col min="16126" max="16126" width="9.8984375" style="289" customWidth="1"/>
    <col min="16127" max="16127" width="56.09765625" style="289" bestFit="1" customWidth="1"/>
    <col min="16128" max="16128" width="13" style="289" customWidth="1"/>
    <col min="16129" max="16129" width="11.296875" style="289" bestFit="1" customWidth="1"/>
    <col min="16130" max="16130" width="11.796875" style="289" customWidth="1"/>
    <col min="16131" max="16131" width="2.8984375" style="289" customWidth="1"/>
    <col min="16132" max="16132" width="13" style="289" bestFit="1" customWidth="1"/>
    <col min="16133" max="16133" width="14.8984375" style="289" bestFit="1" customWidth="1"/>
    <col min="16134" max="16134" width="13" style="289" bestFit="1" customWidth="1"/>
    <col min="16135" max="16384" width="8.19921875" style="289"/>
  </cols>
  <sheetData>
    <row r="1" spans="1:10">
      <c r="A1" s="480" t="s">
        <v>88</v>
      </c>
      <c r="B1" s="480"/>
      <c r="C1" s="480"/>
      <c r="D1" s="480"/>
      <c r="E1" s="480"/>
      <c r="F1" s="480"/>
      <c r="G1" s="480"/>
      <c r="H1" s="479"/>
      <c r="I1" s="289"/>
      <c r="J1" s="289"/>
    </row>
    <row r="2" spans="1:10">
      <c r="A2" s="480" t="s">
        <v>261</v>
      </c>
      <c r="B2" s="480"/>
      <c r="C2" s="480"/>
      <c r="D2" s="480"/>
      <c r="E2" s="480"/>
      <c r="F2" s="480"/>
      <c r="G2" s="480"/>
      <c r="H2" s="479"/>
      <c r="I2" s="289"/>
      <c r="J2" s="289"/>
    </row>
    <row r="3" spans="1:10">
      <c r="A3" s="290"/>
      <c r="B3" s="290"/>
      <c r="C3" s="290"/>
      <c r="D3" s="290"/>
      <c r="E3" s="290"/>
      <c r="F3" s="290"/>
      <c r="G3" s="290"/>
      <c r="H3" s="479"/>
      <c r="I3" s="479"/>
      <c r="J3" s="479"/>
    </row>
    <row r="4" spans="1:10">
      <c r="A4" s="291"/>
      <c r="B4" s="291"/>
      <c r="C4" s="291"/>
      <c r="D4" s="291"/>
      <c r="E4" s="291"/>
      <c r="F4" s="291"/>
      <c r="I4" s="291"/>
      <c r="J4" s="291"/>
    </row>
    <row r="5" spans="1:10" s="294" customFormat="1" ht="52.8">
      <c r="A5" s="292" t="s">
        <v>218</v>
      </c>
      <c r="B5" s="292" t="s">
        <v>262</v>
      </c>
      <c r="C5" s="293" t="s">
        <v>54</v>
      </c>
      <c r="D5" s="292" t="s">
        <v>263</v>
      </c>
      <c r="E5" s="292" t="s">
        <v>264</v>
      </c>
      <c r="F5" s="292" t="s">
        <v>1018</v>
      </c>
      <c r="I5" s="292" t="s">
        <v>1011</v>
      </c>
      <c r="J5" s="292" t="s">
        <v>1009</v>
      </c>
    </row>
    <row r="6" spans="1:10">
      <c r="D6" s="294" t="s">
        <v>223</v>
      </c>
      <c r="E6" s="294" t="s">
        <v>224</v>
      </c>
      <c r="F6" s="294" t="s">
        <v>225</v>
      </c>
      <c r="I6" s="294" t="s">
        <v>226</v>
      </c>
      <c r="J6" s="294" t="s">
        <v>1010</v>
      </c>
    </row>
    <row r="7" spans="1:10">
      <c r="A7" s="290">
        <v>1</v>
      </c>
      <c r="B7" s="290">
        <v>7</v>
      </c>
      <c r="C7" s="289" t="s">
        <v>30</v>
      </c>
    </row>
    <row r="8" spans="1:10">
      <c r="A8" s="290">
        <f>+A7+1</f>
        <v>2</v>
      </c>
      <c r="B8" s="290">
        <v>7</v>
      </c>
      <c r="C8" s="295" t="s">
        <v>265</v>
      </c>
      <c r="D8" s="297">
        <v>41043</v>
      </c>
      <c r="E8" s="298">
        <f>+'[1]Tariff 7'!$C$19</f>
        <v>7.49</v>
      </c>
      <c r="F8" s="298">
        <f>+'Exhibit No.__(JAP-Res RD)'!G14</f>
        <v>7.49</v>
      </c>
      <c r="I8" s="298">
        <f>+'[2]Exhibit No.__(JAP-Tariff)'!F8</f>
        <v>7.49</v>
      </c>
      <c r="J8" s="298">
        <f>+F8-I8</f>
        <v>0</v>
      </c>
    </row>
    <row r="9" spans="1:10">
      <c r="A9" s="290">
        <f t="shared" ref="A9:A69" si="0">+A8+1</f>
        <v>3</v>
      </c>
      <c r="B9" s="290">
        <v>7</v>
      </c>
      <c r="C9" s="295" t="s">
        <v>266</v>
      </c>
      <c r="D9" s="297">
        <v>41043</v>
      </c>
      <c r="E9" s="298">
        <f>+'[1]Tariff 7'!$C$20</f>
        <v>17.989999999999998</v>
      </c>
      <c r="F9" s="298">
        <f>+'Exhibit No.__(JAP-Res RD)'!G15</f>
        <v>17.989999999999998</v>
      </c>
      <c r="I9" s="298">
        <f>+'[2]Exhibit No.__(JAP-Tariff)'!F9</f>
        <v>17.989999999999998</v>
      </c>
      <c r="J9" s="298">
        <f>+F9-I9</f>
        <v>0</v>
      </c>
    </row>
    <row r="10" spans="1:10">
      <c r="A10" s="290">
        <f t="shared" si="0"/>
        <v>4</v>
      </c>
      <c r="B10" s="290">
        <f t="shared" ref="B10:B12" si="1">+$B$7</f>
        <v>7</v>
      </c>
      <c r="C10" s="295"/>
      <c r="D10" s="295"/>
      <c r="E10" s="296"/>
      <c r="F10" s="296"/>
      <c r="I10" s="298"/>
      <c r="J10" s="298"/>
    </row>
    <row r="11" spans="1:10">
      <c r="A11" s="290">
        <f t="shared" si="0"/>
        <v>5</v>
      </c>
      <c r="B11" s="290">
        <f t="shared" si="1"/>
        <v>7</v>
      </c>
      <c r="C11" s="295" t="s">
        <v>333</v>
      </c>
      <c r="D11" s="297">
        <v>41456</v>
      </c>
      <c r="E11" s="299">
        <f>+'[1]Tariff 7'!$C$26</f>
        <v>8.5578000000000001E-2</v>
      </c>
      <c r="F11" s="299">
        <f>+'Exhibit No.__(JAP-Res RD)'!G18</f>
        <v>8.7335999999999997E-2</v>
      </c>
      <c r="I11" s="299">
        <f>+'[2]Exhibit No.__(JAP-Tariff)'!F11</f>
        <v>9.1361999999999999E-2</v>
      </c>
      <c r="J11" s="299">
        <f t="shared" ref="J11:J12" si="2">+F11-I11</f>
        <v>-4.0260000000000018E-3</v>
      </c>
    </row>
    <row r="12" spans="1:10">
      <c r="A12" s="290">
        <f t="shared" si="0"/>
        <v>6</v>
      </c>
      <c r="B12" s="290">
        <f t="shared" si="1"/>
        <v>7</v>
      </c>
      <c r="C12" s="295" t="s">
        <v>334</v>
      </c>
      <c r="D12" s="297">
        <f>+D11</f>
        <v>41456</v>
      </c>
      <c r="E12" s="299">
        <f>+'[1]Tariff 7'!$C$27</f>
        <v>0.104157</v>
      </c>
      <c r="F12" s="299">
        <f>+'Exhibit No.__(JAP-Res RD)'!G19</f>
        <v>0.106297</v>
      </c>
      <c r="I12" s="299">
        <f>+'[2]Exhibit No.__(JAP-Tariff)'!F12</f>
        <v>0.111197</v>
      </c>
      <c r="J12" s="299">
        <f t="shared" si="2"/>
        <v>-4.9000000000000016E-3</v>
      </c>
    </row>
    <row r="13" spans="1:10">
      <c r="A13" s="333">
        <f t="shared" si="0"/>
        <v>7</v>
      </c>
    </row>
    <row r="14" spans="1:10">
      <c r="A14" s="290">
        <f t="shared" si="0"/>
        <v>8</v>
      </c>
      <c r="B14" s="290" t="s">
        <v>267</v>
      </c>
      <c r="C14" s="300" t="s">
        <v>268</v>
      </c>
      <c r="D14" s="300"/>
      <c r="E14" s="296"/>
      <c r="F14" s="296"/>
      <c r="I14" s="298"/>
      <c r="J14" s="298"/>
    </row>
    <row r="15" spans="1:10">
      <c r="A15" s="290">
        <f t="shared" si="0"/>
        <v>9</v>
      </c>
      <c r="B15" s="290" t="str">
        <f>+$B$14</f>
        <v>24 (08)</v>
      </c>
      <c r="C15" s="295" t="s">
        <v>265</v>
      </c>
      <c r="D15" s="297">
        <v>41043</v>
      </c>
      <c r="E15" s="298">
        <f>+'[1]Tariff 24'!$C$23</f>
        <v>9.66</v>
      </c>
      <c r="F15" s="296">
        <f ca="1">+'Exhibit No.__(JAP-SV RD)'!G15</f>
        <v>9.8000000000000007</v>
      </c>
      <c r="I15" s="298">
        <f>+'[2]Exhibit No.__(JAP-Tariff)'!F15</f>
        <v>10.11</v>
      </c>
      <c r="J15" s="298">
        <f t="shared" ref="J15:J16" ca="1" si="3">+F15-I15</f>
        <v>-0.30999999999999872</v>
      </c>
    </row>
    <row r="16" spans="1:10">
      <c r="A16" s="290">
        <f t="shared" si="0"/>
        <v>10</v>
      </c>
      <c r="B16" s="290" t="str">
        <f>+$B$14</f>
        <v>24 (08)</v>
      </c>
      <c r="C16" s="295" t="s">
        <v>266</v>
      </c>
      <c r="D16" s="297">
        <v>41043</v>
      </c>
      <c r="E16" s="298">
        <f>+'[1]Tariff 24'!$C$24</f>
        <v>24.55</v>
      </c>
      <c r="F16" s="296">
        <f ca="1">+'Exhibit No.__(JAP-SV RD)'!G16</f>
        <v>24.9</v>
      </c>
      <c r="I16" s="298">
        <f>+'[2]Exhibit No.__(JAP-Tariff)'!F16</f>
        <v>25.69</v>
      </c>
      <c r="J16" s="298">
        <f t="shared" ca="1" si="3"/>
        <v>-0.7900000000000027</v>
      </c>
    </row>
    <row r="17" spans="1:10">
      <c r="A17" s="290">
        <f t="shared" si="0"/>
        <v>11</v>
      </c>
      <c r="B17" s="290" t="str">
        <f>+$B$14</f>
        <v>24 (08)</v>
      </c>
      <c r="C17" s="295"/>
      <c r="D17" s="295"/>
      <c r="E17" s="296"/>
      <c r="F17" s="296"/>
      <c r="I17" s="298"/>
      <c r="J17" s="298"/>
    </row>
    <row r="18" spans="1:10">
      <c r="A18" s="290">
        <f t="shared" si="0"/>
        <v>12</v>
      </c>
      <c r="B18" s="290" t="str">
        <f>+$B$14</f>
        <v>24 (08)</v>
      </c>
      <c r="C18" s="295" t="s">
        <v>269</v>
      </c>
      <c r="D18" s="297">
        <v>41456</v>
      </c>
      <c r="E18" s="299">
        <f>+'[1]Tariff 24'!$C$30</f>
        <v>8.9456999999999995E-2</v>
      </c>
      <c r="F18" s="299">
        <f ca="1">+'Exhibit No.__(JAP-SV RD)'!G19</f>
        <v>9.071499999999999E-2</v>
      </c>
      <c r="I18" s="299">
        <f>+'[2]Exhibit No.__(JAP-Tariff)'!F18</f>
        <v>9.3608999999999998E-2</v>
      </c>
      <c r="J18" s="299">
        <f t="shared" ref="J18:J19" ca="1" si="4">+F18-I18</f>
        <v>-2.8940000000000077E-3</v>
      </c>
    </row>
    <row r="19" spans="1:10">
      <c r="A19" s="290">
        <f t="shared" si="0"/>
        <v>13</v>
      </c>
      <c r="B19" s="290" t="str">
        <f>+$B$14</f>
        <v>24 (08)</v>
      </c>
      <c r="C19" s="295" t="s">
        <v>270</v>
      </c>
      <c r="D19" s="297">
        <f>+D18</f>
        <v>41456</v>
      </c>
      <c r="E19" s="299">
        <f>+'[1]Tariff 24'!$C$31</f>
        <v>8.6359000000000005E-2</v>
      </c>
      <c r="F19" s="299">
        <f ca="1">+'Exhibit No.__(JAP-SV RD)'!G20</f>
        <v>8.7578000000000003E-2</v>
      </c>
      <c r="I19" s="299">
        <f>+'[2]Exhibit No.__(JAP-Tariff)'!F19</f>
        <v>9.0369000000000005E-2</v>
      </c>
      <c r="J19" s="299">
        <f t="shared" ca="1" si="4"/>
        <v>-2.7910000000000018E-3</v>
      </c>
    </row>
    <row r="20" spans="1:10">
      <c r="A20" s="290">
        <f t="shared" si="0"/>
        <v>14</v>
      </c>
    </row>
    <row r="21" spans="1:10">
      <c r="A21" s="290">
        <f t="shared" si="0"/>
        <v>15</v>
      </c>
      <c r="B21" s="301" t="s">
        <v>271</v>
      </c>
      <c r="C21" s="300" t="s">
        <v>272</v>
      </c>
      <c r="D21" s="300"/>
    </row>
    <row r="22" spans="1:10">
      <c r="A22" s="290">
        <f t="shared" si="0"/>
        <v>16</v>
      </c>
      <c r="B22" s="301" t="str">
        <f>+$B$21</f>
        <v>25 (7A) (11)</v>
      </c>
      <c r="C22" s="295" t="s">
        <v>273</v>
      </c>
      <c r="D22" s="297">
        <v>41043</v>
      </c>
      <c r="E22" s="298">
        <f>+'[1]Tariff 25'!$C$33</f>
        <v>51.67</v>
      </c>
      <c r="F22" s="296">
        <f ca="1">+'Exhibit No.__(JAP-SV RD)'!G31</f>
        <v>52.3</v>
      </c>
      <c r="I22" s="298">
        <f>+'[2]Exhibit No.__(JAP-Tariff)'!F22</f>
        <v>53.75</v>
      </c>
      <c r="J22" s="298">
        <f ca="1">+F22-I22</f>
        <v>-1.4500000000000028</v>
      </c>
    </row>
    <row r="23" spans="1:10">
      <c r="A23" s="290">
        <f t="shared" si="0"/>
        <v>17</v>
      </c>
      <c r="B23" s="301" t="str">
        <f t="shared" ref="B23:B32" si="5">+$B$21</f>
        <v>25 (7A) (11)</v>
      </c>
      <c r="C23" s="295"/>
      <c r="D23" s="295"/>
      <c r="E23" s="296"/>
      <c r="F23" s="296"/>
      <c r="I23" s="298"/>
      <c r="J23" s="298"/>
    </row>
    <row r="24" spans="1:10">
      <c r="A24" s="290">
        <f t="shared" si="0"/>
        <v>18</v>
      </c>
      <c r="B24" s="301" t="str">
        <f t="shared" si="5"/>
        <v>25 (7A) (11)</v>
      </c>
      <c r="C24" s="295" t="s">
        <v>274</v>
      </c>
      <c r="D24" s="297">
        <v>41456</v>
      </c>
      <c r="E24" s="299">
        <f>+'[1]Tariff 25'!$C$38</f>
        <v>8.9582999999999996E-2</v>
      </c>
      <c r="F24" s="299">
        <f ca="1">+'Exhibit No.__(JAP-SV RD)'!G33</f>
        <v>9.0753E-2</v>
      </c>
      <c r="I24" s="299">
        <f>+'[2]Exhibit No.__(JAP-Tariff)'!F24</f>
        <v>9.3432000000000001E-2</v>
      </c>
      <c r="J24" s="299">
        <f t="shared" ref="J24:J26" ca="1" si="6">+F24-I24</f>
        <v>-2.6790000000000008E-3</v>
      </c>
    </row>
    <row r="25" spans="1:10">
      <c r="A25" s="290">
        <f t="shared" si="0"/>
        <v>19</v>
      </c>
      <c r="B25" s="301" t="str">
        <f t="shared" si="5"/>
        <v>25 (7A) (11)</v>
      </c>
      <c r="C25" s="295" t="s">
        <v>275</v>
      </c>
      <c r="D25" s="297">
        <f>+D24</f>
        <v>41456</v>
      </c>
      <c r="E25" s="299">
        <f>+'[1]Tariff 25'!$C$39</f>
        <v>8.1430000000000002E-2</v>
      </c>
      <c r="F25" s="299">
        <f ca="1">+'Exhibit No.__(JAP-SV RD)'!G34</f>
        <v>8.2225999999999994E-2</v>
      </c>
      <c r="I25" s="299">
        <f>+'[2]Exhibit No.__(JAP-Tariff)'!F25</f>
        <v>8.4047999999999998E-2</v>
      </c>
      <c r="J25" s="299">
        <f t="shared" ca="1" si="6"/>
        <v>-1.8220000000000042E-3</v>
      </c>
    </row>
    <row r="26" spans="1:10">
      <c r="A26" s="290">
        <f t="shared" si="0"/>
        <v>20</v>
      </c>
      <c r="B26" s="301" t="str">
        <f t="shared" si="5"/>
        <v>25 (7A) (11)</v>
      </c>
      <c r="C26" s="295" t="s">
        <v>276</v>
      </c>
      <c r="D26" s="297">
        <f>+D25</f>
        <v>41456</v>
      </c>
      <c r="E26" s="299">
        <f>+'[1]Tariff 25'!$C$44</f>
        <v>6.4072000000000004E-2</v>
      </c>
      <c r="F26" s="299">
        <f>+'Exhibit No.__(JAP-SV RD)'!G35</f>
        <v>6.4072000000000004E-2</v>
      </c>
      <c r="I26" s="299">
        <f>+'[2]Exhibit No.__(JAP-Tariff)'!F26</f>
        <v>6.4072000000000004E-2</v>
      </c>
      <c r="J26" s="299">
        <f t="shared" si="6"/>
        <v>0</v>
      </c>
    </row>
    <row r="27" spans="1:10">
      <c r="A27" s="290">
        <f t="shared" si="0"/>
        <v>21</v>
      </c>
      <c r="B27" s="301" t="str">
        <f t="shared" si="5"/>
        <v>25 (7A) (11)</v>
      </c>
      <c r="C27" s="302"/>
      <c r="D27" s="297"/>
    </row>
    <row r="28" spans="1:10">
      <c r="A28" s="290">
        <f t="shared" si="0"/>
        <v>22</v>
      </c>
      <c r="B28" s="301" t="str">
        <f t="shared" si="5"/>
        <v>25 (7A) (11)</v>
      </c>
      <c r="C28" s="295" t="s">
        <v>277</v>
      </c>
      <c r="D28" s="297">
        <f>+$D$8</f>
        <v>41043</v>
      </c>
      <c r="E28" s="298">
        <v>0</v>
      </c>
      <c r="F28" s="298">
        <v>0</v>
      </c>
      <c r="I28" s="298">
        <f>+'[2]Exhibit No.__(JAP-Tariff)'!F28</f>
        <v>0</v>
      </c>
      <c r="J28" s="298">
        <f t="shared" ref="J28:J30" si="7">+F28-I28</f>
        <v>0</v>
      </c>
    </row>
    <row r="29" spans="1:10">
      <c r="A29" s="290">
        <f t="shared" si="0"/>
        <v>23</v>
      </c>
      <c r="B29" s="301" t="str">
        <f t="shared" si="5"/>
        <v>25 (7A) (11)</v>
      </c>
      <c r="C29" s="295" t="s">
        <v>278</v>
      </c>
      <c r="D29" s="297">
        <f>+$D$8</f>
        <v>41043</v>
      </c>
      <c r="E29" s="298">
        <f>+'[1]Tariff 25'!$C$51</f>
        <v>9.01</v>
      </c>
      <c r="F29" s="298">
        <f ca="1">+'Exhibit No.__(JAP-SV RD)'!G41</f>
        <v>9.42</v>
      </c>
      <c r="I29" s="298">
        <f>+'[2]Exhibit No.__(JAP-Tariff)'!F29</f>
        <v>10.37</v>
      </c>
      <c r="J29" s="298">
        <f t="shared" ca="1" si="7"/>
        <v>-0.94999999999999929</v>
      </c>
    </row>
    <row r="30" spans="1:10">
      <c r="A30" s="290">
        <f t="shared" si="0"/>
        <v>24</v>
      </c>
      <c r="B30" s="301" t="str">
        <f t="shared" si="5"/>
        <v>25 (7A) (11)</v>
      </c>
      <c r="C30" s="295" t="s">
        <v>279</v>
      </c>
      <c r="D30" s="297">
        <f>+$D$8</f>
        <v>41043</v>
      </c>
      <c r="E30" s="298">
        <f>+'[1]Tariff 25'!$C$52</f>
        <v>6.01</v>
      </c>
      <c r="F30" s="298">
        <f ca="1">+'Exhibit No.__(JAP-SV RD)'!G42</f>
        <v>6.29</v>
      </c>
      <c r="I30" s="298">
        <f>+'[2]Exhibit No.__(JAP-Tariff)'!F30</f>
        <v>6.92</v>
      </c>
      <c r="J30" s="298">
        <f t="shared" ca="1" si="7"/>
        <v>-0.62999999999999989</v>
      </c>
    </row>
    <row r="31" spans="1:10">
      <c r="A31" s="290">
        <f t="shared" si="0"/>
        <v>25</v>
      </c>
      <c r="B31" s="301" t="str">
        <f t="shared" si="5"/>
        <v>25 (7A) (11)</v>
      </c>
      <c r="C31" s="295"/>
      <c r="D31" s="295"/>
      <c r="E31" s="298"/>
      <c r="F31" s="298"/>
      <c r="I31" s="298"/>
      <c r="J31" s="298"/>
    </row>
    <row r="32" spans="1:10">
      <c r="A32" s="290">
        <f t="shared" si="0"/>
        <v>26</v>
      </c>
      <c r="B32" s="301" t="str">
        <f t="shared" si="5"/>
        <v>25 (7A) (11)</v>
      </c>
      <c r="C32" s="295" t="s">
        <v>280</v>
      </c>
      <c r="D32" s="297">
        <f>+$D$8</f>
        <v>41043</v>
      </c>
      <c r="E32" s="303">
        <f>+'[1]Tariff 25'!$C$57</f>
        <v>2.8300000000000001E-3</v>
      </c>
      <c r="F32" s="303">
        <f ca="1">+'Exhibit No.__(JAP-SV RD)'!G45</f>
        <v>2.96E-3</v>
      </c>
      <c r="I32" s="303">
        <f>+'[2]Exhibit No.__(JAP-Tariff)'!F32</f>
        <v>3.2599999999999999E-3</v>
      </c>
      <c r="J32" s="303">
        <f ca="1">+F32-I32</f>
        <v>-2.9999999999999992E-4</v>
      </c>
    </row>
    <row r="33" spans="1:10">
      <c r="A33" s="290">
        <f t="shared" si="0"/>
        <v>27</v>
      </c>
    </row>
    <row r="34" spans="1:10">
      <c r="A34" s="290">
        <f t="shared" si="0"/>
        <v>28</v>
      </c>
      <c r="B34" s="290" t="s">
        <v>281</v>
      </c>
      <c r="C34" s="300" t="s">
        <v>282</v>
      </c>
      <c r="D34" s="300"/>
    </row>
    <row r="35" spans="1:10">
      <c r="A35" s="290">
        <f t="shared" si="0"/>
        <v>29</v>
      </c>
      <c r="B35" s="290" t="str">
        <f>+$B$34</f>
        <v>26 (12)</v>
      </c>
      <c r="C35" s="295" t="s">
        <v>273</v>
      </c>
      <c r="D35" s="297">
        <f>+$D$8</f>
        <v>41043</v>
      </c>
      <c r="E35" s="298">
        <f>+'[1]Tariff 26'!$C$38</f>
        <v>104.46</v>
      </c>
      <c r="F35" s="296">
        <f ca="1">+'Exhibit No.__(JAP-SV RD)'!G65</f>
        <v>105.74</v>
      </c>
      <c r="I35" s="298">
        <f>+'[2]Exhibit No.__(JAP-Tariff)'!F35</f>
        <v>108.66</v>
      </c>
      <c r="J35" s="298">
        <f ca="1">+F35-I35</f>
        <v>-2.9200000000000017</v>
      </c>
    </row>
    <row r="36" spans="1:10">
      <c r="A36" s="290">
        <f t="shared" si="0"/>
        <v>30</v>
      </c>
      <c r="B36" s="290" t="str">
        <f t="shared" ref="B36:B52" si="8">+$B$34</f>
        <v>26 (12)</v>
      </c>
      <c r="C36" s="295"/>
      <c r="D36" s="295"/>
      <c r="E36" s="296"/>
      <c r="F36" s="296"/>
      <c r="I36" s="298"/>
      <c r="J36" s="298"/>
    </row>
    <row r="37" spans="1:10">
      <c r="A37" s="290">
        <f t="shared" si="0"/>
        <v>31</v>
      </c>
      <c r="B37" s="290" t="str">
        <f t="shared" si="8"/>
        <v>26 (12)</v>
      </c>
      <c r="C37" s="295" t="s">
        <v>283</v>
      </c>
      <c r="D37" s="297">
        <v>41640</v>
      </c>
      <c r="E37" s="299">
        <f>+'[1]Tariff 26'!$C$43</f>
        <v>5.6732999999999999E-2</v>
      </c>
      <c r="F37" s="299">
        <f ca="1">+'Exhibit No.__(JAP-SV RD)'!G67</f>
        <v>5.7180999999999996E-2</v>
      </c>
      <c r="I37" s="299">
        <f>+'[2]Exhibit No.__(JAP-Tariff)'!F37</f>
        <v>5.8765000000000005E-2</v>
      </c>
      <c r="J37" s="299">
        <f ca="1">+F37-I37</f>
        <v>-1.584000000000009E-3</v>
      </c>
    </row>
    <row r="38" spans="1:10">
      <c r="A38" s="290">
        <f t="shared" si="0"/>
        <v>32</v>
      </c>
      <c r="B38" s="290" t="str">
        <f t="shared" si="8"/>
        <v>26 (12)</v>
      </c>
      <c r="C38" s="302"/>
      <c r="D38" s="302"/>
    </row>
    <row r="39" spans="1:10">
      <c r="A39" s="290">
        <f t="shared" si="0"/>
        <v>33</v>
      </c>
      <c r="B39" s="290" t="str">
        <f t="shared" si="8"/>
        <v>26 (12)</v>
      </c>
      <c r="C39" s="295" t="s">
        <v>284</v>
      </c>
      <c r="D39" s="297">
        <v>41640</v>
      </c>
      <c r="E39" s="298">
        <f>+'[1]Tariff 26'!$C$53</f>
        <v>11.65</v>
      </c>
      <c r="F39" s="298">
        <f ca="1">+'Exhibit No.__(JAP-SV RD)'!G73</f>
        <v>11.91</v>
      </c>
      <c r="I39" s="298">
        <f>+'[2]Exhibit No.__(JAP-Tariff)'!F39</f>
        <v>12.24</v>
      </c>
      <c r="J39" s="298">
        <f t="shared" ref="J39:J40" ca="1" si="9">+F39-I39</f>
        <v>-0.33000000000000007</v>
      </c>
    </row>
    <row r="40" spans="1:10">
      <c r="A40" s="290">
        <f t="shared" si="0"/>
        <v>34</v>
      </c>
      <c r="B40" s="290" t="str">
        <f t="shared" si="8"/>
        <v>26 (12)</v>
      </c>
      <c r="C40" s="295" t="s">
        <v>285</v>
      </c>
      <c r="D40" s="297">
        <f>+D39</f>
        <v>41640</v>
      </c>
      <c r="E40" s="298">
        <f>+'[1]Tariff 26'!$C$54</f>
        <v>7.76</v>
      </c>
      <c r="F40" s="298">
        <f ca="1">+'Exhibit No.__(JAP-SV RD)'!G74</f>
        <v>7.94</v>
      </c>
      <c r="I40" s="298">
        <f>+'[2]Exhibit No.__(JAP-Tariff)'!F40</f>
        <v>8.16</v>
      </c>
      <c r="J40" s="298">
        <f t="shared" ca="1" si="9"/>
        <v>-0.21999999999999975</v>
      </c>
    </row>
    <row r="41" spans="1:10">
      <c r="A41" s="290">
        <f t="shared" si="0"/>
        <v>35</v>
      </c>
      <c r="B41" s="290" t="str">
        <f t="shared" si="8"/>
        <v>26 (12)</v>
      </c>
      <c r="C41" s="295"/>
      <c r="D41" s="295"/>
      <c r="E41" s="298"/>
      <c r="F41" s="298"/>
      <c r="I41" s="298"/>
      <c r="J41" s="298"/>
    </row>
    <row r="42" spans="1:10">
      <c r="A42" s="290">
        <f t="shared" si="0"/>
        <v>36</v>
      </c>
      <c r="B42" s="290" t="str">
        <f t="shared" si="8"/>
        <v>26 (12)</v>
      </c>
      <c r="C42" s="295" t="s">
        <v>280</v>
      </c>
      <c r="D42" s="297">
        <f>+$D$8</f>
        <v>41043</v>
      </c>
      <c r="E42" s="303">
        <f>+'[1]Tariff 26'!$C$60</f>
        <v>1.24E-3</v>
      </c>
      <c r="F42" s="303">
        <f ca="1">+'Exhibit No.__(JAP-SV RD)'!G77</f>
        <v>1.2600000000000001E-3</v>
      </c>
      <c r="I42" s="303">
        <f>+'[2]Exhibit No.__(JAP-Tariff)'!F42</f>
        <v>1.2899999999999999E-3</v>
      </c>
      <c r="J42" s="303">
        <f ca="1">+F42-I42</f>
        <v>-2.9999999999999862E-5</v>
      </c>
    </row>
    <row r="43" spans="1:10">
      <c r="A43" s="290">
        <f t="shared" si="0"/>
        <v>37</v>
      </c>
      <c r="B43" s="290" t="str">
        <f t="shared" si="8"/>
        <v>26 (12)</v>
      </c>
      <c r="C43" s="295"/>
      <c r="D43" s="297"/>
      <c r="E43" s="303"/>
      <c r="F43" s="303"/>
      <c r="I43" s="303"/>
      <c r="J43" s="303"/>
    </row>
    <row r="44" spans="1:10">
      <c r="A44" s="290">
        <f t="shared" si="0"/>
        <v>38</v>
      </c>
      <c r="B44" s="290" t="str">
        <f t="shared" si="8"/>
        <v>26 (12)</v>
      </c>
      <c r="C44" s="295" t="s">
        <v>286</v>
      </c>
      <c r="D44" s="297"/>
      <c r="E44" s="303"/>
      <c r="F44" s="303"/>
      <c r="I44" s="303"/>
      <c r="J44" s="303"/>
    </row>
    <row r="45" spans="1:10">
      <c r="A45" s="290">
        <f t="shared" si="0"/>
        <v>39</v>
      </c>
      <c r="B45" s="290" t="str">
        <f t="shared" si="8"/>
        <v>26 (12)</v>
      </c>
      <c r="C45" s="295" t="s">
        <v>287</v>
      </c>
      <c r="D45" s="297">
        <f>+$D$8</f>
        <v>41043</v>
      </c>
      <c r="E45" s="298">
        <f>+'[1]Tariff 26P'!$C$24</f>
        <v>235.05</v>
      </c>
      <c r="F45" s="298">
        <f ca="1">+'Exhibit No.__(JAP-SV RD)'!G86</f>
        <v>237.92000000000002</v>
      </c>
      <c r="I45" s="298">
        <f>+'[2]Exhibit No.__(JAP-Tariff)'!F45</f>
        <v>244.51000000000002</v>
      </c>
      <c r="J45" s="298">
        <f t="shared" ref="J45:J52" ca="1" si="10">+F45-I45</f>
        <v>-6.5900000000000034</v>
      </c>
    </row>
    <row r="46" spans="1:10">
      <c r="A46" s="290">
        <f t="shared" si="0"/>
        <v>40</v>
      </c>
      <c r="B46" s="290" t="str">
        <f t="shared" si="8"/>
        <v>26 (12)</v>
      </c>
      <c r="C46" s="295" t="s">
        <v>288</v>
      </c>
      <c r="D46" s="297">
        <f>+D40</f>
        <v>41640</v>
      </c>
      <c r="E46" s="298">
        <f>+'[1]Tariff 26P'!$C$39</f>
        <v>-0.35</v>
      </c>
      <c r="F46" s="298">
        <f ca="1">+'Exhibit No.__(JAP-SV RD)'!G98</f>
        <v>-0.39</v>
      </c>
      <c r="I46" s="298">
        <f>+'[2]Exhibit No.__(JAP-Tariff)'!F46</f>
        <v>-0.4</v>
      </c>
      <c r="J46" s="298">
        <f t="shared" ca="1" si="10"/>
        <v>1.0000000000000009E-2</v>
      </c>
    </row>
    <row r="47" spans="1:10">
      <c r="A47" s="290">
        <f t="shared" si="0"/>
        <v>41</v>
      </c>
      <c r="B47" s="290" t="str">
        <f t="shared" si="8"/>
        <v>26 (12)</v>
      </c>
      <c r="C47" s="295" t="s">
        <v>289</v>
      </c>
      <c r="D47" s="297">
        <f>+D46</f>
        <v>41640</v>
      </c>
      <c r="E47" s="327">
        <f>+'[1]Tariff 26P'!$C$49</f>
        <v>3.4500000000000003E-2</v>
      </c>
      <c r="F47" s="327">
        <f>+'Exhibit No.__(JAP-SV RD)'!L109</f>
        <v>3.9399999999999998E-2</v>
      </c>
      <c r="I47" s="327">
        <f>+'[2]Exhibit No.__(JAP-Tariff)'!F47</f>
        <v>3.9399999999999998E-2</v>
      </c>
      <c r="J47" s="327">
        <f t="shared" si="10"/>
        <v>0</v>
      </c>
    </row>
    <row r="48" spans="1:10">
      <c r="A48" s="290">
        <f t="shared" si="0"/>
        <v>42</v>
      </c>
      <c r="B48" s="290" t="str">
        <f t="shared" si="8"/>
        <v>26 (12)</v>
      </c>
      <c r="C48" s="304" t="s">
        <v>290</v>
      </c>
      <c r="D48" s="297">
        <f>+$D$8</f>
        <v>41043</v>
      </c>
      <c r="E48" s="298">
        <f>+E45+E35</f>
        <v>339.51</v>
      </c>
      <c r="F48" s="298">
        <f ca="1">+F45+F35</f>
        <v>343.66</v>
      </c>
      <c r="I48" s="298">
        <f>+'[2]Exhibit No.__(JAP-Tariff)'!F48</f>
        <v>353.17</v>
      </c>
      <c r="J48" s="298">
        <f t="shared" ca="1" si="10"/>
        <v>-9.5099999999999909</v>
      </c>
    </row>
    <row r="49" spans="1:10">
      <c r="A49" s="290">
        <f t="shared" si="0"/>
        <v>43</v>
      </c>
      <c r="B49" s="290" t="str">
        <f t="shared" si="8"/>
        <v>26 (12)</v>
      </c>
      <c r="C49" s="295" t="s">
        <v>291</v>
      </c>
      <c r="D49" s="297">
        <f>+D47</f>
        <v>41640</v>
      </c>
      <c r="E49" s="298">
        <f>+E46+E39</f>
        <v>11.3</v>
      </c>
      <c r="F49" s="298">
        <f ca="1">+F46+F39</f>
        <v>11.52</v>
      </c>
      <c r="I49" s="298">
        <f>+'[2]Exhibit No.__(JAP-Tariff)'!F49</f>
        <v>11.84</v>
      </c>
      <c r="J49" s="298">
        <f t="shared" ca="1" si="10"/>
        <v>-0.32000000000000028</v>
      </c>
    </row>
    <row r="50" spans="1:10">
      <c r="A50" s="290">
        <f t="shared" si="0"/>
        <v>44</v>
      </c>
      <c r="B50" s="290" t="str">
        <f t="shared" si="8"/>
        <v>26 (12)</v>
      </c>
      <c r="C50" s="295" t="s">
        <v>292</v>
      </c>
      <c r="D50" s="297">
        <f>+D49</f>
        <v>41640</v>
      </c>
      <c r="E50" s="298">
        <f>+E46+E40</f>
        <v>7.41</v>
      </c>
      <c r="F50" s="298">
        <f ca="1">+F46+F40</f>
        <v>7.5500000000000007</v>
      </c>
      <c r="I50" s="298">
        <f>+'[2]Exhibit No.__(JAP-Tariff)'!F50</f>
        <v>7.76</v>
      </c>
      <c r="J50" s="298">
        <f t="shared" ca="1" si="10"/>
        <v>-0.20999999999999908</v>
      </c>
    </row>
    <row r="51" spans="1:10">
      <c r="A51" s="290">
        <f t="shared" si="0"/>
        <v>45</v>
      </c>
      <c r="B51" s="290" t="str">
        <f t="shared" si="8"/>
        <v>26 (12)</v>
      </c>
      <c r="C51" s="304" t="s">
        <v>293</v>
      </c>
      <c r="D51" s="297">
        <f>+D50</f>
        <v>41640</v>
      </c>
      <c r="E51" s="299">
        <f>+E37+'[1]Tariff 26P'!$C$30</f>
        <v>5.4775999999999998E-2</v>
      </c>
      <c r="F51" s="299">
        <f ca="1">+F37-ROUND(F47*F37,6)</f>
        <v>5.4927999999999998E-2</v>
      </c>
      <c r="I51" s="299">
        <f>+'[2]Exhibit No.__(JAP-Tariff)'!F51</f>
        <v>5.6450000000000007E-2</v>
      </c>
      <c r="J51" s="299">
        <f t="shared" ca="1" si="10"/>
        <v>-1.5220000000000095E-3</v>
      </c>
    </row>
    <row r="52" spans="1:10">
      <c r="A52" s="290">
        <f t="shared" si="0"/>
        <v>46</v>
      </c>
      <c r="B52" s="290" t="str">
        <f t="shared" si="8"/>
        <v>26 (12)</v>
      </c>
      <c r="C52" s="295" t="s">
        <v>294</v>
      </c>
      <c r="D52" s="297">
        <f>+D51</f>
        <v>41640</v>
      </c>
      <c r="E52" s="303">
        <f>+E42+'[1]Tariff 26P'!$C$47</f>
        <v>1.1999999999999999E-3</v>
      </c>
      <c r="F52" s="303">
        <f ca="1">+F42-ROUND(F47*F42,5)</f>
        <v>1.2100000000000001E-3</v>
      </c>
      <c r="I52" s="303">
        <f>+'[2]Exhibit No.__(JAP-Tariff)'!F52</f>
        <v>1.24E-3</v>
      </c>
      <c r="J52" s="303">
        <f t="shared" ca="1" si="10"/>
        <v>-2.9999999999999862E-5</v>
      </c>
    </row>
    <row r="53" spans="1:10">
      <c r="A53" s="290">
        <f t="shared" si="0"/>
        <v>47</v>
      </c>
    </row>
    <row r="54" spans="1:10">
      <c r="A54" s="290">
        <f t="shared" si="0"/>
        <v>48</v>
      </c>
      <c r="B54" s="290">
        <v>29</v>
      </c>
      <c r="C54" s="300" t="s">
        <v>272</v>
      </c>
      <c r="D54" s="300"/>
    </row>
    <row r="55" spans="1:10">
      <c r="A55" s="290">
        <f t="shared" si="0"/>
        <v>49</v>
      </c>
      <c r="B55" s="290">
        <f>+$B$54</f>
        <v>29</v>
      </c>
      <c r="C55" s="295" t="s">
        <v>265</v>
      </c>
      <c r="D55" s="297">
        <f>+$D$8</f>
        <v>41043</v>
      </c>
      <c r="E55" s="298">
        <f>+'[1]Tariff 29'!$C$29</f>
        <v>9.56</v>
      </c>
      <c r="F55" s="296">
        <f ca="1">+'Exhibit No.__(JAP-SV RD)'!G116</f>
        <v>9.68</v>
      </c>
      <c r="I55" s="298">
        <f>+'[2]Exhibit No.__(JAP-Tariff)'!F55</f>
        <v>9.94</v>
      </c>
      <c r="J55" s="298">
        <f t="shared" ref="J55:J56" ca="1" si="11">+F55-I55</f>
        <v>-0.25999999999999979</v>
      </c>
    </row>
    <row r="56" spans="1:10">
      <c r="A56" s="290">
        <f t="shared" si="0"/>
        <v>50</v>
      </c>
      <c r="B56" s="290">
        <f t="shared" ref="B56:B67" si="12">+$B$54</f>
        <v>29</v>
      </c>
      <c r="C56" s="295" t="s">
        <v>266</v>
      </c>
      <c r="D56" s="297">
        <f>+$D$8</f>
        <v>41043</v>
      </c>
      <c r="E56" s="298">
        <f>+'[1]Tariff 29'!$C$30</f>
        <v>24.28</v>
      </c>
      <c r="F56" s="296">
        <f ca="1">+'Exhibit No.__(JAP-SV RD)'!G117</f>
        <v>24.58</v>
      </c>
      <c r="I56" s="298">
        <f>+'[2]Exhibit No.__(JAP-Tariff)'!F56</f>
        <v>25.26</v>
      </c>
      <c r="J56" s="298">
        <f t="shared" ca="1" si="11"/>
        <v>-0.68000000000000327</v>
      </c>
    </row>
    <row r="57" spans="1:10">
      <c r="A57" s="290">
        <f t="shared" si="0"/>
        <v>51</v>
      </c>
      <c r="B57" s="290">
        <f t="shared" si="12"/>
        <v>29</v>
      </c>
      <c r="C57" s="295"/>
      <c r="D57" s="295"/>
      <c r="E57" s="296"/>
      <c r="F57" s="296"/>
      <c r="I57" s="298"/>
      <c r="J57" s="298"/>
    </row>
    <row r="58" spans="1:10">
      <c r="A58" s="290">
        <f t="shared" si="0"/>
        <v>52</v>
      </c>
      <c r="B58" s="290">
        <f t="shared" si="12"/>
        <v>29</v>
      </c>
      <c r="C58" s="295" t="s">
        <v>274</v>
      </c>
      <c r="D58" s="297">
        <v>41456</v>
      </c>
      <c r="E58" s="299">
        <f>+'[1]Tariff 29'!$C$36</f>
        <v>8.9582999999999996E-2</v>
      </c>
      <c r="F58" s="299">
        <f ca="1">+'Exhibit No.__(JAP-SV RD)'!G120</f>
        <v>9.0677999999999995E-2</v>
      </c>
      <c r="I58" s="299">
        <f>+'[2]Exhibit No.__(JAP-Tariff)'!F58</f>
        <v>9.3187999999999993E-2</v>
      </c>
      <c r="J58" s="299">
        <f t="shared" ref="J58:J61" ca="1" si="13">+F58-I58</f>
        <v>-2.5099999999999983E-3</v>
      </c>
    </row>
    <row r="59" spans="1:10">
      <c r="A59" s="290">
        <f t="shared" si="0"/>
        <v>53</v>
      </c>
      <c r="B59" s="290">
        <f t="shared" si="12"/>
        <v>29</v>
      </c>
      <c r="C59" s="295" t="s">
        <v>295</v>
      </c>
      <c r="D59" s="297">
        <f>+D58</f>
        <v>41456</v>
      </c>
      <c r="E59" s="299">
        <f>+'[1]Tariff 29'!$C$37</f>
        <v>6.8035999999999999E-2</v>
      </c>
      <c r="F59" s="299">
        <f ca="1">+'Exhibit No.__(JAP-SV RD)'!G121</f>
        <v>6.8867999999999999E-2</v>
      </c>
      <c r="I59" s="299">
        <f>+'[2]Exhibit No.__(JAP-Tariff)'!F59</f>
        <v>7.0774000000000004E-2</v>
      </c>
      <c r="J59" s="299">
        <f t="shared" ca="1" si="13"/>
        <v>-1.9060000000000049E-3</v>
      </c>
    </row>
    <row r="60" spans="1:10">
      <c r="A60" s="290">
        <f t="shared" si="0"/>
        <v>54</v>
      </c>
      <c r="B60" s="290">
        <f t="shared" si="12"/>
        <v>29</v>
      </c>
      <c r="C60" s="295" t="s">
        <v>275</v>
      </c>
      <c r="D60" s="297">
        <f>+D59</f>
        <v>41456</v>
      </c>
      <c r="E60" s="299">
        <f>+'[1]Tariff 29'!$C$38</f>
        <v>6.2075999999999999E-2</v>
      </c>
      <c r="F60" s="299">
        <f ca="1">+'Exhibit No.__(JAP-SV RD)'!G122</f>
        <v>6.2835000000000002E-2</v>
      </c>
      <c r="I60" s="299">
        <f>+'[2]Exhibit No.__(JAP-Tariff)'!F60</f>
        <v>6.4574000000000006E-2</v>
      </c>
      <c r="J60" s="299">
        <f t="shared" ca="1" si="13"/>
        <v>-1.7390000000000044E-3</v>
      </c>
    </row>
    <row r="61" spans="1:10">
      <c r="A61" s="290">
        <f t="shared" si="0"/>
        <v>55</v>
      </c>
      <c r="B61" s="290">
        <f t="shared" si="12"/>
        <v>29</v>
      </c>
      <c r="C61" s="295" t="s">
        <v>296</v>
      </c>
      <c r="D61" s="297">
        <f>+D60</f>
        <v>41456</v>
      </c>
      <c r="E61" s="299">
        <f>+'[1]Tariff 29'!$C$48</f>
        <v>5.3189E-2</v>
      </c>
      <c r="F61" s="299">
        <f ca="1">+'Exhibit No.__(JAP-SV RD)'!G123</f>
        <v>5.3838999999999998E-2</v>
      </c>
      <c r="I61" s="299">
        <f>+'[2]Exhibit No.__(JAP-Tariff)'!F61</f>
        <v>5.5329000000000003E-2</v>
      </c>
      <c r="J61" s="299">
        <f t="shared" ca="1" si="13"/>
        <v>-1.4900000000000052E-3</v>
      </c>
    </row>
    <row r="62" spans="1:10">
      <c r="A62" s="290">
        <f t="shared" si="0"/>
        <v>56</v>
      </c>
      <c r="B62" s="290">
        <f t="shared" si="12"/>
        <v>29</v>
      </c>
      <c r="C62" s="302"/>
      <c r="D62" s="302"/>
    </row>
    <row r="63" spans="1:10">
      <c r="A63" s="290">
        <f t="shared" si="0"/>
        <v>57</v>
      </c>
      <c r="B63" s="290">
        <f t="shared" si="12"/>
        <v>29</v>
      </c>
      <c r="C63" s="295" t="s">
        <v>297</v>
      </c>
      <c r="D63" s="297">
        <f>+$D$8</f>
        <v>41043</v>
      </c>
      <c r="E63" s="298">
        <v>0</v>
      </c>
      <c r="F63" s="298">
        <v>0</v>
      </c>
      <c r="I63" s="298">
        <f>+'[2]Exhibit No.__(JAP-Tariff)'!F63</f>
        <v>0</v>
      </c>
      <c r="J63" s="298">
        <f t="shared" ref="J63:J65" si="14">+F63-I63</f>
        <v>0</v>
      </c>
    </row>
    <row r="64" spans="1:10">
      <c r="A64" s="290">
        <f t="shared" si="0"/>
        <v>58</v>
      </c>
      <c r="B64" s="290">
        <f t="shared" si="12"/>
        <v>29</v>
      </c>
      <c r="C64" s="295" t="s">
        <v>278</v>
      </c>
      <c r="D64" s="297">
        <f>+$D$8</f>
        <v>41043</v>
      </c>
      <c r="E64" s="298">
        <f>+'[1]Tariff 29'!$C$52</f>
        <v>8.83</v>
      </c>
      <c r="F64" s="298">
        <f ca="1">+'Exhibit No.__(JAP-SV RD)'!G130</f>
        <v>8.94</v>
      </c>
      <c r="I64" s="298">
        <f>+'[2]Exhibit No.__(JAP-Tariff)'!F64</f>
        <v>9.19</v>
      </c>
      <c r="J64" s="298">
        <f t="shared" ca="1" si="14"/>
        <v>-0.25</v>
      </c>
    </row>
    <row r="65" spans="1:10">
      <c r="A65" s="290">
        <f t="shared" si="0"/>
        <v>59</v>
      </c>
      <c r="B65" s="290">
        <f t="shared" si="12"/>
        <v>29</v>
      </c>
      <c r="C65" s="295" t="s">
        <v>279</v>
      </c>
      <c r="D65" s="297">
        <f>+$D$8</f>
        <v>41043</v>
      </c>
      <c r="E65" s="298">
        <f>+'[1]Tariff 29'!$C$53</f>
        <v>4.3499999999999996</v>
      </c>
      <c r="F65" s="298">
        <f ca="1">+'Exhibit No.__(JAP-SV RD)'!G131</f>
        <v>4.4000000000000004</v>
      </c>
      <c r="I65" s="298">
        <f>+'[2]Exhibit No.__(JAP-Tariff)'!F65</f>
        <v>4.53</v>
      </c>
      <c r="J65" s="298">
        <f t="shared" ca="1" si="14"/>
        <v>-0.12999999999999989</v>
      </c>
    </row>
    <row r="66" spans="1:10">
      <c r="A66" s="290">
        <f t="shared" si="0"/>
        <v>60</v>
      </c>
      <c r="B66" s="290">
        <f t="shared" si="12"/>
        <v>29</v>
      </c>
      <c r="C66" s="295"/>
      <c r="D66" s="295"/>
      <c r="E66" s="298"/>
      <c r="F66" s="298"/>
      <c r="I66" s="298"/>
      <c r="J66" s="298"/>
    </row>
    <row r="67" spans="1:10">
      <c r="A67" s="290">
        <f t="shared" si="0"/>
        <v>61</v>
      </c>
      <c r="B67" s="290">
        <f t="shared" si="12"/>
        <v>29</v>
      </c>
      <c r="C67" s="295" t="s">
        <v>280</v>
      </c>
      <c r="D67" s="297">
        <f>+D65</f>
        <v>41043</v>
      </c>
      <c r="E67" s="303">
        <f>+'[1]Tariff 29'!$C$56</f>
        <v>2.81E-3</v>
      </c>
      <c r="F67" s="303">
        <f ca="1">+'Exhibit No.__(JAP-SV RD)'!G134</f>
        <v>2.8400000000000001E-3</v>
      </c>
      <c r="I67" s="303">
        <f>+'[2]Exhibit No.__(JAP-Tariff)'!F67</f>
        <v>2.9199999999999999E-3</v>
      </c>
      <c r="J67" s="303">
        <f ca="1">+F67-I67</f>
        <v>-7.9999999999999776E-5</v>
      </c>
    </row>
    <row r="68" spans="1:10">
      <c r="A68" s="290">
        <f t="shared" si="0"/>
        <v>62</v>
      </c>
    </row>
    <row r="69" spans="1:10">
      <c r="A69" s="290">
        <f t="shared" si="0"/>
        <v>63</v>
      </c>
      <c r="B69" s="290" t="s">
        <v>298</v>
      </c>
      <c r="C69" s="300" t="s">
        <v>299</v>
      </c>
      <c r="D69" s="300"/>
      <c r="E69" s="298"/>
    </row>
    <row r="70" spans="1:10">
      <c r="A70" s="290">
        <f t="shared" ref="A70:A133" si="15">+A69+1</f>
        <v>64</v>
      </c>
      <c r="B70" s="290" t="str">
        <f>+$B$69</f>
        <v>31 (10)</v>
      </c>
      <c r="C70" s="295" t="s">
        <v>273</v>
      </c>
      <c r="D70" s="297">
        <f>+$D$8</f>
        <v>41043</v>
      </c>
      <c r="E70" s="298">
        <f>+'[1]Tariff 31'!$C$29</f>
        <v>339.51</v>
      </c>
      <c r="F70" s="296">
        <f ca="1">+'Exhibit No.__(JAP-PV RD)'!G15</f>
        <v>343.66</v>
      </c>
      <c r="I70" s="298">
        <f>+'[2]Exhibit No.__(JAP-Tariff)'!F70</f>
        <v>353.17</v>
      </c>
      <c r="J70" s="298">
        <f ca="1">+F70-I70</f>
        <v>-9.5099999999999909</v>
      </c>
    </row>
    <row r="71" spans="1:10">
      <c r="A71" s="290">
        <f t="shared" si="15"/>
        <v>65</v>
      </c>
      <c r="B71" s="290" t="str">
        <f t="shared" ref="B71:B77" si="16">+$B$69</f>
        <v>31 (10)</v>
      </c>
      <c r="C71" s="295"/>
      <c r="D71" s="295"/>
      <c r="E71" s="296"/>
      <c r="F71" s="296"/>
      <c r="I71" s="298"/>
      <c r="J71" s="298"/>
    </row>
    <row r="72" spans="1:10">
      <c r="A72" s="290">
        <f t="shared" si="15"/>
        <v>66</v>
      </c>
      <c r="B72" s="290" t="str">
        <f t="shared" si="16"/>
        <v>31 (10)</v>
      </c>
      <c r="C72" s="295" t="s">
        <v>300</v>
      </c>
      <c r="D72" s="297">
        <f>+D52</f>
        <v>41640</v>
      </c>
      <c r="E72" s="299">
        <f>+'[1]Tariff 31'!$C$34</f>
        <v>5.4346999999999999E-2</v>
      </c>
      <c r="F72" s="299">
        <f ca="1">+'Exhibit No.__(JAP-PV RD)'!G17</f>
        <v>5.5014E-2</v>
      </c>
      <c r="I72" s="299">
        <f>+'[2]Exhibit No.__(JAP-Tariff)'!F72</f>
        <v>5.6535000000000002E-2</v>
      </c>
      <c r="J72" s="299">
        <f ca="1">+F72-I72</f>
        <v>-1.5210000000000015E-3</v>
      </c>
    </row>
    <row r="73" spans="1:10">
      <c r="A73" s="290">
        <f t="shared" si="15"/>
        <v>67</v>
      </c>
      <c r="B73" s="290" t="str">
        <f t="shared" si="16"/>
        <v>31 (10)</v>
      </c>
      <c r="C73" s="302"/>
      <c r="D73" s="302"/>
    </row>
    <row r="74" spans="1:10">
      <c r="A74" s="290">
        <f t="shared" si="15"/>
        <v>68</v>
      </c>
      <c r="B74" s="290" t="str">
        <f t="shared" si="16"/>
        <v>31 (10)</v>
      </c>
      <c r="C74" s="295" t="s">
        <v>284</v>
      </c>
      <c r="D74" s="297">
        <f>+D72</f>
        <v>41640</v>
      </c>
      <c r="E74" s="298">
        <f>+'[1]Tariff 31'!$C$43</f>
        <v>11.32</v>
      </c>
      <c r="F74" s="298">
        <f ca="1">+'Exhibit No.__(JAP-PV RD)'!G23</f>
        <v>11.46</v>
      </c>
      <c r="I74" s="298">
        <f>+'[2]Exhibit No.__(JAP-Tariff)'!F74</f>
        <v>11.78</v>
      </c>
      <c r="J74" s="298">
        <f t="shared" ref="J74:J75" ca="1" si="17">+F74-I74</f>
        <v>-0.31999999999999851</v>
      </c>
    </row>
    <row r="75" spans="1:10">
      <c r="A75" s="290">
        <f t="shared" si="15"/>
        <v>69</v>
      </c>
      <c r="B75" s="290" t="str">
        <f t="shared" si="16"/>
        <v>31 (10)</v>
      </c>
      <c r="C75" s="295" t="s">
        <v>285</v>
      </c>
      <c r="D75" s="297">
        <f>+D74</f>
        <v>41640</v>
      </c>
      <c r="E75" s="298">
        <f>+'[1]Tariff 31'!$C$44</f>
        <v>7.55</v>
      </c>
      <c r="F75" s="298">
        <f ca="1">+'Exhibit No.__(JAP-PV RD)'!G24</f>
        <v>7.64</v>
      </c>
      <c r="I75" s="298">
        <f>+'[2]Exhibit No.__(JAP-Tariff)'!F75</f>
        <v>7.85</v>
      </c>
      <c r="J75" s="298">
        <f t="shared" ca="1" si="17"/>
        <v>-0.20999999999999996</v>
      </c>
    </row>
    <row r="76" spans="1:10">
      <c r="A76" s="290">
        <f t="shared" si="15"/>
        <v>70</v>
      </c>
      <c r="B76" s="290" t="str">
        <f t="shared" si="16"/>
        <v>31 (10)</v>
      </c>
      <c r="C76" s="295"/>
      <c r="D76" s="295"/>
      <c r="E76" s="298"/>
      <c r="F76" s="298"/>
      <c r="I76" s="298"/>
      <c r="J76" s="298"/>
    </row>
    <row r="77" spans="1:10">
      <c r="A77" s="290">
        <f t="shared" si="15"/>
        <v>71</v>
      </c>
      <c r="B77" s="290" t="str">
        <f t="shared" si="16"/>
        <v>31 (10)</v>
      </c>
      <c r="C77" s="295" t="s">
        <v>280</v>
      </c>
      <c r="D77" s="297">
        <f>+$D$8</f>
        <v>41043</v>
      </c>
      <c r="E77" s="303">
        <f>+'[1]Tariff 31'!$C$50</f>
        <v>1.06E-3</v>
      </c>
      <c r="F77" s="303">
        <f ca="1">+'Exhibit No.__(JAP-PV RD)'!G27</f>
        <v>1.07E-3</v>
      </c>
      <c r="I77" s="303">
        <f>+'[2]Exhibit No.__(JAP-Tariff)'!F77</f>
        <v>1.1000000000000001E-3</v>
      </c>
      <c r="J77" s="303">
        <f ca="1">+F77-I77</f>
        <v>-3.0000000000000079E-5</v>
      </c>
    </row>
    <row r="78" spans="1:10">
      <c r="A78" s="290">
        <f t="shared" si="15"/>
        <v>72</v>
      </c>
    </row>
    <row r="79" spans="1:10">
      <c r="A79" s="290">
        <f t="shared" si="15"/>
        <v>73</v>
      </c>
      <c r="B79" s="290">
        <v>35</v>
      </c>
      <c r="C79" s="300" t="s">
        <v>301</v>
      </c>
      <c r="D79" s="300"/>
    </row>
    <row r="80" spans="1:10">
      <c r="A80" s="290">
        <f t="shared" si="15"/>
        <v>74</v>
      </c>
      <c r="B80" s="290">
        <f>+$B$79</f>
        <v>35</v>
      </c>
      <c r="C80" s="295" t="s">
        <v>273</v>
      </c>
      <c r="D80" s="297">
        <f>+$D$8</f>
        <v>41043</v>
      </c>
      <c r="E80" s="298">
        <f>+'[1]Tariff 35'!$C$22</f>
        <v>339.51</v>
      </c>
      <c r="F80" s="296">
        <f ca="1">+'Exhibit No.__(JAP-PV RD)'!G37</f>
        <v>343.66</v>
      </c>
      <c r="I80" s="298">
        <f>+'[2]Exhibit No.__(JAP-Tariff)'!F80</f>
        <v>353.17</v>
      </c>
      <c r="J80" s="298">
        <f ca="1">+F80-I80</f>
        <v>-9.5099999999999909</v>
      </c>
    </row>
    <row r="81" spans="1:10">
      <c r="A81" s="290">
        <f t="shared" si="15"/>
        <v>75</v>
      </c>
      <c r="B81" s="290">
        <f t="shared" ref="B81:B87" si="18">+$B$79</f>
        <v>35</v>
      </c>
      <c r="C81" s="295"/>
      <c r="D81" s="295"/>
      <c r="E81" s="296"/>
      <c r="F81" s="296"/>
      <c r="I81" s="298"/>
      <c r="J81" s="298"/>
    </row>
    <row r="82" spans="1:10">
      <c r="A82" s="290">
        <f t="shared" si="15"/>
        <v>76</v>
      </c>
      <c r="B82" s="290">
        <f t="shared" si="18"/>
        <v>35</v>
      </c>
      <c r="C82" s="295" t="s">
        <v>300</v>
      </c>
      <c r="D82" s="297">
        <f>+D80</f>
        <v>41043</v>
      </c>
      <c r="E82" s="299">
        <f>+'[1]Tariff 35'!$C$27</f>
        <v>4.8598000000000002E-2</v>
      </c>
      <c r="F82" s="299">
        <f ca="1">+'Exhibit No.__(JAP-PV RD)'!G39</f>
        <v>4.9973999999999998E-2</v>
      </c>
      <c r="I82" s="299">
        <f>+'[2]Exhibit No.__(JAP-Tariff)'!F82</f>
        <v>5.3155000000000001E-2</v>
      </c>
      <c r="J82" s="299">
        <f ca="1">+F82-I82</f>
        <v>-3.1810000000000033E-3</v>
      </c>
    </row>
    <row r="83" spans="1:10">
      <c r="A83" s="290">
        <f t="shared" si="15"/>
        <v>77</v>
      </c>
      <c r="B83" s="290">
        <f t="shared" si="18"/>
        <v>35</v>
      </c>
      <c r="C83" s="302"/>
      <c r="D83" s="302"/>
    </row>
    <row r="84" spans="1:10">
      <c r="A84" s="290">
        <f t="shared" si="15"/>
        <v>78</v>
      </c>
      <c r="B84" s="290">
        <f t="shared" si="18"/>
        <v>35</v>
      </c>
      <c r="C84" s="295" t="s">
        <v>302</v>
      </c>
      <c r="D84" s="297">
        <f>+$D$8</f>
        <v>41043</v>
      </c>
      <c r="E84" s="298">
        <f>+'[1]Tariff 35'!$C$36</f>
        <v>4.49</v>
      </c>
      <c r="F84" s="298">
        <f ca="1">+'Exhibit No.__(JAP-PV RD)'!G45</f>
        <v>4.62</v>
      </c>
      <c r="I84" s="298">
        <f>+'[2]Exhibit No.__(JAP-Tariff)'!F84</f>
        <v>4.91</v>
      </c>
      <c r="J84" s="298">
        <f t="shared" ref="J84:J85" ca="1" si="19">+F84-I84</f>
        <v>-0.29000000000000004</v>
      </c>
    </row>
    <row r="85" spans="1:10">
      <c r="A85" s="290">
        <f t="shared" si="15"/>
        <v>79</v>
      </c>
      <c r="B85" s="290">
        <f t="shared" si="18"/>
        <v>35</v>
      </c>
      <c r="C85" s="295" t="s">
        <v>303</v>
      </c>
      <c r="D85" s="297">
        <f>+$D$8</f>
        <v>41043</v>
      </c>
      <c r="E85" s="298">
        <f>+'[1]Tariff 35'!$C$37</f>
        <v>2.99</v>
      </c>
      <c r="F85" s="298">
        <f ca="1">+'Exhibit No.__(JAP-PV RD)'!G46</f>
        <v>3.08</v>
      </c>
      <c r="I85" s="298">
        <f>+'[2]Exhibit No.__(JAP-Tariff)'!F85</f>
        <v>3.27</v>
      </c>
      <c r="J85" s="298">
        <f t="shared" ca="1" si="19"/>
        <v>-0.18999999999999995</v>
      </c>
    </row>
    <row r="86" spans="1:10">
      <c r="A86" s="290">
        <f t="shared" si="15"/>
        <v>80</v>
      </c>
      <c r="B86" s="290">
        <f t="shared" si="18"/>
        <v>35</v>
      </c>
      <c r="C86" s="295"/>
      <c r="D86" s="295"/>
      <c r="E86" s="298"/>
      <c r="F86" s="298"/>
      <c r="I86" s="298"/>
      <c r="J86" s="298"/>
    </row>
    <row r="87" spans="1:10">
      <c r="A87" s="290">
        <f t="shared" si="15"/>
        <v>81</v>
      </c>
      <c r="B87" s="290">
        <f t="shared" si="18"/>
        <v>35</v>
      </c>
      <c r="C87" s="295" t="s">
        <v>280</v>
      </c>
      <c r="D87" s="297">
        <f>+$D$8</f>
        <v>41043</v>
      </c>
      <c r="E87" s="303">
        <f>+'[1]Tariff 35'!$C$40</f>
        <v>1.08E-3</v>
      </c>
      <c r="F87" s="303">
        <f ca="1">+'Exhibit No.__(JAP-PV RD)'!G49</f>
        <v>1.1100000000000001E-3</v>
      </c>
      <c r="I87" s="303">
        <f>+'[2]Exhibit No.__(JAP-Tariff)'!F87</f>
        <v>1.1800000000000001E-3</v>
      </c>
      <c r="J87" s="303">
        <f ca="1">+F87-I87</f>
        <v>-6.9999999999999967E-5</v>
      </c>
    </row>
    <row r="88" spans="1:10">
      <c r="A88" s="290">
        <f t="shared" si="15"/>
        <v>82</v>
      </c>
    </row>
    <row r="89" spans="1:10">
      <c r="A89" s="290">
        <f t="shared" si="15"/>
        <v>83</v>
      </c>
      <c r="B89" s="290">
        <v>43</v>
      </c>
      <c r="C89" s="300" t="s">
        <v>304</v>
      </c>
      <c r="D89" s="300"/>
    </row>
    <row r="90" spans="1:10">
      <c r="A90" s="290">
        <f t="shared" si="15"/>
        <v>84</v>
      </c>
      <c r="B90" s="290">
        <f>+$B$89</f>
        <v>43</v>
      </c>
      <c r="C90" s="295" t="s">
        <v>273</v>
      </c>
      <c r="D90" s="297">
        <f>+$D$8</f>
        <v>41043</v>
      </c>
      <c r="E90" s="298">
        <f>+'[1]Tariff 43'!$C$19</f>
        <v>339.51</v>
      </c>
      <c r="F90" s="296">
        <f ca="1">+'Exhibit No.__(JAP-PV RD)'!G60</f>
        <v>343.66</v>
      </c>
      <c r="I90" s="298">
        <f>+'[2]Exhibit No.__(JAP-Tariff)'!F90</f>
        <v>353.17</v>
      </c>
      <c r="J90" s="298">
        <f ca="1">+F90-I90</f>
        <v>-9.5099999999999909</v>
      </c>
    </row>
    <row r="91" spans="1:10">
      <c r="A91" s="290">
        <f t="shared" si="15"/>
        <v>85</v>
      </c>
      <c r="B91" s="290">
        <f t="shared" ref="B91:B98" si="20">+$B$89</f>
        <v>43</v>
      </c>
      <c r="C91" s="295"/>
      <c r="D91" s="295"/>
      <c r="E91" s="296"/>
      <c r="F91" s="296"/>
      <c r="I91" s="298"/>
      <c r="J91" s="298"/>
    </row>
    <row r="92" spans="1:10">
      <c r="A92" s="290">
        <f t="shared" si="15"/>
        <v>86</v>
      </c>
      <c r="B92" s="290">
        <f t="shared" si="20"/>
        <v>43</v>
      </c>
      <c r="C92" s="295" t="s">
        <v>300</v>
      </c>
      <c r="D92" s="297">
        <f>+D58</f>
        <v>41456</v>
      </c>
      <c r="E92" s="299">
        <f>+'[1]Tariff 43'!$C$24</f>
        <v>5.5893999999999999E-2</v>
      </c>
      <c r="F92" s="299">
        <f ca="1">+'Exhibit No.__(JAP-PV RD)'!G62</f>
        <v>5.7135999999999999E-2</v>
      </c>
      <c r="I92" s="299">
        <f>+'[2]Exhibit No.__(JAP-Tariff)'!F92</f>
        <v>6.0020999999999998E-2</v>
      </c>
      <c r="J92" s="299">
        <f ca="1">+F92-I92</f>
        <v>-2.8849999999999987E-3</v>
      </c>
    </row>
    <row r="93" spans="1:10">
      <c r="A93" s="290">
        <f t="shared" si="15"/>
        <v>87</v>
      </c>
      <c r="B93" s="290">
        <f t="shared" si="20"/>
        <v>43</v>
      </c>
      <c r="C93" s="302"/>
      <c r="D93" s="302"/>
    </row>
    <row r="94" spans="1:10">
      <c r="A94" s="290">
        <f t="shared" si="15"/>
        <v>88</v>
      </c>
      <c r="B94" s="290">
        <f t="shared" si="20"/>
        <v>43</v>
      </c>
      <c r="C94" s="295" t="s">
        <v>305</v>
      </c>
      <c r="D94" s="297">
        <f>+$D$8</f>
        <v>41043</v>
      </c>
      <c r="E94" s="298">
        <f>+'[1]Tariff 43'!$C$33</f>
        <v>4.75</v>
      </c>
      <c r="F94" s="298">
        <f ca="1">+'Exhibit No.__(JAP-PV RD)'!G68</f>
        <v>4.8099999999999996</v>
      </c>
      <c r="I94" s="298">
        <f>+'[2]Exhibit No.__(JAP-Tariff)'!F94</f>
        <v>4.9400000000000004</v>
      </c>
      <c r="J94" s="298">
        <f ca="1">+F94-I94</f>
        <v>-0.13000000000000078</v>
      </c>
    </row>
    <row r="95" spans="1:10">
      <c r="A95" s="290">
        <f t="shared" si="15"/>
        <v>89</v>
      </c>
      <c r="B95" s="290">
        <f t="shared" si="20"/>
        <v>43</v>
      </c>
      <c r="C95" s="295"/>
      <c r="D95" s="295"/>
      <c r="E95" s="298"/>
      <c r="F95" s="298"/>
      <c r="I95" s="298"/>
      <c r="J95" s="298"/>
    </row>
    <row r="96" spans="1:10">
      <c r="A96" s="290">
        <f t="shared" si="15"/>
        <v>90</v>
      </c>
      <c r="B96" s="290">
        <f t="shared" si="20"/>
        <v>43</v>
      </c>
      <c r="C96" s="295" t="s">
        <v>306</v>
      </c>
      <c r="D96" s="297">
        <f>+$D$8</f>
        <v>41043</v>
      </c>
      <c r="E96" s="298">
        <f>+'[1]Tariff 43'!$C$34</f>
        <v>3.89</v>
      </c>
      <c r="F96" s="298">
        <f ca="1">+'Exhibit No.__(JAP-PV RD)'!G71</f>
        <v>6.65</v>
      </c>
      <c r="I96" s="298">
        <f>+'[2]Exhibit No.__(JAP-Tariff)'!F96</f>
        <v>6.84</v>
      </c>
      <c r="J96" s="298">
        <f ca="1">+F96-I96</f>
        <v>-0.1899999999999995</v>
      </c>
    </row>
    <row r="97" spans="1:10">
      <c r="A97" s="290">
        <f t="shared" si="15"/>
        <v>91</v>
      </c>
      <c r="B97" s="290">
        <f t="shared" si="20"/>
        <v>43</v>
      </c>
      <c r="F97" s="296"/>
      <c r="I97" s="298"/>
      <c r="J97" s="298"/>
    </row>
    <row r="98" spans="1:10">
      <c r="A98" s="290">
        <f t="shared" si="15"/>
        <v>92</v>
      </c>
      <c r="B98" s="290">
        <f t="shared" si="20"/>
        <v>43</v>
      </c>
      <c r="C98" s="295" t="s">
        <v>280</v>
      </c>
      <c r="D98" s="297">
        <f>+$D$8</f>
        <v>41043</v>
      </c>
      <c r="E98" s="303">
        <f>+'[1]Tariff 43'!$C$38</f>
        <v>3.0000000000000001E-3</v>
      </c>
      <c r="F98" s="303">
        <f ca="1">+'Exhibit No.__(JAP-PV RD)'!G73</f>
        <v>3.0400000000000002E-3</v>
      </c>
      <c r="I98" s="303">
        <f>+'[2]Exhibit No.__(JAP-Tariff)'!F98</f>
        <v>3.1199999999999999E-3</v>
      </c>
      <c r="J98" s="303">
        <f ca="1">+F98-I98</f>
        <v>-7.9999999999999776E-5</v>
      </c>
    </row>
    <row r="99" spans="1:10">
      <c r="A99" s="290">
        <f t="shared" si="15"/>
        <v>93</v>
      </c>
    </row>
    <row r="100" spans="1:10">
      <c r="A100" s="290">
        <f t="shared" si="15"/>
        <v>94</v>
      </c>
      <c r="B100" s="305"/>
      <c r="C100" s="305"/>
      <c r="D100" s="305"/>
      <c r="E100" s="305"/>
      <c r="F100" s="305"/>
      <c r="I100" s="305"/>
      <c r="J100" s="305"/>
    </row>
    <row r="101" spans="1:10">
      <c r="A101" s="290">
        <f t="shared" si="15"/>
        <v>95</v>
      </c>
      <c r="B101" s="306">
        <v>40</v>
      </c>
      <c r="C101" s="307" t="s">
        <v>307</v>
      </c>
      <c r="D101" s="308"/>
      <c r="E101" s="305"/>
      <c r="F101" s="305"/>
      <c r="I101" s="305"/>
      <c r="J101" s="305"/>
    </row>
    <row r="102" spans="1:10">
      <c r="A102" s="290">
        <f t="shared" si="15"/>
        <v>96</v>
      </c>
      <c r="B102" s="306">
        <f>+$B$101</f>
        <v>40</v>
      </c>
      <c r="C102" s="309" t="s">
        <v>273</v>
      </c>
      <c r="D102" s="310"/>
      <c r="E102" s="311"/>
      <c r="F102" s="312"/>
      <c r="I102" s="312"/>
      <c r="J102" s="312"/>
    </row>
    <row r="103" spans="1:10">
      <c r="A103" s="290">
        <f t="shared" si="15"/>
        <v>97</v>
      </c>
      <c r="B103" s="306">
        <f t="shared" ref="B103:B149" si="21">+$B$101</f>
        <v>40</v>
      </c>
      <c r="C103" s="323" t="s">
        <v>308</v>
      </c>
      <c r="D103" s="297">
        <f>+D22</f>
        <v>41043</v>
      </c>
      <c r="E103" s="311">
        <f>+'[1]Tariff 40'!C70</f>
        <v>51.67</v>
      </c>
      <c r="F103" s="312">
        <f ca="1">+'Exhibit No.__(JAP-CAMP RD)'!H15</f>
        <v>52.3</v>
      </c>
      <c r="I103" s="312">
        <f>+'[2]Exhibit No.__(JAP-Tariff)'!F103</f>
        <v>53.75</v>
      </c>
      <c r="J103" s="312">
        <f t="shared" ref="J103:J105" ca="1" si="22">+F103-I103</f>
        <v>-1.4500000000000028</v>
      </c>
    </row>
    <row r="104" spans="1:10">
      <c r="A104" s="290">
        <f t="shared" si="15"/>
        <v>98</v>
      </c>
      <c r="B104" s="306">
        <f t="shared" si="21"/>
        <v>40</v>
      </c>
      <c r="C104" s="324" t="s">
        <v>309</v>
      </c>
      <c r="D104" s="297">
        <f>+D35</f>
        <v>41043</v>
      </c>
      <c r="E104" s="311">
        <f>+'[1]Tariff 40'!C71</f>
        <v>104.46</v>
      </c>
      <c r="F104" s="312">
        <f ca="1">+'Exhibit No.__(JAP-CAMP RD)'!H16</f>
        <v>105.74</v>
      </c>
      <c r="I104" s="312">
        <f>+'[2]Exhibit No.__(JAP-Tariff)'!F104</f>
        <v>108.66</v>
      </c>
      <c r="J104" s="312">
        <f t="shared" ca="1" si="22"/>
        <v>-2.9200000000000017</v>
      </c>
    </row>
    <row r="105" spans="1:10">
      <c r="A105" s="290">
        <f t="shared" si="15"/>
        <v>99</v>
      </c>
      <c r="B105" s="306">
        <f t="shared" si="21"/>
        <v>40</v>
      </c>
      <c r="C105" s="323" t="s">
        <v>147</v>
      </c>
      <c r="D105" s="297">
        <f>+D70</f>
        <v>41043</v>
      </c>
      <c r="E105" s="311">
        <f>+'[1]Tariff 40'!C72</f>
        <v>339.51</v>
      </c>
      <c r="F105" s="312">
        <f ca="1">+'Exhibit No.__(JAP-CAMP RD)'!H17</f>
        <v>343.66</v>
      </c>
      <c r="I105" s="312">
        <f>+'[2]Exhibit No.__(JAP-Tariff)'!F105</f>
        <v>353.17</v>
      </c>
      <c r="J105" s="312">
        <f t="shared" ca="1" si="22"/>
        <v>-9.5099999999999909</v>
      </c>
    </row>
    <row r="106" spans="1:10">
      <c r="A106" s="290">
        <f t="shared" si="15"/>
        <v>100</v>
      </c>
      <c r="B106" s="306">
        <f t="shared" si="21"/>
        <v>40</v>
      </c>
      <c r="C106" s="309"/>
      <c r="D106" s="310"/>
      <c r="E106" s="312"/>
      <c r="F106" s="312"/>
      <c r="I106" s="312"/>
      <c r="J106" s="312"/>
    </row>
    <row r="107" spans="1:10">
      <c r="A107" s="290">
        <f t="shared" si="15"/>
        <v>101</v>
      </c>
      <c r="B107" s="306">
        <f t="shared" si="21"/>
        <v>40</v>
      </c>
      <c r="C107" s="309" t="s">
        <v>310</v>
      </c>
      <c r="D107" s="310"/>
      <c r="E107" s="275"/>
      <c r="F107" s="275"/>
      <c r="I107" s="275"/>
      <c r="J107" s="275"/>
    </row>
    <row r="108" spans="1:10">
      <c r="A108" s="290">
        <f t="shared" si="15"/>
        <v>102</v>
      </c>
      <c r="B108" s="306">
        <f t="shared" si="21"/>
        <v>40</v>
      </c>
      <c r="C108" s="323" t="s">
        <v>308</v>
      </c>
      <c r="D108" s="297">
        <f>+D92</f>
        <v>41456</v>
      </c>
      <c r="E108" s="275">
        <f>+'[1]Tariff 40'!$C$79</f>
        <v>5.6638000000000001E-2</v>
      </c>
      <c r="F108" s="275">
        <f ca="1">+'Exhibit No.__(JAP-CAMP RD)'!H21</f>
        <v>5.3848E-2</v>
      </c>
      <c r="I108" s="275">
        <f>+'[2]Exhibit No.__(JAP-Tariff)'!F108</f>
        <v>5.5745999999999997E-2</v>
      </c>
      <c r="J108" s="275">
        <f t="shared" ref="J108:J111" ca="1" si="23">+F108-I108</f>
        <v>-1.8979999999999969E-3</v>
      </c>
    </row>
    <row r="109" spans="1:10">
      <c r="A109" s="290">
        <f t="shared" si="15"/>
        <v>103</v>
      </c>
      <c r="B109" s="306">
        <f t="shared" si="21"/>
        <v>40</v>
      </c>
      <c r="C109" s="324" t="s">
        <v>309</v>
      </c>
      <c r="D109" s="297">
        <f>+D108</f>
        <v>41456</v>
      </c>
      <c r="E109" s="275">
        <f>+E108</f>
        <v>5.6638000000000001E-2</v>
      </c>
      <c r="F109" s="275">
        <f ca="1">+F108</f>
        <v>5.3848E-2</v>
      </c>
      <c r="I109" s="275">
        <f>+'[2]Exhibit No.__(JAP-Tariff)'!F109</f>
        <v>5.5745999999999997E-2</v>
      </c>
      <c r="J109" s="275">
        <f t="shared" ca="1" si="23"/>
        <v>-1.8979999999999969E-3</v>
      </c>
    </row>
    <row r="110" spans="1:10">
      <c r="A110" s="290">
        <f t="shared" si="15"/>
        <v>104</v>
      </c>
      <c r="B110" s="306">
        <f t="shared" si="21"/>
        <v>40</v>
      </c>
      <c r="C110" s="323" t="s">
        <v>147</v>
      </c>
      <c r="D110" s="297">
        <f>+D109</f>
        <v>41456</v>
      </c>
      <c r="E110" s="275">
        <f>+'[1]Tariff 40'!$C$80</f>
        <v>5.5190999999999997E-2</v>
      </c>
      <c r="F110" s="275">
        <f ca="1">+'Exhibit No.__(JAP-CAMP RD)'!H22</f>
        <v>5.1728999999999997E-2</v>
      </c>
      <c r="I110" s="275">
        <f>+'[2]Exhibit No.__(JAP-Tariff)'!F110</f>
        <v>5.3552000000000002E-2</v>
      </c>
      <c r="J110" s="275">
        <f t="shared" ca="1" si="23"/>
        <v>-1.8230000000000052E-3</v>
      </c>
    </row>
    <row r="111" spans="1:10">
      <c r="A111" s="290">
        <f t="shared" si="15"/>
        <v>105</v>
      </c>
      <c r="B111" s="306">
        <f t="shared" si="21"/>
        <v>40</v>
      </c>
      <c r="C111" s="323" t="s">
        <v>311</v>
      </c>
      <c r="D111" s="297">
        <f>+D110</f>
        <v>41456</v>
      </c>
      <c r="E111" s="275">
        <f>+E162</f>
        <v>5.4413000000000003E-2</v>
      </c>
      <c r="F111" s="275">
        <f ca="1">+'Exhibit No.__(JAP-CAMP RD)'!G59</f>
        <v>5.0738999999999999E-2</v>
      </c>
      <c r="I111" s="275">
        <f>+'[2]Exhibit No.__(JAP-Tariff)'!F111</f>
        <v>5.2526999999999997E-2</v>
      </c>
      <c r="J111" s="275">
        <f t="shared" ca="1" si="23"/>
        <v>-1.7879999999999979E-3</v>
      </c>
    </row>
    <row r="112" spans="1:10">
      <c r="A112" s="290">
        <f t="shared" si="15"/>
        <v>106</v>
      </c>
      <c r="B112" s="306">
        <f t="shared" si="21"/>
        <v>40</v>
      </c>
      <c r="C112" s="323"/>
      <c r="D112" s="310"/>
      <c r="E112" s="305"/>
      <c r="F112" s="305"/>
      <c r="I112" s="305"/>
      <c r="J112" s="305"/>
    </row>
    <row r="113" spans="1:10">
      <c r="A113" s="290">
        <f t="shared" si="15"/>
        <v>107</v>
      </c>
      <c r="B113" s="306">
        <f t="shared" si="21"/>
        <v>40</v>
      </c>
      <c r="C113" s="309" t="s">
        <v>342</v>
      </c>
      <c r="D113" s="310"/>
      <c r="E113" s="311"/>
      <c r="F113" s="311"/>
      <c r="I113" s="312"/>
      <c r="J113" s="312"/>
    </row>
    <row r="114" spans="1:10">
      <c r="A114" s="290">
        <f t="shared" si="15"/>
        <v>108</v>
      </c>
      <c r="B114" s="306">
        <f t="shared" si="21"/>
        <v>40</v>
      </c>
      <c r="C114" s="324" t="s">
        <v>151</v>
      </c>
      <c r="D114" s="297">
        <f>+$D$8</f>
        <v>41043</v>
      </c>
      <c r="E114" s="275">
        <f>+'[1]Tariff 40'!$C$91</f>
        <v>4.2</v>
      </c>
      <c r="F114" s="311">
        <f ca="1">+'Exhibit No.__(JAP-CAMP RD)'!H30</f>
        <v>6.13</v>
      </c>
      <c r="I114" s="312">
        <f>+'[2]Exhibit No.__(JAP-Tariff)'!F114</f>
        <v>6.13</v>
      </c>
      <c r="J114" s="312">
        <f t="shared" ref="J114:J116" ca="1" si="24">+F114-I114</f>
        <v>0</v>
      </c>
    </row>
    <row r="115" spans="1:10">
      <c r="A115" s="290">
        <f t="shared" si="15"/>
        <v>109</v>
      </c>
      <c r="B115" s="306">
        <f t="shared" si="21"/>
        <v>40</v>
      </c>
      <c r="C115" s="323" t="s">
        <v>147</v>
      </c>
      <c r="D115" s="297">
        <f>+$D$8</f>
        <v>41043</v>
      </c>
      <c r="E115" s="275">
        <f>+'[1]Tariff 40'!$C$92</f>
        <v>4.1100000000000003</v>
      </c>
      <c r="F115" s="311">
        <f ca="1">+'Exhibit No.__(JAP-CAMP RD)'!H31</f>
        <v>5.88</v>
      </c>
      <c r="I115" s="312">
        <f>+'[2]Exhibit No.__(JAP-Tariff)'!F115</f>
        <v>5.88</v>
      </c>
      <c r="J115" s="312">
        <f t="shared" ca="1" si="24"/>
        <v>0</v>
      </c>
    </row>
    <row r="116" spans="1:10">
      <c r="A116" s="290">
        <f t="shared" si="15"/>
        <v>110</v>
      </c>
      <c r="B116" s="306">
        <f t="shared" si="21"/>
        <v>40</v>
      </c>
      <c r="C116" s="323" t="s">
        <v>311</v>
      </c>
      <c r="D116" s="297">
        <f>+$D$8</f>
        <v>41043</v>
      </c>
      <c r="E116" s="275">
        <f>+'[1]Tariff 40'!$C$93</f>
        <v>4.0199999999999996</v>
      </c>
      <c r="F116" s="311">
        <f ca="1">+'Exhibit No.__(JAP-CAMP RD)'!G55</f>
        <v>5.77</v>
      </c>
      <c r="I116" s="312">
        <f>+'[2]Exhibit No.__(JAP-Tariff)'!F116</f>
        <v>5.77</v>
      </c>
      <c r="J116" s="312">
        <f t="shared" ca="1" si="24"/>
        <v>0</v>
      </c>
    </row>
    <row r="117" spans="1:10">
      <c r="A117" s="290">
        <f t="shared" si="15"/>
        <v>111</v>
      </c>
      <c r="B117" s="306">
        <f t="shared" si="21"/>
        <v>40</v>
      </c>
      <c r="C117" s="309"/>
      <c r="D117" s="310"/>
      <c r="E117" s="311"/>
      <c r="F117" s="311"/>
      <c r="I117" s="312"/>
      <c r="J117" s="312"/>
    </row>
    <row r="118" spans="1:10">
      <c r="A118" s="290">
        <f t="shared" si="15"/>
        <v>112</v>
      </c>
      <c r="B118" s="306">
        <f t="shared" si="21"/>
        <v>40</v>
      </c>
      <c r="C118" s="309" t="s">
        <v>280</v>
      </c>
      <c r="D118" s="310"/>
      <c r="E118" s="313"/>
      <c r="F118" s="313"/>
      <c r="I118" s="313"/>
      <c r="J118" s="313"/>
    </row>
    <row r="119" spans="1:10">
      <c r="A119" s="290">
        <f t="shared" si="15"/>
        <v>113</v>
      </c>
      <c r="B119" s="306">
        <f t="shared" si="21"/>
        <v>40</v>
      </c>
      <c r="C119" s="324" t="s">
        <v>151</v>
      </c>
      <c r="D119" s="297">
        <f>+$D$8</f>
        <v>41043</v>
      </c>
      <c r="E119" s="313">
        <v>1.24E-3</v>
      </c>
      <c r="F119" s="313">
        <f ca="1">+'Exhibit No.__(JAP-CAMP RD)'!H35</f>
        <v>1.2600000000000001E-3</v>
      </c>
      <c r="I119" s="313">
        <f>+'[2]Exhibit No.__(JAP-Tariff)'!F119</f>
        <v>1.2899999999999999E-3</v>
      </c>
      <c r="J119" s="313">
        <f t="shared" ref="J119:J120" ca="1" si="25">+F119-I119</f>
        <v>-2.9999999999999862E-5</v>
      </c>
    </row>
    <row r="120" spans="1:10">
      <c r="A120" s="290">
        <f t="shared" si="15"/>
        <v>114</v>
      </c>
      <c r="B120" s="306">
        <f t="shared" si="21"/>
        <v>40</v>
      </c>
      <c r="C120" s="323" t="s">
        <v>147</v>
      </c>
      <c r="D120" s="297">
        <f>+$D$8</f>
        <v>41043</v>
      </c>
      <c r="E120" s="313">
        <f>+'[1]Tariff 40'!$C$104</f>
        <v>1.08E-3</v>
      </c>
      <c r="F120" s="313">
        <f ca="1">+'Exhibit No.__(JAP-CAMP RD)'!H36</f>
        <v>1.07E-3</v>
      </c>
      <c r="I120" s="313">
        <f>+'[2]Exhibit No.__(JAP-Tariff)'!F120</f>
        <v>1.1000000000000001E-3</v>
      </c>
      <c r="J120" s="313">
        <f t="shared" ca="1" si="25"/>
        <v>-3.0000000000000079E-5</v>
      </c>
    </row>
    <row r="121" spans="1:10">
      <c r="A121" s="290">
        <f t="shared" si="15"/>
        <v>115</v>
      </c>
      <c r="B121" s="306">
        <f t="shared" si="21"/>
        <v>40</v>
      </c>
      <c r="C121" s="323"/>
      <c r="D121" s="310"/>
      <c r="E121" s="313"/>
      <c r="F121" s="313"/>
      <c r="I121" s="313"/>
      <c r="J121" s="313"/>
    </row>
    <row r="122" spans="1:10">
      <c r="A122" s="290">
        <f t="shared" si="15"/>
        <v>116</v>
      </c>
      <c r="B122" s="306">
        <f t="shared" si="21"/>
        <v>40</v>
      </c>
      <c r="C122" s="323" t="s">
        <v>312</v>
      </c>
      <c r="D122" s="310"/>
      <c r="E122" s="314">
        <v>3.8081999999999998E-2</v>
      </c>
      <c r="F122" s="314">
        <f ca="1">+'[3]Sch 40 Substation O&amp;M 2017'!$C$31</f>
        <v>7.5999999999999998E-2</v>
      </c>
      <c r="I122" s="314">
        <f>+'[2]Exhibit No.__(JAP-Tariff)'!F122</f>
        <v>9.2299999999999993E-2</v>
      </c>
      <c r="J122" s="314">
        <f t="shared" ref="J122:J126" ca="1" si="26">+F122-I122</f>
        <v>-1.6299999999999995E-2</v>
      </c>
    </row>
    <row r="123" spans="1:10">
      <c r="A123" s="290">
        <f t="shared" si="15"/>
        <v>117</v>
      </c>
      <c r="B123" s="306">
        <f t="shared" si="21"/>
        <v>40</v>
      </c>
      <c r="C123" s="324" t="s">
        <v>313</v>
      </c>
      <c r="D123" s="310"/>
      <c r="E123" s="335">
        <v>0.37</v>
      </c>
      <c r="F123" s="336">
        <f ca="1">+'[3]Sch 40 Substation A&amp;G 2017'!$C$21</f>
        <v>0.44</v>
      </c>
      <c r="I123" s="336">
        <f>+'[2]Exhibit No.__(JAP-Tariff)'!F123</f>
        <v>0.44</v>
      </c>
      <c r="J123" s="336">
        <f t="shared" ca="1" si="26"/>
        <v>0</v>
      </c>
    </row>
    <row r="124" spans="1:10">
      <c r="A124" s="290">
        <f t="shared" si="15"/>
        <v>118</v>
      </c>
      <c r="B124" s="306">
        <f t="shared" si="21"/>
        <v>40</v>
      </c>
      <c r="C124" s="323" t="s">
        <v>314</v>
      </c>
      <c r="D124" s="310"/>
      <c r="E124" s="314">
        <v>1.409E-2</v>
      </c>
      <c r="F124" s="314">
        <f ca="1">ROUND(F123*F122,6)</f>
        <v>3.3439999999999998E-2</v>
      </c>
      <c r="I124" s="314">
        <f>+'[2]Exhibit No.__(JAP-Tariff)'!F124</f>
        <v>4.0612000000000002E-2</v>
      </c>
      <c r="J124" s="314">
        <f t="shared" ca="1" si="26"/>
        <v>-7.1720000000000048E-3</v>
      </c>
    </row>
    <row r="125" spans="1:10">
      <c r="A125" s="290">
        <f t="shared" si="15"/>
        <v>119</v>
      </c>
      <c r="B125" s="306">
        <f t="shared" si="21"/>
        <v>40</v>
      </c>
      <c r="C125" s="324" t="s">
        <v>315</v>
      </c>
      <c r="D125" s="310"/>
      <c r="E125" s="315">
        <v>3.95E-2</v>
      </c>
      <c r="F125" s="315">
        <f ca="1">+'[3]Sch 40 Feeder OH 2017'!$E$29</f>
        <v>0.2185</v>
      </c>
      <c r="I125" s="315">
        <f>+'[2]Exhibit No.__(JAP-Tariff)'!F125</f>
        <v>0.2185</v>
      </c>
      <c r="J125" s="315">
        <f t="shared" ca="1" si="26"/>
        <v>0</v>
      </c>
    </row>
    <row r="126" spans="1:10">
      <c r="A126" s="290">
        <f t="shared" si="15"/>
        <v>120</v>
      </c>
      <c r="B126" s="306">
        <f t="shared" si="21"/>
        <v>40</v>
      </c>
      <c r="C126" s="324" t="s">
        <v>316</v>
      </c>
      <c r="D126" s="310"/>
      <c r="E126" s="315">
        <v>3.95E-2</v>
      </c>
      <c r="F126" s="315">
        <f ca="1">+'[3]Sch 40 Feeder OH 2017'!$G$29</f>
        <v>4.7399999999999998E-2</v>
      </c>
      <c r="I126" s="315">
        <f>+'[2]Exhibit No.__(JAP-Tariff)'!F126</f>
        <v>4.7399999999999998E-2</v>
      </c>
      <c r="J126" s="315">
        <f t="shared" ca="1" si="26"/>
        <v>0</v>
      </c>
    </row>
    <row r="127" spans="1:10">
      <c r="A127" s="354">
        <f t="shared" si="15"/>
        <v>121</v>
      </c>
      <c r="B127" s="306">
        <f t="shared" si="21"/>
        <v>40</v>
      </c>
      <c r="C127" s="323"/>
      <c r="D127" s="310"/>
      <c r="E127" s="315"/>
      <c r="F127" s="315"/>
      <c r="I127" s="315"/>
      <c r="J127" s="315"/>
    </row>
    <row r="128" spans="1:10">
      <c r="A128" s="354">
        <f t="shared" si="15"/>
        <v>122</v>
      </c>
      <c r="B128" s="306">
        <f t="shared" si="21"/>
        <v>40</v>
      </c>
      <c r="C128" s="324" t="s">
        <v>317</v>
      </c>
      <c r="D128" s="310"/>
      <c r="E128" s="314">
        <v>0.115396</v>
      </c>
      <c r="F128" s="314">
        <f ca="1">+'[3]2017 FCR Rates'!$B$4</f>
        <v>9.1354726579609066E-2</v>
      </c>
      <c r="I128" s="314">
        <f>+'[2]Exhibit No.__(JAP-Tariff)'!F128</f>
        <v>0.10456302504101002</v>
      </c>
      <c r="J128" s="314">
        <f ca="1">+F128-I128</f>
        <v>-1.3208298461400952E-2</v>
      </c>
    </row>
    <row r="129" spans="1:13">
      <c r="A129" s="354">
        <f t="shared" si="15"/>
        <v>123</v>
      </c>
      <c r="B129" s="306">
        <f t="shared" si="21"/>
        <v>40</v>
      </c>
      <c r="C129" s="324"/>
      <c r="D129" s="310"/>
      <c r="E129" s="314"/>
      <c r="F129" s="314"/>
      <c r="I129" s="314"/>
      <c r="J129" s="314"/>
    </row>
    <row r="130" spans="1:13">
      <c r="A130" s="354">
        <f t="shared" si="15"/>
        <v>124</v>
      </c>
      <c r="B130" s="306">
        <f t="shared" si="21"/>
        <v>40</v>
      </c>
      <c r="C130" s="325" t="s">
        <v>318</v>
      </c>
      <c r="D130" s="310"/>
      <c r="F130" s="314"/>
      <c r="I130" s="314"/>
      <c r="J130" s="314"/>
    </row>
    <row r="131" spans="1:13">
      <c r="A131" s="354">
        <f t="shared" si="15"/>
        <v>125</v>
      </c>
      <c r="B131" s="306">
        <f t="shared" si="21"/>
        <v>40</v>
      </c>
      <c r="C131" s="324" t="s">
        <v>319</v>
      </c>
      <c r="D131" s="297">
        <f>+$D$8</f>
        <v>41043</v>
      </c>
      <c r="E131" s="275">
        <f>+'[1]Tariff 40'!C184</f>
        <v>1.6376999999999999E-2</v>
      </c>
      <c r="F131" s="275">
        <f ca="1">+'[3]Sch 40 Interim Energy Rates '!$F$16</f>
        <v>1.1266999999999999E-2</v>
      </c>
      <c r="I131" s="275">
        <f>+'[2]Exhibit No.__(JAP-Tariff)'!F131</f>
        <v>1.1672E-2</v>
      </c>
      <c r="J131" s="275">
        <f t="shared" ref="J131:J133" ca="1" si="27">+F131-I131</f>
        <v>-4.0500000000000085E-4</v>
      </c>
    </row>
    <row r="132" spans="1:13">
      <c r="A132" s="354">
        <f t="shared" si="15"/>
        <v>126</v>
      </c>
      <c r="B132" s="306">
        <f t="shared" si="21"/>
        <v>40</v>
      </c>
      <c r="C132" s="324" t="s">
        <v>320</v>
      </c>
      <c r="D132" s="297">
        <f>+$D$8</f>
        <v>41043</v>
      </c>
      <c r="E132" s="275">
        <f>+'[1]Tariff 40'!C183</f>
        <v>1.1511E-2</v>
      </c>
      <c r="F132" s="275">
        <f ca="1">+'[3]Sch 40 Interim Energy Rates '!$E$16</f>
        <v>9.528E-3</v>
      </c>
      <c r="I132" s="275">
        <f>+'[2]Exhibit No.__(JAP-Tariff)'!F132</f>
        <v>9.8650000000000005E-3</v>
      </c>
      <c r="J132" s="275">
        <f t="shared" ca="1" si="27"/>
        <v>-3.3700000000000049E-4</v>
      </c>
    </row>
    <row r="133" spans="1:13">
      <c r="A133" s="354">
        <f t="shared" si="15"/>
        <v>127</v>
      </c>
      <c r="B133" s="306">
        <f t="shared" si="21"/>
        <v>40</v>
      </c>
      <c r="C133" s="324" t="s">
        <v>321</v>
      </c>
      <c r="D133" s="297">
        <f>+$D$8</f>
        <v>41043</v>
      </c>
      <c r="E133" s="275">
        <f>+'[1]Tariff 40'!C182</f>
        <v>1.6131E-2</v>
      </c>
      <c r="F133" s="275">
        <f ca="1">+'[3]Sch 40 Interim Energy Rates '!$D$16</f>
        <v>1.4507000000000001E-2</v>
      </c>
      <c r="I133" s="275">
        <f>+'[2]Exhibit No.__(JAP-Tariff)'!F133</f>
        <v>1.5011999999999999E-2</v>
      </c>
      <c r="J133" s="275">
        <f t="shared" ca="1" si="27"/>
        <v>-5.0499999999999851E-4</v>
      </c>
    </row>
    <row r="134" spans="1:13">
      <c r="A134" s="354">
        <f t="shared" ref="A134:A137" si="28">+A133+1</f>
        <v>128</v>
      </c>
      <c r="B134" s="306">
        <f t="shared" si="21"/>
        <v>40</v>
      </c>
      <c r="C134" s="309"/>
      <c r="D134" s="310"/>
      <c r="E134" s="313"/>
      <c r="F134" s="313"/>
      <c r="I134" s="313"/>
      <c r="J134" s="313"/>
      <c r="K134" s="337"/>
      <c r="L134" s="337"/>
      <c r="M134" s="337"/>
    </row>
    <row r="135" spans="1:13" ht="15">
      <c r="A135" s="354">
        <f t="shared" si="28"/>
        <v>129</v>
      </c>
      <c r="B135" s="306">
        <f t="shared" si="21"/>
        <v>40</v>
      </c>
      <c r="C135" s="309"/>
      <c r="D135" s="310"/>
      <c r="E135" s="313"/>
      <c r="F135" s="481" t="s">
        <v>1013</v>
      </c>
      <c r="G135" s="481"/>
      <c r="I135" s="481" t="s">
        <v>1012</v>
      </c>
      <c r="J135" s="481"/>
      <c r="K135" s="337"/>
      <c r="L135" s="481" t="s">
        <v>40</v>
      </c>
      <c r="M135" s="481"/>
    </row>
    <row r="136" spans="1:13" ht="15">
      <c r="A136" s="354">
        <f t="shared" si="28"/>
        <v>130</v>
      </c>
      <c r="B136" s="306">
        <f t="shared" si="21"/>
        <v>40</v>
      </c>
      <c r="C136" s="309"/>
      <c r="D136" s="310"/>
      <c r="E136" s="478" t="s">
        <v>1004</v>
      </c>
      <c r="F136" s="478" t="s">
        <v>1005</v>
      </c>
      <c r="G136" s="478" t="s">
        <v>1006</v>
      </c>
      <c r="H136" s="478"/>
      <c r="I136" s="478" t="s">
        <v>1005</v>
      </c>
      <c r="J136" s="478" t="s">
        <v>1006</v>
      </c>
      <c r="K136" s="337"/>
      <c r="L136" s="478" t="s">
        <v>1005</v>
      </c>
      <c r="M136" s="478" t="s">
        <v>1006</v>
      </c>
    </row>
    <row r="137" spans="1:13" s="316" customFormat="1">
      <c r="A137" s="354">
        <f t="shared" si="28"/>
        <v>131</v>
      </c>
      <c r="B137" s="306">
        <f t="shared" si="21"/>
        <v>40</v>
      </c>
      <c r="C137" s="477" t="s">
        <v>1007</v>
      </c>
      <c r="D137" s="477"/>
      <c r="E137" s="477"/>
      <c r="F137" s="477"/>
      <c r="G137" s="477"/>
      <c r="H137" s="477"/>
      <c r="I137" s="477"/>
      <c r="J137" s="477"/>
      <c r="K137" s="337"/>
      <c r="L137" s="337"/>
      <c r="M137" s="337"/>
    </row>
    <row r="138" spans="1:13">
      <c r="A138" s="290">
        <f t="shared" ref="A138:A180" si="29">+A137+1</f>
        <v>132</v>
      </c>
      <c r="B138" s="306">
        <f t="shared" si="21"/>
        <v>40</v>
      </c>
      <c r="C138" s="309" t="s">
        <v>985</v>
      </c>
      <c r="D138" s="310">
        <f t="shared" ref="D138:D149" si="30">+$D$8</f>
        <v>41043</v>
      </c>
      <c r="E138" s="312">
        <f ca="1">+'[3]Tariff Summary'!J46</f>
        <v>1.55</v>
      </c>
      <c r="F138" s="312">
        <f ca="1">+'Exhibit No.__(JAP-CAMP RD)'!S66</f>
        <v>3.160000000000001</v>
      </c>
      <c r="G138" s="312">
        <f ca="1">+'Exhibit No.__(JAP-CAMP RD)'!T66</f>
        <v>3.13</v>
      </c>
      <c r="H138" s="312"/>
      <c r="I138" s="312">
        <v>3.5900000000000007</v>
      </c>
      <c r="J138" s="312">
        <v>3.5599999999999996</v>
      </c>
      <c r="K138" s="337"/>
      <c r="L138" s="298">
        <f ca="1">+F138-I138</f>
        <v>-0.42999999999999972</v>
      </c>
      <c r="M138" s="298">
        <f t="shared" ref="M138:M149" ca="1" si="31">+G138-J138</f>
        <v>-0.42999999999999972</v>
      </c>
    </row>
    <row r="139" spans="1:13">
      <c r="A139" s="290">
        <f t="shared" si="29"/>
        <v>133</v>
      </c>
      <c r="B139" s="306">
        <f t="shared" si="21"/>
        <v>40</v>
      </c>
      <c r="C139" s="309" t="s">
        <v>986</v>
      </c>
      <c r="D139" s="310">
        <f t="shared" si="30"/>
        <v>41043</v>
      </c>
      <c r="E139" s="312">
        <f ca="1">+'[3]Tariff Summary'!J47</f>
        <v>5.28</v>
      </c>
      <c r="F139" s="312">
        <f ca="1">+'Exhibit No.__(JAP-CAMP RD)'!S67</f>
        <v>5.9200000000000008</v>
      </c>
      <c r="G139" s="312">
        <f ca="1">+'Exhibit No.__(JAP-CAMP RD)'!T67</f>
        <v>5.8999999999999995</v>
      </c>
      <c r="H139" s="312"/>
      <c r="I139" s="312">
        <v>6.5699999999999994</v>
      </c>
      <c r="J139" s="312">
        <v>6.55</v>
      </c>
      <c r="K139" s="337"/>
      <c r="L139" s="298">
        <f t="shared" ref="L139:L149" ca="1" si="32">+F139-I139</f>
        <v>-0.64999999999999858</v>
      </c>
      <c r="M139" s="298">
        <f t="shared" ca="1" si="31"/>
        <v>-0.65000000000000036</v>
      </c>
    </row>
    <row r="140" spans="1:13">
      <c r="A140" s="290">
        <f t="shared" si="29"/>
        <v>134</v>
      </c>
      <c r="B140" s="306">
        <f t="shared" si="21"/>
        <v>40</v>
      </c>
      <c r="C140" s="309" t="s">
        <v>987</v>
      </c>
      <c r="D140" s="310">
        <f t="shared" si="30"/>
        <v>41043</v>
      </c>
      <c r="E140" s="312">
        <f ca="1">+'[3]Tariff Summary'!J48</f>
        <v>1.8</v>
      </c>
      <c r="F140" s="312">
        <f ca="1">+'Exhibit No.__(JAP-CAMP RD)'!S68</f>
        <v>1.5599999999999996</v>
      </c>
      <c r="G140" s="312">
        <f ca="1">+'Exhibit No.__(JAP-CAMP RD)'!T68</f>
        <v>1.5599999999999996</v>
      </c>
      <c r="H140" s="312"/>
      <c r="I140" s="312">
        <v>1.7000000000000002</v>
      </c>
      <c r="J140" s="312">
        <v>1.7000000000000002</v>
      </c>
      <c r="L140" s="298">
        <f t="shared" ca="1" si="32"/>
        <v>-0.14000000000000057</v>
      </c>
      <c r="M140" s="298">
        <f t="shared" ca="1" si="31"/>
        <v>-0.14000000000000057</v>
      </c>
    </row>
    <row r="141" spans="1:13">
      <c r="A141" s="290">
        <f t="shared" si="29"/>
        <v>135</v>
      </c>
      <c r="B141" s="306">
        <f t="shared" si="21"/>
        <v>40</v>
      </c>
      <c r="C141" s="309" t="s">
        <v>988</v>
      </c>
      <c r="D141" s="310">
        <f t="shared" si="30"/>
        <v>41043</v>
      </c>
      <c r="E141" s="312">
        <f ca="1">+'[3]Tariff Summary'!J49</f>
        <v>0.83</v>
      </c>
      <c r="F141" s="312">
        <f ca="1">+'Exhibit No.__(JAP-CAMP RD)'!S69</f>
        <v>0.59999999999999964</v>
      </c>
      <c r="G141" s="312">
        <f ca="1">+'Exhibit No.__(JAP-CAMP RD)'!T69</f>
        <v>0.59999999999999964</v>
      </c>
      <c r="H141" s="312"/>
      <c r="I141" s="312">
        <v>0.66000000000000014</v>
      </c>
      <c r="J141" s="312">
        <v>0.66000000000000014</v>
      </c>
      <c r="L141" s="298">
        <f t="shared" ca="1" si="32"/>
        <v>-6.0000000000000497E-2</v>
      </c>
      <c r="M141" s="298">
        <f t="shared" ca="1" si="31"/>
        <v>-6.0000000000000497E-2</v>
      </c>
    </row>
    <row r="142" spans="1:13">
      <c r="A142" s="290">
        <f t="shared" si="29"/>
        <v>136</v>
      </c>
      <c r="B142" s="306">
        <f t="shared" si="21"/>
        <v>40</v>
      </c>
      <c r="C142" s="309" t="s">
        <v>989</v>
      </c>
      <c r="D142" s="310">
        <f t="shared" si="30"/>
        <v>41043</v>
      </c>
      <c r="E142" s="312">
        <f ca="1">+'[3]Tariff Summary'!J50</f>
        <v>4.04</v>
      </c>
      <c r="F142" s="312">
        <f ca="1">+'Exhibit No.__(JAP-CAMP RD)'!S70</f>
        <v>2.6499999999999995</v>
      </c>
      <c r="G142" s="312">
        <f ca="1">+'Exhibit No.__(JAP-CAMP RD)'!T70</f>
        <v>2.6499999999999995</v>
      </c>
      <c r="H142" s="312"/>
      <c r="I142" s="312">
        <v>2.8099999999999996</v>
      </c>
      <c r="J142" s="312">
        <v>2.8099999999999996</v>
      </c>
      <c r="L142" s="298">
        <f t="shared" ca="1" si="32"/>
        <v>-0.16000000000000014</v>
      </c>
      <c r="M142" s="298">
        <f t="shared" ca="1" si="31"/>
        <v>-0.16000000000000014</v>
      </c>
    </row>
    <row r="143" spans="1:13">
      <c r="A143" s="290">
        <f t="shared" si="29"/>
        <v>137</v>
      </c>
      <c r="B143" s="306">
        <f t="shared" si="21"/>
        <v>40</v>
      </c>
      <c r="C143" s="309" t="s">
        <v>990</v>
      </c>
      <c r="D143" s="310">
        <f t="shared" si="30"/>
        <v>41043</v>
      </c>
      <c r="E143" s="312">
        <f ca="1">+'[3]Tariff Summary'!J51</f>
        <v>0.87</v>
      </c>
      <c r="F143" s="312">
        <f ca="1">+'Exhibit No.__(JAP-CAMP RD)'!S71</f>
        <v>0.45999999999999996</v>
      </c>
      <c r="G143" s="312">
        <f ca="1">+'Exhibit No.__(JAP-CAMP RD)'!T71</f>
        <v>0.45999999999999996</v>
      </c>
      <c r="H143" s="312"/>
      <c r="I143" s="312">
        <v>0.48000000000000043</v>
      </c>
      <c r="J143" s="312">
        <v>0.48000000000000043</v>
      </c>
      <c r="L143" s="298">
        <f t="shared" ca="1" si="32"/>
        <v>-2.0000000000000462E-2</v>
      </c>
      <c r="M143" s="298">
        <f t="shared" ca="1" si="31"/>
        <v>-2.0000000000000462E-2</v>
      </c>
    </row>
    <row r="144" spans="1:13">
      <c r="A144" s="290">
        <f t="shared" si="29"/>
        <v>138</v>
      </c>
      <c r="B144" s="306">
        <f t="shared" si="21"/>
        <v>40</v>
      </c>
      <c r="C144" s="309" t="s">
        <v>991</v>
      </c>
      <c r="D144" s="310">
        <f t="shared" si="30"/>
        <v>41043</v>
      </c>
      <c r="E144" s="312">
        <f ca="1">+'[3]Tariff Summary'!J52</f>
        <v>1.86</v>
      </c>
      <c r="F144" s="312">
        <f ca="1">+'Exhibit No.__(JAP-CAMP RD)'!S72</f>
        <v>2.1800000000000006</v>
      </c>
      <c r="G144" s="312">
        <f ca="1">+'Exhibit No.__(JAP-CAMP RD)'!T72</f>
        <v>2.1800000000000006</v>
      </c>
      <c r="H144" s="312"/>
      <c r="I144" s="312">
        <v>2.38</v>
      </c>
      <c r="J144" s="312">
        <v>2.38</v>
      </c>
      <c r="L144" s="298">
        <f t="shared" ca="1" si="32"/>
        <v>-0.19999999999999929</v>
      </c>
      <c r="M144" s="298">
        <f t="shared" ca="1" si="31"/>
        <v>-0.19999999999999929</v>
      </c>
    </row>
    <row r="145" spans="1:13">
      <c r="A145" s="290">
        <f t="shared" si="29"/>
        <v>139</v>
      </c>
      <c r="B145" s="306">
        <f t="shared" si="21"/>
        <v>40</v>
      </c>
      <c r="C145" s="309" t="s">
        <v>992</v>
      </c>
      <c r="D145" s="310">
        <f t="shared" si="30"/>
        <v>41043</v>
      </c>
      <c r="E145" s="312">
        <f ca="1">+'[3]Tariff Summary'!J53</f>
        <v>1.68</v>
      </c>
      <c r="F145" s="312">
        <f ca="1">+'Exhibit No.__(JAP-CAMP RD)'!S73</f>
        <v>2.6000000000000005</v>
      </c>
      <c r="G145" s="312">
        <f ca="1">+'Exhibit No.__(JAP-CAMP RD)'!T73</f>
        <v>2.6000000000000005</v>
      </c>
      <c r="H145" s="312"/>
      <c r="I145" s="312">
        <v>2.8199999999999994</v>
      </c>
      <c r="J145" s="312">
        <v>2.8199999999999994</v>
      </c>
      <c r="L145" s="298">
        <f t="shared" ca="1" si="32"/>
        <v>-0.21999999999999886</v>
      </c>
      <c r="M145" s="298">
        <f t="shared" ca="1" si="31"/>
        <v>-0.21999999999999886</v>
      </c>
    </row>
    <row r="146" spans="1:13">
      <c r="A146" s="290">
        <f t="shared" si="29"/>
        <v>140</v>
      </c>
      <c r="B146" s="306">
        <f t="shared" si="21"/>
        <v>40</v>
      </c>
      <c r="C146" s="309" t="s">
        <v>993</v>
      </c>
      <c r="D146" s="310">
        <f t="shared" si="30"/>
        <v>41043</v>
      </c>
      <c r="E146" s="312">
        <f ca="1">+'[3]Tariff Summary'!J54</f>
        <v>5.35</v>
      </c>
      <c r="F146" s="312">
        <f ca="1">+'Exhibit No.__(JAP-CAMP RD)'!S74</f>
        <v>4.9999999999999991</v>
      </c>
      <c r="G146" s="312">
        <f ca="1">+'Exhibit No.__(JAP-CAMP RD)'!T74</f>
        <v>4.9799999999999995</v>
      </c>
      <c r="H146" s="312"/>
      <c r="I146" s="312">
        <v>5.36</v>
      </c>
      <c r="J146" s="312">
        <v>5.3400000000000007</v>
      </c>
      <c r="L146" s="298">
        <f t="shared" ca="1" si="32"/>
        <v>-0.36000000000000121</v>
      </c>
      <c r="M146" s="298">
        <f t="shared" ca="1" si="31"/>
        <v>-0.36000000000000121</v>
      </c>
    </row>
    <row r="147" spans="1:13">
      <c r="A147" s="290">
        <f t="shared" si="29"/>
        <v>141</v>
      </c>
      <c r="B147" s="306">
        <f t="shared" si="21"/>
        <v>40</v>
      </c>
      <c r="C147" s="309" t="s">
        <v>994</v>
      </c>
      <c r="D147" s="310">
        <f t="shared" si="30"/>
        <v>41043</v>
      </c>
      <c r="E147" s="312">
        <f ca="1">+'[3]Tariff Summary'!J55</f>
        <v>1.31</v>
      </c>
      <c r="F147" s="312">
        <f ca="1">+'Exhibit No.__(JAP-CAMP RD)'!S75</f>
        <v>1.2599999999999998</v>
      </c>
      <c r="G147" s="312">
        <f ca="1">+'Exhibit No.__(JAP-CAMP RD)'!T75</f>
        <v>1.25</v>
      </c>
      <c r="H147" s="312"/>
      <c r="I147" s="312">
        <v>1.42</v>
      </c>
      <c r="J147" s="312">
        <v>1.4100000000000001</v>
      </c>
      <c r="L147" s="298">
        <f t="shared" ca="1" si="32"/>
        <v>-0.16000000000000014</v>
      </c>
      <c r="M147" s="298">
        <f t="shared" ca="1" si="31"/>
        <v>-0.16000000000000014</v>
      </c>
    </row>
    <row r="148" spans="1:13">
      <c r="A148" s="290">
        <f t="shared" si="29"/>
        <v>142</v>
      </c>
      <c r="B148" s="306">
        <f t="shared" si="21"/>
        <v>40</v>
      </c>
      <c r="C148" s="309" t="s">
        <v>995</v>
      </c>
      <c r="D148" s="310">
        <f t="shared" si="30"/>
        <v>41043</v>
      </c>
      <c r="E148" s="312">
        <f ca="1">+'[3]Tariff Summary'!J56</f>
        <v>2.09</v>
      </c>
      <c r="F148" s="312">
        <f ca="1">+'Exhibit No.__(JAP-CAMP RD)'!S76</f>
        <v>1.6800000000000006</v>
      </c>
      <c r="G148" s="312">
        <f ca="1">+'Exhibit No.__(JAP-CAMP RD)'!T76</f>
        <v>1.6700000000000008</v>
      </c>
      <c r="H148" s="312"/>
      <c r="I148" s="312">
        <v>1.7700000000000005</v>
      </c>
      <c r="J148" s="312">
        <v>1.7599999999999998</v>
      </c>
      <c r="L148" s="298">
        <f t="shared" ca="1" si="32"/>
        <v>-8.9999999999999858E-2</v>
      </c>
      <c r="M148" s="298">
        <f t="shared" ca="1" si="31"/>
        <v>-8.999999999999897E-2</v>
      </c>
    </row>
    <row r="149" spans="1:13">
      <c r="A149" s="290">
        <f t="shared" si="29"/>
        <v>143</v>
      </c>
      <c r="B149" s="306">
        <f t="shared" si="21"/>
        <v>40</v>
      </c>
      <c r="C149" s="309" t="s">
        <v>996</v>
      </c>
      <c r="D149" s="310">
        <f t="shared" si="30"/>
        <v>41043</v>
      </c>
      <c r="E149" s="312">
        <f ca="1">+'[3]Tariff Summary'!J57</f>
        <v>0.57999999999999996</v>
      </c>
      <c r="F149" s="312">
        <f ca="1">+'Exhibit No.__(JAP-CAMP RD)'!S77</f>
        <v>0.66000000000000014</v>
      </c>
      <c r="G149" s="312">
        <f ca="1">+'Exhibit No.__(JAP-CAMP RD)'!T77</f>
        <v>0.66000000000000014</v>
      </c>
      <c r="H149" s="312"/>
      <c r="I149" s="312">
        <v>0.70000000000000018</v>
      </c>
      <c r="J149" s="312">
        <v>0.70000000000000018</v>
      </c>
      <c r="L149" s="298">
        <f t="shared" ca="1" si="32"/>
        <v>-4.0000000000000036E-2</v>
      </c>
      <c r="M149" s="298">
        <f t="shared" ca="1" si="31"/>
        <v>-4.0000000000000036E-2</v>
      </c>
    </row>
    <row r="150" spans="1:13">
      <c r="A150" s="290">
        <f t="shared" si="29"/>
        <v>144</v>
      </c>
      <c r="B150" s="306"/>
      <c r="C150" s="309"/>
      <c r="D150" s="310"/>
      <c r="E150" s="312"/>
      <c r="F150" s="312"/>
      <c r="G150" s="305"/>
      <c r="H150" s="305"/>
      <c r="I150" s="312"/>
      <c r="J150" s="312"/>
    </row>
    <row r="151" spans="1:13">
      <c r="A151" s="290">
        <f t="shared" si="29"/>
        <v>145</v>
      </c>
      <c r="B151" s="306"/>
      <c r="C151" s="309"/>
      <c r="D151" s="310"/>
      <c r="E151" s="312"/>
      <c r="F151" s="312"/>
      <c r="G151" s="305"/>
      <c r="H151" s="305"/>
      <c r="I151" s="312"/>
      <c r="J151" s="312"/>
    </row>
    <row r="152" spans="1:13">
      <c r="A152" s="290">
        <f t="shared" si="29"/>
        <v>146</v>
      </c>
    </row>
    <row r="153" spans="1:13">
      <c r="A153" s="290">
        <f t="shared" si="29"/>
        <v>147</v>
      </c>
      <c r="B153" s="290">
        <v>46</v>
      </c>
      <c r="C153" s="300" t="s">
        <v>322</v>
      </c>
      <c r="D153" s="300"/>
    </row>
    <row r="154" spans="1:13">
      <c r="A154" s="290">
        <f t="shared" si="29"/>
        <v>148</v>
      </c>
      <c r="B154" s="290">
        <f t="shared" ref="B154:B159" si="33">+$B$153</f>
        <v>46</v>
      </c>
      <c r="C154" s="295" t="s">
        <v>300</v>
      </c>
      <c r="D154" s="297">
        <f>+D108</f>
        <v>41456</v>
      </c>
      <c r="E154" s="299">
        <f>+'[1]Tariff 46'!$C$18</f>
        <v>5.4413000000000003E-2</v>
      </c>
      <c r="F154" s="299">
        <f ca="1">+'Exhibit No.__(JAP-HV RD)'!G16</f>
        <v>5.0738999999999999E-2</v>
      </c>
      <c r="I154" s="299">
        <f>+'[2]Exhibit No.__(JAP-Tariff)'!F154</f>
        <v>5.2526999999999997E-2</v>
      </c>
      <c r="J154" s="299">
        <f t="shared" ref="J154" ca="1" si="34">+F154-I154</f>
        <v>-1.7879999999999979E-3</v>
      </c>
    </row>
    <row r="155" spans="1:13">
      <c r="A155" s="290">
        <f t="shared" si="29"/>
        <v>149</v>
      </c>
      <c r="B155" s="290">
        <f t="shared" si="33"/>
        <v>46</v>
      </c>
      <c r="C155" s="302"/>
      <c r="D155" s="302"/>
    </row>
    <row r="156" spans="1:13">
      <c r="A156" s="290">
        <f t="shared" si="29"/>
        <v>150</v>
      </c>
      <c r="B156" s="290">
        <f t="shared" si="33"/>
        <v>46</v>
      </c>
      <c r="C156" s="295" t="s">
        <v>323</v>
      </c>
      <c r="D156" s="297">
        <f>+$D$8</f>
        <v>41043</v>
      </c>
      <c r="E156" s="298">
        <f>+'[1]Tariff 46'!$C$28</f>
        <v>2.09</v>
      </c>
      <c r="F156" s="298">
        <f>+'Exhibit No.__(JAP-HV RD)'!G20</f>
        <v>2.95</v>
      </c>
      <c r="I156" s="298">
        <f>+'[2]Exhibit No.__(JAP-Tariff)'!F156</f>
        <v>2.95</v>
      </c>
      <c r="J156" s="298">
        <f t="shared" ref="J156" si="35">+F156-I156</f>
        <v>0</v>
      </c>
    </row>
    <row r="157" spans="1:13">
      <c r="A157" s="290">
        <f t="shared" si="29"/>
        <v>151</v>
      </c>
      <c r="B157" s="290">
        <f t="shared" si="33"/>
        <v>46</v>
      </c>
      <c r="C157" s="295"/>
      <c r="D157" s="297"/>
      <c r="E157" s="298"/>
      <c r="F157" s="298"/>
      <c r="I157" s="298"/>
      <c r="J157" s="298"/>
    </row>
    <row r="158" spans="1:13">
      <c r="A158" s="290">
        <f t="shared" si="29"/>
        <v>152</v>
      </c>
      <c r="B158" s="290">
        <f t="shared" si="33"/>
        <v>46</v>
      </c>
      <c r="C158" s="304" t="s">
        <v>324</v>
      </c>
      <c r="D158" s="297">
        <f>+D156</f>
        <v>41043</v>
      </c>
      <c r="E158" s="298">
        <f>+'[1]Tariff 46'!$C$31</f>
        <v>25.08</v>
      </c>
      <c r="F158" s="298">
        <f>+'Exhibit No.__(JAP-HV RD)'!G25</f>
        <v>35.4</v>
      </c>
      <c r="I158" s="298">
        <f>+'[2]Exhibit No.__(JAP-Tariff)'!F158</f>
        <v>35.4</v>
      </c>
      <c r="J158" s="298">
        <f t="shared" ref="J158:J159" si="36">+F158-I158</f>
        <v>0</v>
      </c>
    </row>
    <row r="159" spans="1:13">
      <c r="A159" s="290">
        <f t="shared" si="29"/>
        <v>153</v>
      </c>
      <c r="B159" s="290">
        <f t="shared" si="33"/>
        <v>46</v>
      </c>
      <c r="C159" s="295" t="s">
        <v>325</v>
      </c>
      <c r="D159" s="297">
        <f>+D154</f>
        <v>41456</v>
      </c>
      <c r="E159" s="299">
        <f>+'[1]Tariff 46'!$C$30</f>
        <v>4.8972000000000002E-2</v>
      </c>
      <c r="F159" s="299">
        <f ca="1">+'Exhibit No.__(JAP-HV RD)'!G24</f>
        <v>4.5664999999999997E-2</v>
      </c>
      <c r="I159" s="299">
        <f>+'[2]Exhibit No.__(JAP-Tariff)'!F159</f>
        <v>4.7273999999999997E-2</v>
      </c>
      <c r="J159" s="299">
        <f t="shared" ca="1" si="36"/>
        <v>-1.6089999999999993E-3</v>
      </c>
    </row>
    <row r="160" spans="1:13">
      <c r="A160" s="290">
        <f t="shared" si="29"/>
        <v>154</v>
      </c>
    </row>
    <row r="161" spans="1:10">
      <c r="A161" s="290">
        <f t="shared" si="29"/>
        <v>155</v>
      </c>
      <c r="B161" s="290">
        <v>49</v>
      </c>
      <c r="C161" s="317" t="s">
        <v>326</v>
      </c>
      <c r="D161" s="317"/>
    </row>
    <row r="162" spans="1:10">
      <c r="A162" s="290">
        <f t="shared" si="29"/>
        <v>156</v>
      </c>
      <c r="B162" s="290">
        <f>+$B$161</f>
        <v>49</v>
      </c>
      <c r="C162" s="295" t="s">
        <v>300</v>
      </c>
      <c r="D162" s="297">
        <f>+D154</f>
        <v>41456</v>
      </c>
      <c r="E162" s="299">
        <f>+'[1]Tariff 49'!$C$16</f>
        <v>5.4413000000000003E-2</v>
      </c>
      <c r="F162" s="299">
        <f ca="1">+'Exhibit No.__(JAP-HV RD)'!G31</f>
        <v>5.0738999999999999E-2</v>
      </c>
      <c r="I162" s="299">
        <f>+'[2]Exhibit No.__(JAP-Tariff)'!F162</f>
        <v>5.2526999999999997E-2</v>
      </c>
      <c r="J162" s="299">
        <f t="shared" ref="J162" ca="1" si="37">+F162-I162</f>
        <v>-1.7879999999999979E-3</v>
      </c>
    </row>
    <row r="163" spans="1:10">
      <c r="A163" s="290">
        <f t="shared" si="29"/>
        <v>157</v>
      </c>
      <c r="B163" s="290">
        <f>+$B$161</f>
        <v>49</v>
      </c>
      <c r="C163" s="302"/>
      <c r="D163" s="302"/>
    </row>
    <row r="164" spans="1:10">
      <c r="A164" s="290">
        <f t="shared" si="29"/>
        <v>158</v>
      </c>
      <c r="B164" s="290">
        <f>+$B$161</f>
        <v>49</v>
      </c>
      <c r="C164" s="295" t="s">
        <v>327</v>
      </c>
      <c r="D164" s="297">
        <f>+$D$8</f>
        <v>41043</v>
      </c>
      <c r="E164" s="298">
        <f>+'[1]Tariff 49'!$C$24</f>
        <v>3.7</v>
      </c>
      <c r="F164" s="298">
        <f>+'Exhibit No.__(JAP-HV RD)'!G35</f>
        <v>5.48</v>
      </c>
      <c r="I164" s="298">
        <f>+'[2]Exhibit No.__(JAP-Tariff)'!F164</f>
        <v>5.48</v>
      </c>
      <c r="J164" s="298">
        <f t="shared" ref="J164" si="38">+F164-I164</f>
        <v>0</v>
      </c>
    </row>
    <row r="165" spans="1:10">
      <c r="A165" s="290">
        <f t="shared" si="29"/>
        <v>159</v>
      </c>
    </row>
    <row r="166" spans="1:10">
      <c r="A166" s="290">
        <f t="shared" si="29"/>
        <v>160</v>
      </c>
      <c r="B166" s="290" t="s">
        <v>328</v>
      </c>
      <c r="C166" s="300" t="s">
        <v>329</v>
      </c>
      <c r="D166" s="317"/>
    </row>
    <row r="167" spans="1:10">
      <c r="A167" s="290">
        <f t="shared" si="29"/>
        <v>161</v>
      </c>
      <c r="B167" s="290" t="str">
        <f t="shared" ref="B167:B172" si="39">+$B$166</f>
        <v>448 / 458</v>
      </c>
      <c r="C167" s="304" t="s">
        <v>147</v>
      </c>
      <c r="D167" s="304"/>
    </row>
    <row r="168" spans="1:10">
      <c r="A168" s="290">
        <f t="shared" si="29"/>
        <v>162</v>
      </c>
      <c r="B168" s="290" t="str">
        <f t="shared" si="39"/>
        <v>448 / 458</v>
      </c>
      <c r="C168" s="302" t="s">
        <v>330</v>
      </c>
      <c r="D168" s="297">
        <f>+$D$8</f>
        <v>41043</v>
      </c>
      <c r="E168" s="298">
        <f>+'[1]Tariff 449-459'!$C$20</f>
        <v>995</v>
      </c>
      <c r="F168" s="298">
        <f ca="1">+'Exhibit No.__(JAP-TRANSP RD)'!G14</f>
        <v>2120</v>
      </c>
      <c r="I168" s="298">
        <f>+'[2]Exhibit No.__(JAP-Tariff)'!F168</f>
        <v>2155</v>
      </c>
      <c r="J168" s="298">
        <f t="shared" ref="J168:J169" ca="1" si="40">+F168-I168</f>
        <v>-35</v>
      </c>
    </row>
    <row r="169" spans="1:10">
      <c r="A169" s="290">
        <f t="shared" si="29"/>
        <v>163</v>
      </c>
      <c r="B169" s="290" t="str">
        <f t="shared" si="39"/>
        <v>448 / 458</v>
      </c>
      <c r="C169" s="318" t="s">
        <v>331</v>
      </c>
      <c r="D169" s="297">
        <f>+D162</f>
        <v>41456</v>
      </c>
      <c r="E169" s="319">
        <f>+'[1]Tariff 449-459'!$C$31</f>
        <v>1.298</v>
      </c>
      <c r="F169" s="319">
        <f>+'Exhibit No.__(JAP-TRANSP RD)'!G21</f>
        <v>0</v>
      </c>
      <c r="I169" s="320">
        <f>+'[2]Exhibit No.__(JAP-Tariff)'!F169</f>
        <v>0</v>
      </c>
      <c r="J169" s="320">
        <f t="shared" si="40"/>
        <v>0</v>
      </c>
    </row>
    <row r="170" spans="1:10">
      <c r="A170" s="290">
        <f t="shared" si="29"/>
        <v>164</v>
      </c>
      <c r="B170" s="290" t="str">
        <f t="shared" si="39"/>
        <v>448 / 458</v>
      </c>
      <c r="C170" s="304" t="s">
        <v>311</v>
      </c>
      <c r="D170" s="304"/>
    </row>
    <row r="171" spans="1:10">
      <c r="A171" s="290">
        <f t="shared" si="29"/>
        <v>165</v>
      </c>
      <c r="B171" s="290" t="str">
        <f t="shared" si="39"/>
        <v>448 / 458</v>
      </c>
      <c r="C171" s="302" t="s">
        <v>330</v>
      </c>
      <c r="D171" s="297">
        <f>+$D$8</f>
        <v>41043</v>
      </c>
      <c r="E171" s="298">
        <f>+E168</f>
        <v>995</v>
      </c>
      <c r="F171" s="298">
        <f ca="1">+F168</f>
        <v>2120</v>
      </c>
      <c r="I171" s="298">
        <f>+'[2]Exhibit No.__(JAP-Tariff)'!F171</f>
        <v>2155</v>
      </c>
      <c r="J171" s="298">
        <f t="shared" ref="J171:J172" ca="1" si="41">+F171-I171</f>
        <v>-35</v>
      </c>
    </row>
    <row r="172" spans="1:10">
      <c r="A172" s="290">
        <f t="shared" si="29"/>
        <v>166</v>
      </c>
      <c r="B172" s="290" t="str">
        <f t="shared" si="39"/>
        <v>448 / 458</v>
      </c>
      <c r="C172" s="318" t="s">
        <v>331</v>
      </c>
      <c r="D172" s="297">
        <f>+D169</f>
        <v>41456</v>
      </c>
      <c r="E172" s="320">
        <f>+'[1]Tariff 449-459'!$C$32</f>
        <v>-0.12</v>
      </c>
      <c r="F172" s="320">
        <f>+'Exhibit No.__(JAP-TRANSP RD)'!G22</f>
        <v>0</v>
      </c>
      <c r="I172" s="320">
        <f>+'[2]Exhibit No.__(JAP-Tariff)'!F172</f>
        <v>0</v>
      </c>
      <c r="J172" s="320">
        <f t="shared" si="41"/>
        <v>0</v>
      </c>
    </row>
    <row r="173" spans="1:10">
      <c r="A173" s="290">
        <f t="shared" si="29"/>
        <v>167</v>
      </c>
      <c r="D173" s="318"/>
      <c r="E173" s="298"/>
      <c r="F173" s="298"/>
      <c r="I173" s="298"/>
      <c r="J173" s="298"/>
    </row>
    <row r="174" spans="1:10">
      <c r="A174" s="290">
        <f t="shared" si="29"/>
        <v>168</v>
      </c>
      <c r="B174" s="301" t="s">
        <v>244</v>
      </c>
      <c r="C174" s="300" t="s">
        <v>332</v>
      </c>
      <c r="D174" s="317"/>
    </row>
    <row r="175" spans="1:10">
      <c r="A175" s="290">
        <f t="shared" si="29"/>
        <v>169</v>
      </c>
      <c r="B175" s="290" t="str">
        <f t="shared" ref="B175:B180" si="42">+$B$174</f>
        <v>449 / 459</v>
      </c>
      <c r="C175" s="304" t="s">
        <v>147</v>
      </c>
      <c r="D175" s="297"/>
    </row>
    <row r="176" spans="1:10">
      <c r="A176" s="290">
        <f t="shared" si="29"/>
        <v>170</v>
      </c>
      <c r="B176" s="290" t="str">
        <f t="shared" si="42"/>
        <v>449 / 459</v>
      </c>
      <c r="C176" s="302" t="s">
        <v>330</v>
      </c>
      <c r="D176" s="297">
        <f>+$D$8</f>
        <v>41043</v>
      </c>
      <c r="E176" s="298">
        <f>+E168</f>
        <v>995</v>
      </c>
      <c r="F176" s="298">
        <f ca="1">+F168</f>
        <v>2120</v>
      </c>
      <c r="I176" s="298">
        <f>+'[2]Exhibit No.__(JAP-Tariff)'!F176</f>
        <v>2155</v>
      </c>
      <c r="J176" s="298">
        <f t="shared" ref="J176:J177" ca="1" si="43">+F176-I176</f>
        <v>-35</v>
      </c>
    </row>
    <row r="177" spans="1:10">
      <c r="A177" s="290">
        <f t="shared" si="29"/>
        <v>171</v>
      </c>
      <c r="B177" s="290" t="str">
        <f t="shared" si="42"/>
        <v>449 / 459</v>
      </c>
      <c r="C177" s="318" t="s">
        <v>331</v>
      </c>
      <c r="D177" s="297">
        <f>+D169</f>
        <v>41456</v>
      </c>
      <c r="E177" s="319">
        <f>+E169</f>
        <v>1.298</v>
      </c>
      <c r="F177" s="319">
        <f>+F169</f>
        <v>0</v>
      </c>
      <c r="I177" s="320">
        <f>+'[2]Exhibit No.__(JAP-Tariff)'!F177</f>
        <v>0</v>
      </c>
      <c r="J177" s="320">
        <f t="shared" si="43"/>
        <v>0</v>
      </c>
    </row>
    <row r="178" spans="1:10">
      <c r="A178" s="290">
        <f t="shared" si="29"/>
        <v>172</v>
      </c>
      <c r="B178" s="290" t="str">
        <f t="shared" si="42"/>
        <v>449 / 459</v>
      </c>
      <c r="C178" s="304" t="s">
        <v>311</v>
      </c>
      <c r="D178" s="304"/>
    </row>
    <row r="179" spans="1:10">
      <c r="A179" s="290">
        <f t="shared" si="29"/>
        <v>173</v>
      </c>
      <c r="B179" s="290" t="str">
        <f t="shared" si="42"/>
        <v>449 / 459</v>
      </c>
      <c r="C179" s="302" t="s">
        <v>330</v>
      </c>
      <c r="D179" s="297">
        <f>+$D$8</f>
        <v>41043</v>
      </c>
      <c r="E179" s="298">
        <f>+E171</f>
        <v>995</v>
      </c>
      <c r="F179" s="298">
        <f ca="1">+F171</f>
        <v>2120</v>
      </c>
      <c r="I179" s="298">
        <f>+'[2]Exhibit No.__(JAP-Tariff)'!F179</f>
        <v>2155</v>
      </c>
      <c r="J179" s="298">
        <f t="shared" ref="J179:J180" ca="1" si="44">+F179-I179</f>
        <v>-35</v>
      </c>
    </row>
    <row r="180" spans="1:10">
      <c r="A180" s="290">
        <f t="shared" si="29"/>
        <v>174</v>
      </c>
      <c r="B180" s="290" t="str">
        <f t="shared" si="42"/>
        <v>449 / 459</v>
      </c>
      <c r="C180" s="318" t="s">
        <v>331</v>
      </c>
      <c r="D180" s="297">
        <f>+D177</f>
        <v>41456</v>
      </c>
      <c r="E180" s="320">
        <f>+E172</f>
        <v>-0.12</v>
      </c>
      <c r="F180" s="320">
        <f>+F172</f>
        <v>0</v>
      </c>
      <c r="I180" s="320">
        <f>+'[2]Exhibit No.__(JAP-Tariff)'!F180</f>
        <v>0</v>
      </c>
      <c r="J180" s="320">
        <f t="shared" si="44"/>
        <v>0</v>
      </c>
    </row>
  </sheetData>
  <sortState ref="E139:E150">
    <sortCondition ref="E139"/>
  </sortState>
  <mergeCells count="5">
    <mergeCell ref="A1:G1"/>
    <mergeCell ref="A2:G2"/>
    <mergeCell ref="L135:M135"/>
    <mergeCell ref="I135:J135"/>
    <mergeCell ref="F135:G135"/>
  </mergeCells>
  <printOptions horizontalCentered="1"/>
  <pageMargins left="0.7" right="0.7" top="0.75" bottom="0.75" header="0.3" footer="0.3"/>
  <pageSetup scale="59" fitToHeight="5" orientation="landscape" r:id="rId1"/>
  <headerFooter alignWithMargins="0">
    <oddFooter>&amp;L&amp;F
&amp;A&amp;RTax Reform Electric Rate Design Workpapers
Docket No. UE-170033
Page &amp;P of &amp;N</oddFooter>
  </headerFooter>
  <rowBreaks count="3" manualBreakCount="3">
    <brk id="52" max="12" man="1"/>
    <brk id="100" max="12" man="1"/>
    <brk id="15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4"/>
  <sheetViews>
    <sheetView workbookViewId="0">
      <pane xSplit="2" ySplit="4" topLeftCell="C401" activePane="bottomRight" state="frozen"/>
      <selection activeCell="H150" sqref="H150"/>
      <selection pane="topRight" activeCell="H150" sqref="H150"/>
      <selection pane="bottomLeft" activeCell="H150" sqref="H150"/>
      <selection pane="bottomRight" activeCell="I4" sqref="I4"/>
    </sheetView>
  </sheetViews>
  <sheetFormatPr defaultRowHeight="15.6"/>
  <cols>
    <col min="3" max="3" width="30.796875" bestFit="1" customWidth="1"/>
    <col min="4" max="4" width="21.296875" bestFit="1" customWidth="1"/>
    <col min="5" max="5" width="9.59765625" customWidth="1"/>
    <col min="8" max="8" width="2.69921875" customWidth="1"/>
    <col min="9" max="9" width="11.296875" customWidth="1"/>
    <col min="12" max="12" width="50.5" bestFit="1" customWidth="1"/>
  </cols>
  <sheetData>
    <row r="1" spans="1:10">
      <c r="A1" s="291" t="s">
        <v>88</v>
      </c>
      <c r="B1" s="291"/>
      <c r="C1" s="291"/>
      <c r="D1" s="291"/>
      <c r="E1" s="291"/>
      <c r="F1" s="291"/>
      <c r="G1" s="291"/>
      <c r="I1" s="291"/>
      <c r="J1" s="291"/>
    </row>
    <row r="2" spans="1:10">
      <c r="A2" s="291" t="s">
        <v>818</v>
      </c>
      <c r="B2" s="291"/>
      <c r="C2" s="291"/>
      <c r="D2" s="291"/>
      <c r="E2" s="291"/>
      <c r="F2" s="291"/>
      <c r="G2" s="291"/>
      <c r="I2" s="291"/>
      <c r="J2" s="291"/>
    </row>
    <row r="3" spans="1:10">
      <c r="A3" s="291"/>
      <c r="B3" s="291"/>
      <c r="C3" s="291"/>
      <c r="D3" s="291"/>
      <c r="E3" s="291"/>
      <c r="F3" s="291"/>
      <c r="G3" s="291"/>
      <c r="I3" s="291"/>
      <c r="J3" s="291"/>
    </row>
    <row r="4" spans="1:10" ht="53.4">
      <c r="A4" s="292" t="s">
        <v>218</v>
      </c>
      <c r="B4" s="292" t="s">
        <v>262</v>
      </c>
      <c r="C4" s="292" t="s">
        <v>220</v>
      </c>
      <c r="D4" s="292" t="s">
        <v>819</v>
      </c>
      <c r="E4" s="292" t="s">
        <v>263</v>
      </c>
      <c r="F4" s="292" t="s">
        <v>264</v>
      </c>
      <c r="G4" s="292" t="s">
        <v>1008</v>
      </c>
      <c r="I4" s="292" t="s">
        <v>1011</v>
      </c>
      <c r="J4" s="292" t="s">
        <v>1009</v>
      </c>
    </row>
    <row r="5" spans="1:10">
      <c r="A5" s="289"/>
      <c r="B5" s="289"/>
      <c r="C5" s="289"/>
      <c r="D5" s="443"/>
      <c r="E5" s="294" t="s">
        <v>223</v>
      </c>
      <c r="F5" s="294" t="s">
        <v>224</v>
      </c>
      <c r="G5" s="294" t="s">
        <v>225</v>
      </c>
      <c r="I5" s="294" t="s">
        <v>226</v>
      </c>
      <c r="J5" s="294" t="s">
        <v>1010</v>
      </c>
    </row>
    <row r="6" spans="1:10">
      <c r="A6" s="443">
        <v>1</v>
      </c>
      <c r="B6" s="443">
        <v>50</v>
      </c>
      <c r="C6" s="317" t="s">
        <v>820</v>
      </c>
      <c r="D6" s="443" t="s">
        <v>821</v>
      </c>
      <c r="E6" s="297">
        <v>41456</v>
      </c>
      <c r="F6" s="296">
        <v>0.87</v>
      </c>
      <c r="G6" s="296">
        <f ca="1">+'Exhibit No.__(JAP-LIGHT RD) '!G30</f>
        <v>0.68</v>
      </c>
      <c r="I6" s="298">
        <f>+'[2]Tariff Summary Lights'!G6</f>
        <v>0.71</v>
      </c>
      <c r="J6" s="298">
        <f ca="1">+G6-I6</f>
        <v>-2.9999999999999916E-2</v>
      </c>
    </row>
    <row r="7" spans="1:10">
      <c r="A7" s="443">
        <f>+A6+1</f>
        <v>2</v>
      </c>
      <c r="B7" s="443">
        <f>+$B$6</f>
        <v>50</v>
      </c>
      <c r="C7" s="289" t="s">
        <v>822</v>
      </c>
      <c r="D7" s="443" t="s">
        <v>823</v>
      </c>
      <c r="E7" s="297">
        <f>+$E$6</f>
        <v>41456</v>
      </c>
      <c r="F7" s="296">
        <v>5.94</v>
      </c>
      <c r="G7" s="296">
        <f ca="1">+'Exhibit No.__(JAP-LIGHT RD) '!G32</f>
        <v>5.19</v>
      </c>
      <c r="I7" s="298">
        <f>+'[2]Tariff Summary Lights'!G7</f>
        <v>5.55</v>
      </c>
      <c r="J7" s="298">
        <f t="shared" ref="J7:J9" ca="1" si="0">+G7-I7</f>
        <v>-0.35999999999999943</v>
      </c>
    </row>
    <row r="8" spans="1:10">
      <c r="A8" s="443">
        <f t="shared" ref="A8:A71" si="1">+A7+1</f>
        <v>3</v>
      </c>
      <c r="B8" s="443">
        <f>+B7</f>
        <v>50</v>
      </c>
      <c r="C8" s="289" t="s">
        <v>822</v>
      </c>
      <c r="D8" s="443" t="s">
        <v>824</v>
      </c>
      <c r="E8" s="297">
        <f>+$E$6</f>
        <v>41456</v>
      </c>
      <c r="F8" s="296">
        <v>8.74</v>
      </c>
      <c r="G8" s="296">
        <f ca="1">+'Exhibit No.__(JAP-LIGHT RD) '!G33</f>
        <v>7.5</v>
      </c>
      <c r="I8" s="298">
        <f>+'[2]Tariff Summary Lights'!G8</f>
        <v>7.98</v>
      </c>
      <c r="J8" s="298">
        <f t="shared" ca="1" si="0"/>
        <v>-0.48000000000000043</v>
      </c>
    </row>
    <row r="9" spans="1:10">
      <c r="A9" s="443">
        <f t="shared" si="1"/>
        <v>4</v>
      </c>
      <c r="B9" s="443">
        <f>+B8</f>
        <v>50</v>
      </c>
      <c r="C9" s="289" t="s">
        <v>822</v>
      </c>
      <c r="D9" s="443" t="s">
        <v>825</v>
      </c>
      <c r="E9" s="297">
        <f>+$E$6</f>
        <v>41456</v>
      </c>
      <c r="F9" s="296">
        <v>17.149999999999999</v>
      </c>
      <c r="G9" s="296">
        <f ca="1">+'Exhibit No.__(JAP-LIGHT RD) '!G34</f>
        <v>14.45</v>
      </c>
      <c r="I9" s="298">
        <f>+'[2]Tariff Summary Lights'!G9</f>
        <v>15.26</v>
      </c>
      <c r="J9" s="298">
        <f t="shared" ca="1" si="0"/>
        <v>-0.8100000000000005</v>
      </c>
    </row>
    <row r="10" spans="1:10">
      <c r="A10" s="443">
        <f t="shared" si="1"/>
        <v>5</v>
      </c>
      <c r="B10" s="443"/>
      <c r="C10" s="289"/>
      <c r="D10" s="443"/>
      <c r="E10" s="289"/>
      <c r="F10" s="289"/>
      <c r="G10" s="296"/>
      <c r="I10" s="298"/>
      <c r="J10" s="298"/>
    </row>
    <row r="11" spans="1:10">
      <c r="A11" s="443">
        <f t="shared" si="1"/>
        <v>6</v>
      </c>
      <c r="B11" s="443">
        <f>+$B$6</f>
        <v>50</v>
      </c>
      <c r="C11" s="289" t="s">
        <v>826</v>
      </c>
      <c r="D11" s="443" t="s">
        <v>823</v>
      </c>
      <c r="E11" s="297">
        <f>+$E$6</f>
        <v>41456</v>
      </c>
      <c r="F11" s="296">
        <v>4.05</v>
      </c>
      <c r="G11" s="296">
        <f ca="1">+'Exhibit No.__(JAP-LIGHT RD) '!G36</f>
        <v>3.09</v>
      </c>
      <c r="I11" s="298">
        <f>+'[2]Tariff Summary Lights'!G11</f>
        <v>3.24</v>
      </c>
      <c r="J11" s="298">
        <f t="shared" ref="J11:J14" ca="1" si="2">+G11-I11</f>
        <v>-0.15000000000000036</v>
      </c>
    </row>
    <row r="12" spans="1:10">
      <c r="A12" s="443">
        <f t="shared" si="1"/>
        <v>7</v>
      </c>
      <c r="B12" s="443">
        <f>+$B$6</f>
        <v>50</v>
      </c>
      <c r="C12" s="289" t="s">
        <v>826</v>
      </c>
      <c r="D12" s="443" t="s">
        <v>824</v>
      </c>
      <c r="E12" s="297">
        <f>+$E$6</f>
        <v>41456</v>
      </c>
      <c r="F12" s="296">
        <v>6.85</v>
      </c>
      <c r="G12" s="296">
        <f ca="1">+'Exhibit No.__(JAP-LIGHT RD) '!G37</f>
        <v>5.4</v>
      </c>
      <c r="I12" s="298">
        <f>+'[2]Tariff Summary Lights'!G12</f>
        <v>5.66</v>
      </c>
      <c r="J12" s="298">
        <f t="shared" ca="1" si="2"/>
        <v>-0.25999999999999979</v>
      </c>
    </row>
    <row r="13" spans="1:10">
      <c r="A13" s="443">
        <f t="shared" si="1"/>
        <v>8</v>
      </c>
      <c r="B13" s="443">
        <f>+$B$6</f>
        <v>50</v>
      </c>
      <c r="C13" s="289" t="s">
        <v>826</v>
      </c>
      <c r="D13" s="443" t="s">
        <v>825</v>
      </c>
      <c r="E13" s="297">
        <f>+$E$6</f>
        <v>41456</v>
      </c>
      <c r="F13" s="296">
        <v>15.14</v>
      </c>
      <c r="G13" s="296">
        <f ca="1">+'Exhibit No.__(JAP-LIGHT RD) '!G38</f>
        <v>12.35</v>
      </c>
      <c r="I13" s="298">
        <f>+'[2]Tariff Summary Lights'!G13</f>
        <v>12.95</v>
      </c>
      <c r="J13" s="298">
        <f t="shared" ca="1" si="2"/>
        <v>-0.59999999999999964</v>
      </c>
    </row>
    <row r="14" spans="1:10">
      <c r="A14" s="443">
        <f t="shared" si="1"/>
        <v>9</v>
      </c>
      <c r="B14" s="443">
        <f>+$B$6</f>
        <v>50</v>
      </c>
      <c r="C14" s="289" t="s">
        <v>826</v>
      </c>
      <c r="D14" s="443" t="s">
        <v>827</v>
      </c>
      <c r="E14" s="297">
        <f>+$E$6</f>
        <v>41456</v>
      </c>
      <c r="F14" s="296">
        <v>28.57</v>
      </c>
      <c r="G14" s="296">
        <f ca="1">+'Exhibit No.__(JAP-LIGHT RD) '!G39</f>
        <v>21.61</v>
      </c>
      <c r="I14" s="298">
        <f>+'[2]Tariff Summary Lights'!G14</f>
        <v>22.65</v>
      </c>
      <c r="J14" s="298">
        <f t="shared" ca="1" si="2"/>
        <v>-1.0399999999999991</v>
      </c>
    </row>
    <row r="15" spans="1:10">
      <c r="A15" s="443">
        <f t="shared" si="1"/>
        <v>10</v>
      </c>
      <c r="B15" s="443"/>
      <c r="C15" s="289"/>
      <c r="D15" s="443"/>
      <c r="E15" s="289"/>
      <c r="F15" s="289"/>
      <c r="G15" s="296"/>
      <c r="I15" s="298"/>
      <c r="J15" s="298"/>
    </row>
    <row r="16" spans="1:10">
      <c r="A16" s="443">
        <f t="shared" si="1"/>
        <v>11</v>
      </c>
      <c r="B16" s="443">
        <v>51</v>
      </c>
      <c r="C16" s="289" t="s">
        <v>828</v>
      </c>
      <c r="D16" s="443" t="s">
        <v>829</v>
      </c>
      <c r="E16" s="297">
        <v>41043</v>
      </c>
      <c r="F16" s="450">
        <v>1.4670000000000001E-2</v>
      </c>
      <c r="G16" s="450">
        <f ca="1">+'Exhibit No.__(JAP-LIGHT RD) '!G105</f>
        <v>1.486E-2</v>
      </c>
      <c r="I16" s="450">
        <f>+'[2]Tariff Summary Lights'!G16</f>
        <v>1.525E-2</v>
      </c>
      <c r="J16" s="450">
        <f t="shared" ref="J16:J17" ca="1" si="3">+G16-I16</f>
        <v>-3.8999999999999972E-4</v>
      </c>
    </row>
    <row r="17" spans="1:10">
      <c r="A17" s="443">
        <f t="shared" si="1"/>
        <v>12</v>
      </c>
      <c r="B17" s="443">
        <f>+$B$16</f>
        <v>51</v>
      </c>
      <c r="C17" s="289" t="s">
        <v>828</v>
      </c>
      <c r="D17" s="443" t="s">
        <v>830</v>
      </c>
      <c r="E17" s="297">
        <v>41043</v>
      </c>
      <c r="F17" s="450">
        <v>1.72E-3</v>
      </c>
      <c r="G17" s="450">
        <f ca="1">+'Exhibit No.__(JAP-LIGHT RD) '!G106</f>
        <v>2.32E-3</v>
      </c>
      <c r="I17" s="450">
        <f>+'[2]Tariff Summary Lights'!G17</f>
        <v>2.32E-3</v>
      </c>
      <c r="J17" s="450">
        <f t="shared" ca="1" si="3"/>
        <v>0</v>
      </c>
    </row>
    <row r="18" spans="1:10">
      <c r="A18" s="443">
        <f t="shared" si="1"/>
        <v>13</v>
      </c>
      <c r="B18" s="443"/>
      <c r="C18" s="289"/>
      <c r="D18" s="443"/>
      <c r="E18" s="289"/>
      <c r="F18" s="289"/>
      <c r="G18" s="450"/>
      <c r="I18" s="450"/>
      <c r="J18" s="450"/>
    </row>
    <row r="19" spans="1:10">
      <c r="A19" s="443">
        <f t="shared" si="1"/>
        <v>14</v>
      </c>
      <c r="B19" s="443">
        <f t="shared" ref="B19:B72" si="4">+$B$16</f>
        <v>51</v>
      </c>
      <c r="C19" s="300" t="s">
        <v>831</v>
      </c>
      <c r="D19" s="443" t="s">
        <v>832</v>
      </c>
      <c r="E19" s="297">
        <f>+E14</f>
        <v>41456</v>
      </c>
      <c r="F19" s="296">
        <v>1.1399999999999999</v>
      </c>
      <c r="G19" s="296">
        <f ca="1">+'Exhibit No.__(JAP-LIGHT RD) '!G50</f>
        <v>1.39</v>
      </c>
      <c r="I19" s="298">
        <f>+'[2]Tariff Summary Lights'!G19</f>
        <v>1.46</v>
      </c>
      <c r="J19" s="298">
        <f t="shared" ref="J19:J72" ca="1" si="5">+G19-I19</f>
        <v>-7.0000000000000062E-2</v>
      </c>
    </row>
    <row r="20" spans="1:10">
      <c r="A20" s="443">
        <f t="shared" si="1"/>
        <v>15</v>
      </c>
      <c r="B20" s="443">
        <f t="shared" si="4"/>
        <v>51</v>
      </c>
      <c r="C20" s="300" t="s">
        <v>831</v>
      </c>
      <c r="D20" s="443" t="s">
        <v>833</v>
      </c>
      <c r="E20" s="297">
        <f>+E19</f>
        <v>41456</v>
      </c>
      <c r="F20" s="296">
        <v>1.3499999999999999</v>
      </c>
      <c r="G20" s="296">
        <f ca="1">+'Exhibit No.__(JAP-LIGHT RD) '!G51</f>
        <v>1.39</v>
      </c>
      <c r="I20" s="298">
        <f>+'[2]Tariff Summary Lights'!G20</f>
        <v>1.46</v>
      </c>
      <c r="J20" s="298">
        <f t="shared" ca="1" si="5"/>
        <v>-7.0000000000000062E-2</v>
      </c>
    </row>
    <row r="21" spans="1:10">
      <c r="A21" s="443">
        <f t="shared" si="1"/>
        <v>16</v>
      </c>
      <c r="B21" s="443">
        <f t="shared" si="4"/>
        <v>51</v>
      </c>
      <c r="C21" s="300" t="s">
        <v>831</v>
      </c>
      <c r="D21" s="443" t="s">
        <v>834</v>
      </c>
      <c r="E21" s="297">
        <f t="shared" ref="E21:E72" si="6">+E20</f>
        <v>41456</v>
      </c>
      <c r="F21" s="296">
        <v>1.49</v>
      </c>
      <c r="G21" s="296">
        <f ca="1">+'Exhibit No.__(JAP-LIGHT RD) '!G52</f>
        <v>1.39</v>
      </c>
      <c r="I21" s="298">
        <f>+'[2]Tariff Summary Lights'!G21</f>
        <v>1.46</v>
      </c>
      <c r="J21" s="298">
        <f t="shared" ca="1" si="5"/>
        <v>-7.0000000000000062E-2</v>
      </c>
    </row>
    <row r="22" spans="1:10">
      <c r="A22" s="443">
        <f t="shared" si="1"/>
        <v>17</v>
      </c>
      <c r="B22" s="443">
        <f t="shared" si="4"/>
        <v>51</v>
      </c>
      <c r="C22" s="300" t="s">
        <v>831</v>
      </c>
      <c r="D22" s="443" t="s">
        <v>835</v>
      </c>
      <c r="E22" s="297">
        <f t="shared" si="6"/>
        <v>41456</v>
      </c>
      <c r="F22" s="296">
        <v>1.67</v>
      </c>
      <c r="G22" s="296">
        <f ca="1">+'Exhibit No.__(JAP-LIGHT RD) '!G53</f>
        <v>1.39</v>
      </c>
      <c r="I22" s="298">
        <f>+'[2]Tariff Summary Lights'!G22</f>
        <v>1.46</v>
      </c>
      <c r="J22" s="298">
        <f t="shared" ca="1" si="5"/>
        <v>-7.0000000000000062E-2</v>
      </c>
    </row>
    <row r="23" spans="1:10">
      <c r="A23" s="443">
        <f t="shared" si="1"/>
        <v>18</v>
      </c>
      <c r="B23" s="443">
        <f t="shared" si="4"/>
        <v>51</v>
      </c>
      <c r="C23" s="300" t="s">
        <v>831</v>
      </c>
      <c r="D23" s="443" t="s">
        <v>836</v>
      </c>
      <c r="E23" s="297">
        <f t="shared" si="6"/>
        <v>41456</v>
      </c>
      <c r="F23" s="296">
        <v>1.8399999999999999</v>
      </c>
      <c r="G23" s="296">
        <f ca="1">+'Exhibit No.__(JAP-LIGHT RD) '!G54</f>
        <v>1.39</v>
      </c>
      <c r="I23" s="298">
        <f>+'[2]Tariff Summary Lights'!G23</f>
        <v>1.46</v>
      </c>
      <c r="J23" s="298">
        <f t="shared" ca="1" si="5"/>
        <v>-7.0000000000000062E-2</v>
      </c>
    </row>
    <row r="24" spans="1:10">
      <c r="A24" s="443">
        <f t="shared" si="1"/>
        <v>19</v>
      </c>
      <c r="B24" s="443">
        <f t="shared" si="4"/>
        <v>51</v>
      </c>
      <c r="C24" s="300" t="s">
        <v>831</v>
      </c>
      <c r="D24" s="443" t="s">
        <v>837</v>
      </c>
      <c r="E24" s="297">
        <f t="shared" si="6"/>
        <v>41456</v>
      </c>
      <c r="F24" s="296">
        <v>2.0299999999999998</v>
      </c>
      <c r="G24" s="296">
        <f ca="1">+'Exhibit No.__(JAP-LIGHT RD) '!G55</f>
        <v>1.39</v>
      </c>
      <c r="I24" s="298">
        <f>+'[2]Tariff Summary Lights'!G24</f>
        <v>1.46</v>
      </c>
      <c r="J24" s="298">
        <f t="shared" ca="1" si="5"/>
        <v>-7.0000000000000062E-2</v>
      </c>
    </row>
    <row r="25" spans="1:10">
      <c r="A25" s="443">
        <f t="shared" si="1"/>
        <v>20</v>
      </c>
      <c r="B25" s="443">
        <f t="shared" si="4"/>
        <v>51</v>
      </c>
      <c r="C25" s="300" t="s">
        <v>831</v>
      </c>
      <c r="D25" s="443" t="s">
        <v>838</v>
      </c>
      <c r="E25" s="297">
        <f t="shared" si="6"/>
        <v>41456</v>
      </c>
      <c r="F25" s="296">
        <v>2.2000000000000002</v>
      </c>
      <c r="G25" s="296">
        <f ca="1">+'Exhibit No.__(JAP-LIGHT RD) '!G56</f>
        <v>2.3199999999999998</v>
      </c>
      <c r="I25" s="298">
        <f>+'[2]Tariff Summary Lights'!G25</f>
        <v>2.4300000000000002</v>
      </c>
      <c r="J25" s="298">
        <f t="shared" ca="1" si="5"/>
        <v>-0.11000000000000032</v>
      </c>
    </row>
    <row r="26" spans="1:10">
      <c r="A26" s="443">
        <f t="shared" si="1"/>
        <v>21</v>
      </c>
      <c r="B26" s="443">
        <f t="shared" si="4"/>
        <v>51</v>
      </c>
      <c r="C26" s="300" t="s">
        <v>831</v>
      </c>
      <c r="D26" s="443" t="s">
        <v>839</v>
      </c>
      <c r="E26" s="297">
        <f t="shared" si="6"/>
        <v>41456</v>
      </c>
      <c r="F26" s="296">
        <v>2.3800000000000003</v>
      </c>
      <c r="G26" s="296">
        <f ca="1">+'Exhibit No.__(JAP-LIGHT RD) '!G57</f>
        <v>2.3199999999999998</v>
      </c>
      <c r="I26" s="298">
        <f>+'[2]Tariff Summary Lights'!G26</f>
        <v>2.4300000000000002</v>
      </c>
      <c r="J26" s="298">
        <f t="shared" ca="1" si="5"/>
        <v>-0.11000000000000032</v>
      </c>
    </row>
    <row r="27" spans="1:10">
      <c r="A27" s="443">
        <f t="shared" si="1"/>
        <v>22</v>
      </c>
      <c r="B27" s="443">
        <f t="shared" si="4"/>
        <v>51</v>
      </c>
      <c r="C27" s="300" t="s">
        <v>831</v>
      </c>
      <c r="D27" s="443" t="s">
        <v>840</v>
      </c>
      <c r="E27" s="297">
        <f t="shared" si="6"/>
        <v>41456</v>
      </c>
      <c r="F27" s="296">
        <v>2.5499999999999998</v>
      </c>
      <c r="G27" s="296">
        <f ca="1">+'Exhibit No.__(JAP-LIGHT RD) '!G58</f>
        <v>2.3199999999999998</v>
      </c>
      <c r="I27" s="298">
        <f>+'[2]Tariff Summary Lights'!G27</f>
        <v>2.4300000000000002</v>
      </c>
      <c r="J27" s="298">
        <f t="shared" ca="1" si="5"/>
        <v>-0.11000000000000032</v>
      </c>
    </row>
    <row r="28" spans="1:10">
      <c r="A28" s="443">
        <f t="shared" si="1"/>
        <v>23</v>
      </c>
      <c r="B28" s="443">
        <f t="shared" si="4"/>
        <v>51</v>
      </c>
      <c r="C28" s="300" t="s">
        <v>831</v>
      </c>
      <c r="D28" s="443" t="s">
        <v>841</v>
      </c>
      <c r="E28" s="297">
        <f t="shared" si="6"/>
        <v>41456</v>
      </c>
      <c r="F28" s="296">
        <v>2.73</v>
      </c>
      <c r="G28" s="296">
        <f ca="1">+'Exhibit No.__(JAP-LIGHT RD) '!G59</f>
        <v>2.3199999999999998</v>
      </c>
      <c r="I28" s="298">
        <f>+'[2]Tariff Summary Lights'!G28</f>
        <v>2.4300000000000002</v>
      </c>
      <c r="J28" s="298">
        <f t="shared" ca="1" si="5"/>
        <v>-0.11000000000000032</v>
      </c>
    </row>
    <row r="29" spans="1:10">
      <c r="A29" s="443">
        <f t="shared" si="1"/>
        <v>24</v>
      </c>
      <c r="B29" s="443">
        <f t="shared" si="4"/>
        <v>51</v>
      </c>
      <c r="C29" s="300" t="s">
        <v>831</v>
      </c>
      <c r="D29" s="443" t="s">
        <v>842</v>
      </c>
      <c r="E29" s="297">
        <f t="shared" si="6"/>
        <v>41456</v>
      </c>
      <c r="F29" s="296">
        <v>2.9000000000000004</v>
      </c>
      <c r="G29" s="296">
        <f ca="1">+'Exhibit No.__(JAP-LIGHT RD) '!G60</f>
        <v>2.3199999999999998</v>
      </c>
      <c r="I29" s="298">
        <f>+'[2]Tariff Summary Lights'!G29</f>
        <v>2.4300000000000002</v>
      </c>
      <c r="J29" s="298">
        <f t="shared" ca="1" si="5"/>
        <v>-0.11000000000000032</v>
      </c>
    </row>
    <row r="30" spans="1:10">
      <c r="A30" s="443">
        <f t="shared" si="1"/>
        <v>25</v>
      </c>
      <c r="B30" s="443">
        <f t="shared" si="4"/>
        <v>51</v>
      </c>
      <c r="C30" s="300" t="s">
        <v>831</v>
      </c>
      <c r="D30" s="443" t="s">
        <v>843</v>
      </c>
      <c r="E30" s="297">
        <f t="shared" si="6"/>
        <v>41456</v>
      </c>
      <c r="F30" s="296">
        <v>3.07</v>
      </c>
      <c r="G30" s="296">
        <f ca="1">+'Exhibit No.__(JAP-LIGHT RD) '!G61</f>
        <v>2.3199999999999998</v>
      </c>
      <c r="I30" s="298">
        <f>+'[2]Tariff Summary Lights'!G30</f>
        <v>2.4300000000000002</v>
      </c>
      <c r="J30" s="298">
        <f t="shared" ca="1" si="5"/>
        <v>-0.11000000000000032</v>
      </c>
    </row>
    <row r="31" spans="1:10">
      <c r="A31" s="443">
        <f t="shared" si="1"/>
        <v>26</v>
      </c>
      <c r="B31" s="443">
        <f t="shared" si="4"/>
        <v>51</v>
      </c>
      <c r="C31" s="300" t="s">
        <v>831</v>
      </c>
      <c r="D31" s="443" t="s">
        <v>844</v>
      </c>
      <c r="E31" s="297">
        <f t="shared" si="6"/>
        <v>41456</v>
      </c>
      <c r="F31" s="296">
        <v>3.26</v>
      </c>
      <c r="G31" s="296">
        <f ca="1">+'Exhibit No.__(JAP-LIGHT RD) '!G62</f>
        <v>3.24</v>
      </c>
      <c r="I31" s="298">
        <f>+'[2]Tariff Summary Lights'!G31</f>
        <v>3.4</v>
      </c>
      <c r="J31" s="298">
        <f t="shared" ca="1" si="5"/>
        <v>-0.1599999999999997</v>
      </c>
    </row>
    <row r="32" spans="1:10">
      <c r="A32" s="443">
        <f t="shared" si="1"/>
        <v>27</v>
      </c>
      <c r="B32" s="443">
        <f t="shared" si="4"/>
        <v>51</v>
      </c>
      <c r="C32" s="300" t="s">
        <v>831</v>
      </c>
      <c r="D32" s="443" t="s">
        <v>845</v>
      </c>
      <c r="E32" s="297">
        <f t="shared" si="6"/>
        <v>41456</v>
      </c>
      <c r="F32" s="296">
        <v>3.43</v>
      </c>
      <c r="G32" s="296">
        <f ca="1">+'Exhibit No.__(JAP-LIGHT RD) '!G63</f>
        <v>3.24</v>
      </c>
      <c r="I32" s="298">
        <f>+'[2]Tariff Summary Lights'!G32</f>
        <v>3.4</v>
      </c>
      <c r="J32" s="298">
        <f t="shared" ca="1" si="5"/>
        <v>-0.1599999999999997</v>
      </c>
    </row>
    <row r="33" spans="1:10">
      <c r="A33" s="443">
        <f t="shared" si="1"/>
        <v>28</v>
      </c>
      <c r="B33" s="443">
        <f t="shared" si="4"/>
        <v>51</v>
      </c>
      <c r="C33" s="300" t="s">
        <v>831</v>
      </c>
      <c r="D33" s="443" t="s">
        <v>846</v>
      </c>
      <c r="E33" s="297">
        <f t="shared" si="6"/>
        <v>41456</v>
      </c>
      <c r="F33" s="296">
        <v>3.6100000000000003</v>
      </c>
      <c r="G33" s="296">
        <f ca="1">+'Exhibit No.__(JAP-LIGHT RD) '!G64</f>
        <v>3.24</v>
      </c>
      <c r="I33" s="298">
        <f>+'[2]Tariff Summary Lights'!G33</f>
        <v>3.4</v>
      </c>
      <c r="J33" s="298">
        <f t="shared" ca="1" si="5"/>
        <v>-0.1599999999999997</v>
      </c>
    </row>
    <row r="34" spans="1:10">
      <c r="A34" s="443">
        <f t="shared" si="1"/>
        <v>29</v>
      </c>
      <c r="B34" s="443">
        <f t="shared" si="4"/>
        <v>51</v>
      </c>
      <c r="C34" s="300" t="s">
        <v>831</v>
      </c>
      <c r="D34" s="443" t="s">
        <v>847</v>
      </c>
      <c r="E34" s="297">
        <f t="shared" si="6"/>
        <v>41456</v>
      </c>
      <c r="F34" s="296">
        <v>3.78</v>
      </c>
      <c r="G34" s="296">
        <f ca="1">+'Exhibit No.__(JAP-LIGHT RD) '!G65</f>
        <v>3.24</v>
      </c>
      <c r="I34" s="298">
        <f>+'[2]Tariff Summary Lights'!G34</f>
        <v>3.4</v>
      </c>
      <c r="J34" s="298">
        <f t="shared" ca="1" si="5"/>
        <v>-0.1599999999999997</v>
      </c>
    </row>
    <row r="35" spans="1:10">
      <c r="A35" s="443">
        <f t="shared" si="1"/>
        <v>30</v>
      </c>
      <c r="B35" s="443">
        <f t="shared" si="4"/>
        <v>51</v>
      </c>
      <c r="C35" s="300" t="s">
        <v>831</v>
      </c>
      <c r="D35" s="443" t="s">
        <v>848</v>
      </c>
      <c r="E35" s="297">
        <f t="shared" si="6"/>
        <v>41456</v>
      </c>
      <c r="F35" s="296">
        <v>3.96</v>
      </c>
      <c r="G35" s="296">
        <f ca="1">+'Exhibit No.__(JAP-LIGHT RD) '!G66</f>
        <v>3.24</v>
      </c>
      <c r="I35" s="298">
        <f>+'[2]Tariff Summary Lights'!G35</f>
        <v>3.4</v>
      </c>
      <c r="J35" s="298">
        <f t="shared" ca="1" si="5"/>
        <v>-0.1599999999999997</v>
      </c>
    </row>
    <row r="36" spans="1:10">
      <c r="A36" s="443">
        <f t="shared" si="1"/>
        <v>31</v>
      </c>
      <c r="B36" s="443">
        <f t="shared" si="4"/>
        <v>51</v>
      </c>
      <c r="C36" s="300" t="s">
        <v>831</v>
      </c>
      <c r="D36" s="443" t="s">
        <v>849</v>
      </c>
      <c r="E36" s="297">
        <f t="shared" si="6"/>
        <v>41456</v>
      </c>
      <c r="F36" s="296">
        <v>4.13</v>
      </c>
      <c r="G36" s="296">
        <f ca="1">+'Exhibit No.__(JAP-LIGHT RD) '!G67</f>
        <v>3.24</v>
      </c>
      <c r="I36" s="298">
        <f>+'[2]Tariff Summary Lights'!G36</f>
        <v>3.4</v>
      </c>
      <c r="J36" s="298">
        <f t="shared" ca="1" si="5"/>
        <v>-0.1599999999999997</v>
      </c>
    </row>
    <row r="37" spans="1:10">
      <c r="A37" s="443">
        <f t="shared" si="1"/>
        <v>32</v>
      </c>
      <c r="B37" s="443">
        <f t="shared" si="4"/>
        <v>51</v>
      </c>
      <c r="C37" s="300" t="s">
        <v>831</v>
      </c>
      <c r="D37" s="443" t="s">
        <v>850</v>
      </c>
      <c r="E37" s="297">
        <f t="shared" si="6"/>
        <v>41456</v>
      </c>
      <c r="F37" s="296">
        <v>4.3100000000000005</v>
      </c>
      <c r="G37" s="296">
        <f ca="1">+'Exhibit No.__(JAP-LIGHT RD) '!G68</f>
        <v>4.17</v>
      </c>
      <c r="I37" s="298">
        <f>+'[2]Tariff Summary Lights'!G37</f>
        <v>4.37</v>
      </c>
      <c r="J37" s="298">
        <f t="shared" ca="1" si="5"/>
        <v>-0.20000000000000018</v>
      </c>
    </row>
    <row r="38" spans="1:10">
      <c r="A38" s="443">
        <f t="shared" si="1"/>
        <v>33</v>
      </c>
      <c r="B38" s="443">
        <f t="shared" si="4"/>
        <v>51</v>
      </c>
      <c r="C38" s="300" t="s">
        <v>831</v>
      </c>
      <c r="D38" s="443" t="s">
        <v>851</v>
      </c>
      <c r="E38" s="297">
        <f t="shared" si="6"/>
        <v>41456</v>
      </c>
      <c r="F38" s="296">
        <v>4.49</v>
      </c>
      <c r="G38" s="296">
        <f ca="1">+'Exhibit No.__(JAP-LIGHT RD) '!G69</f>
        <v>4.17</v>
      </c>
      <c r="I38" s="298">
        <f>+'[2]Tariff Summary Lights'!G38</f>
        <v>4.37</v>
      </c>
      <c r="J38" s="298">
        <f t="shared" ca="1" si="5"/>
        <v>-0.20000000000000018</v>
      </c>
    </row>
    <row r="39" spans="1:10">
      <c r="A39" s="443">
        <f t="shared" si="1"/>
        <v>34</v>
      </c>
      <c r="B39" s="443">
        <f t="shared" si="4"/>
        <v>51</v>
      </c>
      <c r="C39" s="300" t="s">
        <v>831</v>
      </c>
      <c r="D39" s="443" t="s">
        <v>852</v>
      </c>
      <c r="E39" s="297">
        <f t="shared" si="6"/>
        <v>41456</v>
      </c>
      <c r="F39" s="296">
        <v>4.6599999999999993</v>
      </c>
      <c r="G39" s="296">
        <f ca="1">+'Exhibit No.__(JAP-LIGHT RD) '!G70</f>
        <v>4.17</v>
      </c>
      <c r="I39" s="298">
        <f>+'[2]Tariff Summary Lights'!G39</f>
        <v>4.37</v>
      </c>
      <c r="J39" s="298">
        <f t="shared" ca="1" si="5"/>
        <v>-0.20000000000000018</v>
      </c>
    </row>
    <row r="40" spans="1:10">
      <c r="A40" s="443">
        <f t="shared" si="1"/>
        <v>35</v>
      </c>
      <c r="B40" s="443">
        <f t="shared" si="4"/>
        <v>51</v>
      </c>
      <c r="C40" s="300" t="s">
        <v>831</v>
      </c>
      <c r="D40" s="443" t="s">
        <v>853</v>
      </c>
      <c r="E40" s="297">
        <f t="shared" si="6"/>
        <v>41456</v>
      </c>
      <c r="F40" s="296">
        <v>4.84</v>
      </c>
      <c r="G40" s="296">
        <f ca="1">+'Exhibit No.__(JAP-LIGHT RD) '!G71</f>
        <v>4.17</v>
      </c>
      <c r="I40" s="298">
        <f>+'[2]Tariff Summary Lights'!G40</f>
        <v>4.37</v>
      </c>
      <c r="J40" s="298">
        <f t="shared" ca="1" si="5"/>
        <v>-0.20000000000000018</v>
      </c>
    </row>
    <row r="41" spans="1:10">
      <c r="A41" s="443">
        <f t="shared" si="1"/>
        <v>36</v>
      </c>
      <c r="B41" s="443">
        <f t="shared" si="4"/>
        <v>51</v>
      </c>
      <c r="C41" s="300" t="s">
        <v>831</v>
      </c>
      <c r="D41" s="443" t="s">
        <v>854</v>
      </c>
      <c r="E41" s="297">
        <f t="shared" si="6"/>
        <v>41456</v>
      </c>
      <c r="F41" s="296">
        <v>5.01</v>
      </c>
      <c r="G41" s="296">
        <f ca="1">+'Exhibit No.__(JAP-LIGHT RD) '!G72</f>
        <v>4.17</v>
      </c>
      <c r="I41" s="298">
        <f>+'[2]Tariff Summary Lights'!G41</f>
        <v>4.37</v>
      </c>
      <c r="J41" s="298">
        <f t="shared" ca="1" si="5"/>
        <v>-0.20000000000000018</v>
      </c>
    </row>
    <row r="42" spans="1:10">
      <c r="A42" s="443">
        <f t="shared" si="1"/>
        <v>37</v>
      </c>
      <c r="B42" s="443">
        <f t="shared" si="4"/>
        <v>51</v>
      </c>
      <c r="C42" s="300" t="s">
        <v>831</v>
      </c>
      <c r="D42" s="443" t="s">
        <v>855</v>
      </c>
      <c r="E42" s="297">
        <f t="shared" si="6"/>
        <v>41456</v>
      </c>
      <c r="F42" s="296">
        <v>5.1899999999999995</v>
      </c>
      <c r="G42" s="296">
        <f ca="1">+'Exhibit No.__(JAP-LIGHT RD) '!G73</f>
        <v>4.17</v>
      </c>
      <c r="I42" s="298">
        <f>+'[2]Tariff Summary Lights'!G42</f>
        <v>4.37</v>
      </c>
      <c r="J42" s="298">
        <f t="shared" ca="1" si="5"/>
        <v>-0.20000000000000018</v>
      </c>
    </row>
    <row r="43" spans="1:10">
      <c r="A43" s="443">
        <f t="shared" si="1"/>
        <v>38</v>
      </c>
      <c r="B43" s="443">
        <f t="shared" si="4"/>
        <v>51</v>
      </c>
      <c r="C43" s="300" t="s">
        <v>831</v>
      </c>
      <c r="D43" s="443" t="s">
        <v>856</v>
      </c>
      <c r="E43" s="297">
        <f t="shared" si="6"/>
        <v>41456</v>
      </c>
      <c r="F43" s="296">
        <v>5.36</v>
      </c>
      <c r="G43" s="296">
        <f ca="1">+'Exhibit No.__(JAP-LIGHT RD) '!G74</f>
        <v>5.09</v>
      </c>
      <c r="I43" s="298">
        <f>+'[2]Tariff Summary Lights'!G43</f>
        <v>5.34</v>
      </c>
      <c r="J43" s="298">
        <f t="shared" ca="1" si="5"/>
        <v>-0.25</v>
      </c>
    </row>
    <row r="44" spans="1:10">
      <c r="A44" s="443">
        <f t="shared" si="1"/>
        <v>39</v>
      </c>
      <c r="B44" s="443">
        <f t="shared" si="4"/>
        <v>51</v>
      </c>
      <c r="C44" s="300" t="s">
        <v>831</v>
      </c>
      <c r="D44" s="443" t="s">
        <v>857</v>
      </c>
      <c r="E44" s="297">
        <f t="shared" si="6"/>
        <v>41456</v>
      </c>
      <c r="F44" s="296">
        <v>5.54</v>
      </c>
      <c r="G44" s="296">
        <f ca="1">+'Exhibit No.__(JAP-LIGHT RD) '!G75</f>
        <v>5.09</v>
      </c>
      <c r="I44" s="298">
        <f>+'[2]Tariff Summary Lights'!G44</f>
        <v>5.34</v>
      </c>
      <c r="J44" s="298">
        <f t="shared" ca="1" si="5"/>
        <v>-0.25</v>
      </c>
    </row>
    <row r="45" spans="1:10">
      <c r="A45" s="443">
        <f t="shared" si="1"/>
        <v>40</v>
      </c>
      <c r="B45" s="443">
        <f t="shared" si="4"/>
        <v>51</v>
      </c>
      <c r="C45" s="300" t="s">
        <v>831</v>
      </c>
      <c r="D45" s="443" t="s">
        <v>858</v>
      </c>
      <c r="E45" s="297">
        <f t="shared" si="6"/>
        <v>41456</v>
      </c>
      <c r="F45" s="296">
        <v>5.7200000000000006</v>
      </c>
      <c r="G45" s="296">
        <f ca="1">+'Exhibit No.__(JAP-LIGHT RD) '!G76</f>
        <v>5.09</v>
      </c>
      <c r="I45" s="298">
        <f>+'[2]Tariff Summary Lights'!G45</f>
        <v>5.34</v>
      </c>
      <c r="J45" s="298">
        <f t="shared" ca="1" si="5"/>
        <v>-0.25</v>
      </c>
    </row>
    <row r="46" spans="1:10">
      <c r="A46" s="443">
        <f t="shared" si="1"/>
        <v>41</v>
      </c>
      <c r="B46" s="443">
        <f t="shared" si="4"/>
        <v>51</v>
      </c>
      <c r="C46" s="300" t="s">
        <v>831</v>
      </c>
      <c r="D46" s="443" t="s">
        <v>859</v>
      </c>
      <c r="E46" s="297">
        <f t="shared" si="6"/>
        <v>41456</v>
      </c>
      <c r="F46" s="296">
        <v>5.9</v>
      </c>
      <c r="G46" s="296">
        <f ca="1">+'Exhibit No.__(JAP-LIGHT RD) '!G77</f>
        <v>5.09</v>
      </c>
      <c r="I46" s="298">
        <f>+'[2]Tariff Summary Lights'!G46</f>
        <v>5.34</v>
      </c>
      <c r="J46" s="298">
        <f t="shared" ca="1" si="5"/>
        <v>-0.25</v>
      </c>
    </row>
    <row r="47" spans="1:10">
      <c r="A47" s="443">
        <f t="shared" si="1"/>
        <v>42</v>
      </c>
      <c r="B47" s="443">
        <f t="shared" si="4"/>
        <v>51</v>
      </c>
      <c r="C47" s="300" t="s">
        <v>831</v>
      </c>
      <c r="D47" s="443" t="s">
        <v>860</v>
      </c>
      <c r="E47" s="297">
        <f t="shared" si="6"/>
        <v>41456</v>
      </c>
      <c r="F47" s="296">
        <v>6.0699999999999994</v>
      </c>
      <c r="G47" s="296">
        <f ca="1">+'Exhibit No.__(JAP-LIGHT RD) '!G78</f>
        <v>5.09</v>
      </c>
      <c r="I47" s="298">
        <f>+'[2]Tariff Summary Lights'!G47</f>
        <v>5.34</v>
      </c>
      <c r="J47" s="298">
        <f t="shared" ca="1" si="5"/>
        <v>-0.25</v>
      </c>
    </row>
    <row r="48" spans="1:10">
      <c r="A48" s="443">
        <f t="shared" si="1"/>
        <v>43</v>
      </c>
      <c r="B48" s="443">
        <f t="shared" si="4"/>
        <v>51</v>
      </c>
      <c r="C48" s="300" t="s">
        <v>831</v>
      </c>
      <c r="D48" s="443" t="s">
        <v>861</v>
      </c>
      <c r="E48" s="297">
        <f t="shared" si="6"/>
        <v>41456</v>
      </c>
      <c r="F48" s="296">
        <v>6.25</v>
      </c>
      <c r="G48" s="296">
        <f ca="1">+'Exhibit No.__(JAP-LIGHT RD) '!G79</f>
        <v>5.09</v>
      </c>
      <c r="I48" s="298">
        <f>+'[2]Tariff Summary Lights'!G48</f>
        <v>5.34</v>
      </c>
      <c r="J48" s="298">
        <f t="shared" ca="1" si="5"/>
        <v>-0.25</v>
      </c>
    </row>
    <row r="49" spans="1:10">
      <c r="A49" s="443">
        <f t="shared" si="1"/>
        <v>44</v>
      </c>
      <c r="B49" s="443">
        <f t="shared" si="4"/>
        <v>51</v>
      </c>
      <c r="C49" s="300" t="s">
        <v>831</v>
      </c>
      <c r="D49" s="443" t="s">
        <v>862</v>
      </c>
      <c r="E49" s="297">
        <f t="shared" si="6"/>
        <v>41456</v>
      </c>
      <c r="F49" s="296">
        <v>6.42</v>
      </c>
      <c r="G49" s="296">
        <f ca="1">+'Exhibit No.__(JAP-LIGHT RD) '!G80</f>
        <v>6.02</v>
      </c>
      <c r="I49" s="298">
        <f>+'[2]Tariff Summary Lights'!G49</f>
        <v>6.31</v>
      </c>
      <c r="J49" s="298">
        <f t="shared" ca="1" si="5"/>
        <v>-0.29000000000000004</v>
      </c>
    </row>
    <row r="50" spans="1:10">
      <c r="A50" s="443">
        <f t="shared" si="1"/>
        <v>45</v>
      </c>
      <c r="B50" s="443">
        <f t="shared" si="4"/>
        <v>51</v>
      </c>
      <c r="C50" s="300" t="s">
        <v>831</v>
      </c>
      <c r="D50" s="443" t="s">
        <v>863</v>
      </c>
      <c r="E50" s="297">
        <f t="shared" si="6"/>
        <v>41456</v>
      </c>
      <c r="F50" s="296">
        <v>6.59</v>
      </c>
      <c r="G50" s="296">
        <f ca="1">+'Exhibit No.__(JAP-LIGHT RD) '!G81</f>
        <v>6.02</v>
      </c>
      <c r="I50" s="298">
        <f>+'[2]Tariff Summary Lights'!G50</f>
        <v>6.31</v>
      </c>
      <c r="J50" s="298">
        <f t="shared" ca="1" si="5"/>
        <v>-0.29000000000000004</v>
      </c>
    </row>
    <row r="51" spans="1:10">
      <c r="A51" s="443">
        <f t="shared" si="1"/>
        <v>46</v>
      </c>
      <c r="B51" s="443">
        <f t="shared" si="4"/>
        <v>51</v>
      </c>
      <c r="C51" s="300" t="s">
        <v>831</v>
      </c>
      <c r="D51" s="443" t="s">
        <v>864</v>
      </c>
      <c r="E51" s="297">
        <f t="shared" si="6"/>
        <v>41456</v>
      </c>
      <c r="F51" s="296">
        <v>6.7700000000000005</v>
      </c>
      <c r="G51" s="296">
        <f ca="1">+'Exhibit No.__(JAP-LIGHT RD) '!G82</f>
        <v>6.02</v>
      </c>
      <c r="I51" s="298">
        <f>+'[2]Tariff Summary Lights'!G51</f>
        <v>6.31</v>
      </c>
      <c r="J51" s="298">
        <f t="shared" ca="1" si="5"/>
        <v>-0.29000000000000004</v>
      </c>
    </row>
    <row r="52" spans="1:10">
      <c r="A52" s="443">
        <f t="shared" si="1"/>
        <v>47</v>
      </c>
      <c r="B52" s="443">
        <f t="shared" si="4"/>
        <v>51</v>
      </c>
      <c r="C52" s="300" t="s">
        <v>831</v>
      </c>
      <c r="D52" s="443" t="s">
        <v>865</v>
      </c>
      <c r="E52" s="297">
        <f t="shared" si="6"/>
        <v>41456</v>
      </c>
      <c r="F52" s="296">
        <v>6.95</v>
      </c>
      <c r="G52" s="296">
        <f ca="1">+'Exhibit No.__(JAP-LIGHT RD) '!G83</f>
        <v>6.02</v>
      </c>
      <c r="I52" s="298">
        <f>+'[2]Tariff Summary Lights'!G52</f>
        <v>6.31</v>
      </c>
      <c r="J52" s="298">
        <f t="shared" ca="1" si="5"/>
        <v>-0.29000000000000004</v>
      </c>
    </row>
    <row r="53" spans="1:10">
      <c r="A53" s="443">
        <f t="shared" si="1"/>
        <v>48</v>
      </c>
      <c r="B53" s="443">
        <f t="shared" si="4"/>
        <v>51</v>
      </c>
      <c r="C53" s="300" t="s">
        <v>831</v>
      </c>
      <c r="D53" s="443" t="s">
        <v>866</v>
      </c>
      <c r="E53" s="297">
        <f t="shared" si="6"/>
        <v>41456</v>
      </c>
      <c r="F53" s="296">
        <v>7.13</v>
      </c>
      <c r="G53" s="296">
        <f ca="1">+'Exhibit No.__(JAP-LIGHT RD) '!G84</f>
        <v>6.02</v>
      </c>
      <c r="I53" s="298">
        <f>+'[2]Tariff Summary Lights'!G53</f>
        <v>6.31</v>
      </c>
      <c r="J53" s="298">
        <f t="shared" ca="1" si="5"/>
        <v>-0.29000000000000004</v>
      </c>
    </row>
    <row r="54" spans="1:10">
      <c r="A54" s="443">
        <f t="shared" si="1"/>
        <v>49</v>
      </c>
      <c r="B54" s="443">
        <f t="shared" si="4"/>
        <v>51</v>
      </c>
      <c r="C54" s="300" t="s">
        <v>831</v>
      </c>
      <c r="D54" s="443" t="s">
        <v>867</v>
      </c>
      <c r="E54" s="297">
        <f t="shared" si="6"/>
        <v>41456</v>
      </c>
      <c r="F54" s="296">
        <v>7.3</v>
      </c>
      <c r="G54" s="296">
        <f ca="1">+'Exhibit No.__(JAP-LIGHT RD) '!G85</f>
        <v>6.02</v>
      </c>
      <c r="I54" s="298">
        <f>+'[2]Tariff Summary Lights'!G54</f>
        <v>6.31</v>
      </c>
      <c r="J54" s="298">
        <f t="shared" ca="1" si="5"/>
        <v>-0.29000000000000004</v>
      </c>
    </row>
    <row r="55" spans="1:10">
      <c r="A55" s="443">
        <f t="shared" si="1"/>
        <v>50</v>
      </c>
      <c r="B55" s="443">
        <f t="shared" si="4"/>
        <v>51</v>
      </c>
      <c r="C55" s="300" t="s">
        <v>831</v>
      </c>
      <c r="D55" s="443" t="s">
        <v>868</v>
      </c>
      <c r="E55" s="297">
        <f t="shared" si="6"/>
        <v>41456</v>
      </c>
      <c r="F55" s="296">
        <v>7.4799999999999995</v>
      </c>
      <c r="G55" s="296">
        <f ca="1">+'Exhibit No.__(JAP-LIGHT RD) '!G86</f>
        <v>6.95</v>
      </c>
      <c r="I55" s="298">
        <f>+'[2]Tariff Summary Lights'!G55</f>
        <v>7.28</v>
      </c>
      <c r="J55" s="298">
        <f t="shared" ca="1" si="5"/>
        <v>-0.33000000000000007</v>
      </c>
    </row>
    <row r="56" spans="1:10">
      <c r="A56" s="443">
        <f t="shared" si="1"/>
        <v>51</v>
      </c>
      <c r="B56" s="443">
        <f t="shared" si="4"/>
        <v>51</v>
      </c>
      <c r="C56" s="300" t="s">
        <v>831</v>
      </c>
      <c r="D56" s="443" t="s">
        <v>869</v>
      </c>
      <c r="E56" s="297">
        <f t="shared" si="6"/>
        <v>41456</v>
      </c>
      <c r="F56" s="296">
        <v>7.6499999999999995</v>
      </c>
      <c r="G56" s="296">
        <f ca="1">+'Exhibit No.__(JAP-LIGHT RD) '!G87</f>
        <v>6.95</v>
      </c>
      <c r="I56" s="298">
        <f>+'[2]Tariff Summary Lights'!G56</f>
        <v>7.28</v>
      </c>
      <c r="J56" s="298">
        <f t="shared" ca="1" si="5"/>
        <v>-0.33000000000000007</v>
      </c>
    </row>
    <row r="57" spans="1:10">
      <c r="A57" s="443">
        <f t="shared" si="1"/>
        <v>52</v>
      </c>
      <c r="B57" s="443">
        <f t="shared" si="4"/>
        <v>51</v>
      </c>
      <c r="C57" s="300" t="s">
        <v>831</v>
      </c>
      <c r="D57" s="443" t="s">
        <v>870</v>
      </c>
      <c r="E57" s="297">
        <f t="shared" si="6"/>
        <v>41456</v>
      </c>
      <c r="F57" s="296">
        <v>7.83</v>
      </c>
      <c r="G57" s="296">
        <f ca="1">+'Exhibit No.__(JAP-LIGHT RD) '!G88</f>
        <v>6.95</v>
      </c>
      <c r="I57" s="298">
        <f>+'[2]Tariff Summary Lights'!G57</f>
        <v>7.28</v>
      </c>
      <c r="J57" s="298">
        <f t="shared" ca="1" si="5"/>
        <v>-0.33000000000000007</v>
      </c>
    </row>
    <row r="58" spans="1:10">
      <c r="A58" s="443">
        <f t="shared" si="1"/>
        <v>53</v>
      </c>
      <c r="B58" s="443">
        <f t="shared" si="4"/>
        <v>51</v>
      </c>
      <c r="C58" s="300" t="s">
        <v>831</v>
      </c>
      <c r="D58" s="443" t="s">
        <v>871</v>
      </c>
      <c r="E58" s="297">
        <f t="shared" si="6"/>
        <v>41456</v>
      </c>
      <c r="F58" s="296">
        <v>8</v>
      </c>
      <c r="G58" s="296">
        <f ca="1">+'Exhibit No.__(JAP-LIGHT RD) '!G89</f>
        <v>6.95</v>
      </c>
      <c r="I58" s="298">
        <f>+'[2]Tariff Summary Lights'!G58</f>
        <v>7.28</v>
      </c>
      <c r="J58" s="298">
        <f t="shared" ca="1" si="5"/>
        <v>-0.33000000000000007</v>
      </c>
    </row>
    <row r="59" spans="1:10">
      <c r="A59" s="443">
        <f t="shared" si="1"/>
        <v>54</v>
      </c>
      <c r="B59" s="443">
        <f t="shared" si="4"/>
        <v>51</v>
      </c>
      <c r="C59" s="300" t="s">
        <v>831</v>
      </c>
      <c r="D59" s="443" t="s">
        <v>872</v>
      </c>
      <c r="E59" s="297">
        <f t="shared" si="6"/>
        <v>41456</v>
      </c>
      <c r="F59" s="296">
        <v>8.19</v>
      </c>
      <c r="G59" s="296">
        <f ca="1">+'Exhibit No.__(JAP-LIGHT RD) '!G90</f>
        <v>6.95</v>
      </c>
      <c r="I59" s="298">
        <f>+'[2]Tariff Summary Lights'!G59</f>
        <v>7.28</v>
      </c>
      <c r="J59" s="298">
        <f t="shared" ca="1" si="5"/>
        <v>-0.33000000000000007</v>
      </c>
    </row>
    <row r="60" spans="1:10">
      <c r="A60" s="443">
        <f t="shared" si="1"/>
        <v>55</v>
      </c>
      <c r="B60" s="443">
        <f t="shared" si="4"/>
        <v>51</v>
      </c>
      <c r="C60" s="300" t="s">
        <v>831</v>
      </c>
      <c r="D60" s="443" t="s">
        <v>873</v>
      </c>
      <c r="E60" s="297">
        <f t="shared" si="6"/>
        <v>41456</v>
      </c>
      <c r="F60" s="296">
        <v>8.36</v>
      </c>
      <c r="G60" s="296">
        <f ca="1">+'Exhibit No.__(JAP-LIGHT RD) '!G91</f>
        <v>6.95</v>
      </c>
      <c r="I60" s="298">
        <f>+'[2]Tariff Summary Lights'!G60</f>
        <v>7.28</v>
      </c>
      <c r="J60" s="298">
        <f t="shared" ca="1" si="5"/>
        <v>-0.33000000000000007</v>
      </c>
    </row>
    <row r="61" spans="1:10">
      <c r="A61" s="443">
        <f t="shared" si="1"/>
        <v>56</v>
      </c>
      <c r="B61" s="443">
        <f t="shared" si="4"/>
        <v>51</v>
      </c>
      <c r="C61" s="300" t="s">
        <v>831</v>
      </c>
      <c r="D61" s="443" t="s">
        <v>874</v>
      </c>
      <c r="E61" s="297">
        <f t="shared" si="6"/>
        <v>41456</v>
      </c>
      <c r="F61" s="296">
        <v>8.5300000000000011</v>
      </c>
      <c r="G61" s="296">
        <f ca="1">+'Exhibit No.__(JAP-LIGHT RD) '!G92</f>
        <v>7.87</v>
      </c>
      <c r="I61" s="298">
        <f>+'[2]Tariff Summary Lights'!G61</f>
        <v>8.25</v>
      </c>
      <c r="J61" s="298">
        <f t="shared" ca="1" si="5"/>
        <v>-0.37999999999999989</v>
      </c>
    </row>
    <row r="62" spans="1:10">
      <c r="A62" s="443">
        <f t="shared" si="1"/>
        <v>57</v>
      </c>
      <c r="B62" s="443">
        <f t="shared" si="4"/>
        <v>51</v>
      </c>
      <c r="C62" s="300" t="s">
        <v>831</v>
      </c>
      <c r="D62" s="443" t="s">
        <v>875</v>
      </c>
      <c r="E62" s="297">
        <f t="shared" si="6"/>
        <v>41456</v>
      </c>
      <c r="F62" s="296">
        <v>8.7100000000000009</v>
      </c>
      <c r="G62" s="296">
        <f ca="1">+'Exhibit No.__(JAP-LIGHT RD) '!G93</f>
        <v>7.87</v>
      </c>
      <c r="I62" s="298">
        <f>+'[2]Tariff Summary Lights'!G62</f>
        <v>8.25</v>
      </c>
      <c r="J62" s="298">
        <f t="shared" ca="1" si="5"/>
        <v>-0.37999999999999989</v>
      </c>
    </row>
    <row r="63" spans="1:10">
      <c r="A63" s="443">
        <f t="shared" si="1"/>
        <v>58</v>
      </c>
      <c r="B63" s="443">
        <f t="shared" si="4"/>
        <v>51</v>
      </c>
      <c r="C63" s="300" t="s">
        <v>831</v>
      </c>
      <c r="D63" s="443" t="s">
        <v>876</v>
      </c>
      <c r="E63" s="297">
        <f t="shared" si="6"/>
        <v>41456</v>
      </c>
      <c r="F63" s="296">
        <v>8.8800000000000008</v>
      </c>
      <c r="G63" s="296">
        <f ca="1">+'Exhibit No.__(JAP-LIGHT RD) '!G94</f>
        <v>7.87</v>
      </c>
      <c r="I63" s="298">
        <f>+'[2]Tariff Summary Lights'!G63</f>
        <v>8.25</v>
      </c>
      <c r="J63" s="298">
        <f t="shared" ca="1" si="5"/>
        <v>-0.37999999999999989</v>
      </c>
    </row>
    <row r="64" spans="1:10">
      <c r="A64" s="443">
        <f t="shared" si="1"/>
        <v>59</v>
      </c>
      <c r="B64" s="443">
        <f t="shared" si="4"/>
        <v>51</v>
      </c>
      <c r="C64" s="300" t="s">
        <v>831</v>
      </c>
      <c r="D64" s="443" t="s">
        <v>877</v>
      </c>
      <c r="E64" s="297">
        <f t="shared" si="6"/>
        <v>41456</v>
      </c>
      <c r="F64" s="296">
        <v>9.06</v>
      </c>
      <c r="G64" s="296">
        <f ca="1">+'Exhibit No.__(JAP-LIGHT RD) '!G95</f>
        <v>7.87</v>
      </c>
      <c r="I64" s="298">
        <f>+'[2]Tariff Summary Lights'!G64</f>
        <v>8.25</v>
      </c>
      <c r="J64" s="298">
        <f t="shared" ca="1" si="5"/>
        <v>-0.37999999999999989</v>
      </c>
    </row>
    <row r="65" spans="1:10">
      <c r="A65" s="443">
        <f t="shared" si="1"/>
        <v>60</v>
      </c>
      <c r="B65" s="443">
        <f t="shared" si="4"/>
        <v>51</v>
      </c>
      <c r="C65" s="300" t="s">
        <v>831</v>
      </c>
      <c r="D65" s="443" t="s">
        <v>878</v>
      </c>
      <c r="E65" s="297">
        <f t="shared" si="6"/>
        <v>41456</v>
      </c>
      <c r="F65" s="296">
        <v>9.23</v>
      </c>
      <c r="G65" s="296">
        <f ca="1">+'Exhibit No.__(JAP-LIGHT RD) '!G96</f>
        <v>7.87</v>
      </c>
      <c r="I65" s="298">
        <f>+'[2]Tariff Summary Lights'!G65</f>
        <v>8.25</v>
      </c>
      <c r="J65" s="298">
        <f t="shared" ca="1" si="5"/>
        <v>-0.37999999999999989</v>
      </c>
    </row>
    <row r="66" spans="1:10">
      <c r="A66" s="443">
        <f t="shared" si="1"/>
        <v>61</v>
      </c>
      <c r="B66" s="443">
        <f t="shared" si="4"/>
        <v>51</v>
      </c>
      <c r="C66" s="300" t="s">
        <v>831</v>
      </c>
      <c r="D66" s="443" t="s">
        <v>879</v>
      </c>
      <c r="E66" s="297">
        <f t="shared" si="6"/>
        <v>41456</v>
      </c>
      <c r="F66" s="296">
        <v>9.4200000000000017</v>
      </c>
      <c r="G66" s="296">
        <f ca="1">+'Exhibit No.__(JAP-LIGHT RD) '!G97</f>
        <v>7.87</v>
      </c>
      <c r="I66" s="298">
        <f>+'[2]Tariff Summary Lights'!G66</f>
        <v>8.25</v>
      </c>
      <c r="J66" s="298">
        <f t="shared" ca="1" si="5"/>
        <v>-0.37999999999999989</v>
      </c>
    </row>
    <row r="67" spans="1:10">
      <c r="A67" s="443">
        <f t="shared" si="1"/>
        <v>62</v>
      </c>
      <c r="B67" s="443">
        <f t="shared" si="4"/>
        <v>51</v>
      </c>
      <c r="C67" s="300" t="s">
        <v>831</v>
      </c>
      <c r="D67" s="443" t="s">
        <v>880</v>
      </c>
      <c r="E67" s="297">
        <f t="shared" si="6"/>
        <v>41456</v>
      </c>
      <c r="F67" s="296">
        <v>9.59</v>
      </c>
      <c r="G67" s="296">
        <f ca="1">+'Exhibit No.__(JAP-LIGHT RD) '!G98</f>
        <v>8.8000000000000007</v>
      </c>
      <c r="I67" s="298">
        <f>+'[2]Tariff Summary Lights'!G67</f>
        <v>9.2200000000000006</v>
      </c>
      <c r="J67" s="298">
        <f t="shared" ca="1" si="5"/>
        <v>-0.41999999999999993</v>
      </c>
    </row>
    <row r="68" spans="1:10">
      <c r="A68" s="443">
        <f t="shared" si="1"/>
        <v>63</v>
      </c>
      <c r="B68" s="443">
        <f t="shared" si="4"/>
        <v>51</v>
      </c>
      <c r="C68" s="300" t="s">
        <v>831</v>
      </c>
      <c r="D68" s="443" t="s">
        <v>881</v>
      </c>
      <c r="E68" s="297">
        <f t="shared" si="6"/>
        <v>41456</v>
      </c>
      <c r="F68" s="296">
        <v>9.77</v>
      </c>
      <c r="G68" s="296">
        <f ca="1">+'Exhibit No.__(JAP-LIGHT RD) '!G99</f>
        <v>8.8000000000000007</v>
      </c>
      <c r="I68" s="298">
        <f>+'[2]Tariff Summary Lights'!G68</f>
        <v>9.2200000000000006</v>
      </c>
      <c r="J68" s="298">
        <f t="shared" ca="1" si="5"/>
        <v>-0.41999999999999993</v>
      </c>
    </row>
    <row r="69" spans="1:10">
      <c r="A69" s="443">
        <f t="shared" si="1"/>
        <v>64</v>
      </c>
      <c r="B69" s="443">
        <f t="shared" si="4"/>
        <v>51</v>
      </c>
      <c r="C69" s="300" t="s">
        <v>831</v>
      </c>
      <c r="D69" s="443" t="s">
        <v>882</v>
      </c>
      <c r="E69" s="297">
        <f t="shared" si="6"/>
        <v>41456</v>
      </c>
      <c r="F69" s="296">
        <v>9.94</v>
      </c>
      <c r="G69" s="296">
        <f ca="1">+'Exhibit No.__(JAP-LIGHT RD) '!G100</f>
        <v>8.8000000000000007</v>
      </c>
      <c r="I69" s="298">
        <f>+'[2]Tariff Summary Lights'!G69</f>
        <v>9.2200000000000006</v>
      </c>
      <c r="J69" s="298">
        <f t="shared" ca="1" si="5"/>
        <v>-0.41999999999999993</v>
      </c>
    </row>
    <row r="70" spans="1:10">
      <c r="A70" s="443">
        <f t="shared" si="1"/>
        <v>65</v>
      </c>
      <c r="B70" s="443">
        <f t="shared" si="4"/>
        <v>51</v>
      </c>
      <c r="C70" s="300" t="s">
        <v>831</v>
      </c>
      <c r="D70" s="443" t="s">
        <v>883</v>
      </c>
      <c r="E70" s="297">
        <f t="shared" si="6"/>
        <v>41456</v>
      </c>
      <c r="F70" s="296">
        <v>10.119999999999999</v>
      </c>
      <c r="G70" s="296">
        <f ca="1">+'Exhibit No.__(JAP-LIGHT RD) '!G101</f>
        <v>8.8000000000000007</v>
      </c>
      <c r="I70" s="298">
        <f>+'[2]Tariff Summary Lights'!G70</f>
        <v>9.2200000000000006</v>
      </c>
      <c r="J70" s="298">
        <f t="shared" ca="1" si="5"/>
        <v>-0.41999999999999993</v>
      </c>
    </row>
    <row r="71" spans="1:10">
      <c r="A71" s="443">
        <f t="shared" si="1"/>
        <v>66</v>
      </c>
      <c r="B71" s="443">
        <f t="shared" si="4"/>
        <v>51</v>
      </c>
      <c r="C71" s="300" t="s">
        <v>831</v>
      </c>
      <c r="D71" s="443" t="s">
        <v>884</v>
      </c>
      <c r="E71" s="297">
        <f t="shared" si="6"/>
        <v>41456</v>
      </c>
      <c r="F71" s="296">
        <v>10.29</v>
      </c>
      <c r="G71" s="296">
        <f ca="1">+'Exhibit No.__(JAP-LIGHT RD) '!G102</f>
        <v>8.8000000000000007</v>
      </c>
      <c r="I71" s="298">
        <f>+'[2]Tariff Summary Lights'!G71</f>
        <v>9.2200000000000006</v>
      </c>
      <c r="J71" s="298">
        <f t="shared" ca="1" si="5"/>
        <v>-0.41999999999999993</v>
      </c>
    </row>
    <row r="72" spans="1:10">
      <c r="A72" s="443">
        <f t="shared" ref="A72:A135" si="7">+A71+1</f>
        <v>67</v>
      </c>
      <c r="B72" s="443">
        <f t="shared" si="4"/>
        <v>51</v>
      </c>
      <c r="C72" s="300" t="s">
        <v>831</v>
      </c>
      <c r="D72" s="443" t="s">
        <v>885</v>
      </c>
      <c r="E72" s="297">
        <f t="shared" si="6"/>
        <v>41456</v>
      </c>
      <c r="F72" s="296">
        <v>10.459999999999999</v>
      </c>
      <c r="G72" s="296">
        <f ca="1">+'Exhibit No.__(JAP-LIGHT RD) '!G103</f>
        <v>8.8000000000000007</v>
      </c>
      <c r="I72" s="298">
        <f>+'[2]Tariff Summary Lights'!G72</f>
        <v>9.2200000000000006</v>
      </c>
      <c r="J72" s="298">
        <f t="shared" ca="1" si="5"/>
        <v>-0.41999999999999993</v>
      </c>
    </row>
    <row r="73" spans="1:10">
      <c r="A73" s="443">
        <f t="shared" si="7"/>
        <v>68</v>
      </c>
      <c r="B73" s="443"/>
      <c r="C73" s="289"/>
      <c r="D73" s="443"/>
      <c r="E73" s="297"/>
      <c r="F73" s="289"/>
      <c r="G73" s="296"/>
      <c r="I73" s="298"/>
      <c r="J73" s="298"/>
    </row>
    <row r="74" spans="1:10">
      <c r="A74" s="443">
        <f t="shared" si="7"/>
        <v>69</v>
      </c>
      <c r="B74" s="443">
        <v>52</v>
      </c>
      <c r="C74" s="289" t="s">
        <v>886</v>
      </c>
      <c r="D74" s="443" t="s">
        <v>829</v>
      </c>
      <c r="E74" s="297">
        <f>+E19</f>
        <v>41456</v>
      </c>
      <c r="F74" s="450">
        <v>1.567E-2</v>
      </c>
      <c r="G74" s="450">
        <f ca="1">+'Exhibit No.__(JAP-LIGHT RD) '!G105</f>
        <v>1.486E-2</v>
      </c>
      <c r="I74" s="450">
        <f>+'[2]Tariff Summary Lights'!G74</f>
        <v>1.525E-2</v>
      </c>
      <c r="J74" s="450">
        <f t="shared" ref="J74:J75" ca="1" si="8">+G74-I74</f>
        <v>-3.8999999999999972E-4</v>
      </c>
    </row>
    <row r="75" spans="1:10">
      <c r="A75" s="443">
        <f t="shared" si="7"/>
        <v>70</v>
      </c>
      <c r="B75" s="443">
        <f>+$B$74</f>
        <v>52</v>
      </c>
      <c r="C75" s="289" t="s">
        <v>886</v>
      </c>
      <c r="D75" s="443" t="s">
        <v>830</v>
      </c>
      <c r="E75" s="297">
        <f>+E74</f>
        <v>41456</v>
      </c>
      <c r="F75" s="450">
        <v>2.7200000000000002E-3</v>
      </c>
      <c r="G75" s="450">
        <f ca="1">+'Exhibit No.__(JAP-LIGHT RD) '!G106</f>
        <v>2.32E-3</v>
      </c>
      <c r="I75" s="450">
        <f>+'[2]Tariff Summary Lights'!G75</f>
        <v>2.32E-3</v>
      </c>
      <c r="J75" s="450">
        <f t="shared" ca="1" si="8"/>
        <v>0</v>
      </c>
    </row>
    <row r="76" spans="1:10">
      <c r="A76" s="443">
        <f t="shared" si="7"/>
        <v>71</v>
      </c>
      <c r="B76" s="443"/>
      <c r="C76" s="289"/>
      <c r="D76" s="443"/>
      <c r="E76" s="289"/>
      <c r="F76" s="289"/>
      <c r="G76" s="296"/>
      <c r="I76" s="298"/>
      <c r="J76" s="298"/>
    </row>
    <row r="77" spans="1:10">
      <c r="A77" s="443">
        <f t="shared" si="7"/>
        <v>72</v>
      </c>
      <c r="B77" s="443">
        <f t="shared" ref="B77:B84" si="9">+$B$74</f>
        <v>52</v>
      </c>
      <c r="C77" s="289" t="s">
        <v>886</v>
      </c>
      <c r="D77" s="443" t="s">
        <v>887</v>
      </c>
      <c r="E77" s="297">
        <f t="shared" ref="E77:E84" si="10">+$E$6</f>
        <v>41456</v>
      </c>
      <c r="F77" s="296">
        <v>2.02</v>
      </c>
      <c r="G77" s="296">
        <f ca="1">+'Exhibit No.__(JAP-LIGHT RD) '!G118</f>
        <v>1.54</v>
      </c>
      <c r="I77" s="298">
        <f>+'[2]Tariff Summary Lights'!G77</f>
        <v>1.62</v>
      </c>
      <c r="J77" s="298">
        <f t="shared" ref="J77:J84" ca="1" si="11">+G77-I77</f>
        <v>-8.0000000000000071E-2</v>
      </c>
    </row>
    <row r="78" spans="1:10">
      <c r="A78" s="443">
        <f t="shared" si="7"/>
        <v>73</v>
      </c>
      <c r="B78" s="443">
        <f t="shared" si="9"/>
        <v>52</v>
      </c>
      <c r="C78" s="289" t="s">
        <v>886</v>
      </c>
      <c r="D78" s="443" t="s">
        <v>888</v>
      </c>
      <c r="E78" s="297">
        <f t="shared" si="10"/>
        <v>41456</v>
      </c>
      <c r="F78" s="296">
        <v>2.94</v>
      </c>
      <c r="G78" s="296">
        <f ca="1">+'Exhibit No.__(JAP-LIGHT RD) '!G119</f>
        <v>2.16</v>
      </c>
      <c r="I78" s="298">
        <f>+'[2]Tariff Summary Lights'!G78</f>
        <v>2.27</v>
      </c>
      <c r="J78" s="298">
        <f t="shared" ca="1" si="11"/>
        <v>-0.10999999999999988</v>
      </c>
    </row>
    <row r="79" spans="1:10">
      <c r="A79" s="443">
        <f t="shared" si="7"/>
        <v>74</v>
      </c>
      <c r="B79" s="443">
        <f t="shared" si="9"/>
        <v>52</v>
      </c>
      <c r="C79" s="289" t="s">
        <v>886</v>
      </c>
      <c r="D79" s="443" t="s">
        <v>823</v>
      </c>
      <c r="E79" s="297">
        <f t="shared" si="10"/>
        <v>41456</v>
      </c>
      <c r="F79" s="296">
        <v>4.1500000000000004</v>
      </c>
      <c r="G79" s="296">
        <f ca="1">+'Exhibit No.__(JAP-LIGHT RD) '!G120</f>
        <v>3.09</v>
      </c>
      <c r="I79" s="298">
        <f>+'[2]Tariff Summary Lights'!G79</f>
        <v>3.24</v>
      </c>
      <c r="J79" s="298">
        <f t="shared" ca="1" si="11"/>
        <v>-0.15000000000000036</v>
      </c>
    </row>
    <row r="80" spans="1:10">
      <c r="A80" s="443">
        <f t="shared" si="7"/>
        <v>75</v>
      </c>
      <c r="B80" s="443">
        <f t="shared" si="9"/>
        <v>52</v>
      </c>
      <c r="C80" s="289" t="s">
        <v>886</v>
      </c>
      <c r="D80" s="443" t="s">
        <v>889</v>
      </c>
      <c r="E80" s="297">
        <f t="shared" si="10"/>
        <v>41456</v>
      </c>
      <c r="F80" s="296">
        <v>6.02</v>
      </c>
      <c r="G80" s="296">
        <f ca="1">+'Exhibit No.__(JAP-LIGHT RD) '!G121</f>
        <v>4.63</v>
      </c>
      <c r="I80" s="298">
        <f>+'[2]Tariff Summary Lights'!G80</f>
        <v>4.8499999999999996</v>
      </c>
      <c r="J80" s="298">
        <f t="shared" ca="1" si="11"/>
        <v>-0.21999999999999975</v>
      </c>
    </row>
    <row r="81" spans="1:10">
      <c r="A81" s="443">
        <f t="shared" si="7"/>
        <v>76</v>
      </c>
      <c r="B81" s="443">
        <f t="shared" si="9"/>
        <v>52</v>
      </c>
      <c r="C81" s="289" t="s">
        <v>886</v>
      </c>
      <c r="D81" s="443" t="s">
        <v>890</v>
      </c>
      <c r="E81" s="297">
        <f t="shared" si="10"/>
        <v>41456</v>
      </c>
      <c r="F81" s="296">
        <v>7.9700000000000006</v>
      </c>
      <c r="G81" s="296">
        <f ca="1">+'Exhibit No.__(JAP-LIGHT RD) '!G122</f>
        <v>6.17</v>
      </c>
      <c r="I81" s="298">
        <f>+'[2]Tariff Summary Lights'!G81</f>
        <v>6.47</v>
      </c>
      <c r="J81" s="298">
        <f t="shared" ca="1" si="11"/>
        <v>-0.29999999999999982</v>
      </c>
    </row>
    <row r="82" spans="1:10">
      <c r="A82" s="443">
        <f t="shared" si="7"/>
        <v>77</v>
      </c>
      <c r="B82" s="443">
        <f t="shared" si="9"/>
        <v>52</v>
      </c>
      <c r="C82" s="289" t="s">
        <v>886</v>
      </c>
      <c r="D82" s="443" t="s">
        <v>891</v>
      </c>
      <c r="E82" s="297">
        <f t="shared" si="10"/>
        <v>41456</v>
      </c>
      <c r="F82" s="296">
        <v>9.91</v>
      </c>
      <c r="G82" s="296">
        <f ca="1">+'Exhibit No.__(JAP-LIGHT RD) '!G123</f>
        <v>7.72</v>
      </c>
      <c r="I82" s="298">
        <f>+'[2]Tariff Summary Lights'!G82</f>
        <v>8.09</v>
      </c>
      <c r="J82" s="298">
        <f t="shared" ca="1" si="11"/>
        <v>-0.37000000000000011</v>
      </c>
    </row>
    <row r="83" spans="1:10">
      <c r="A83" s="443">
        <f t="shared" si="7"/>
        <v>78</v>
      </c>
      <c r="B83" s="443">
        <f t="shared" si="9"/>
        <v>52</v>
      </c>
      <c r="C83" s="289" t="s">
        <v>886</v>
      </c>
      <c r="D83" s="443" t="s">
        <v>892</v>
      </c>
      <c r="E83" s="297">
        <f t="shared" si="10"/>
        <v>41456</v>
      </c>
      <c r="F83" s="296">
        <v>13.51</v>
      </c>
      <c r="G83" s="296">
        <f ca="1">+'Exhibit No.__(JAP-LIGHT RD) '!G124</f>
        <v>9.57</v>
      </c>
      <c r="I83" s="298">
        <f>+'[2]Tariff Summary Lights'!G83</f>
        <v>10.029999999999999</v>
      </c>
      <c r="J83" s="298">
        <f t="shared" ca="1" si="11"/>
        <v>-0.45999999999999908</v>
      </c>
    </row>
    <row r="84" spans="1:10">
      <c r="A84" s="443">
        <f t="shared" si="7"/>
        <v>79</v>
      </c>
      <c r="B84" s="443">
        <f t="shared" si="9"/>
        <v>52</v>
      </c>
      <c r="C84" s="289" t="s">
        <v>886</v>
      </c>
      <c r="D84" s="443" t="s">
        <v>825</v>
      </c>
      <c r="E84" s="297">
        <f t="shared" si="10"/>
        <v>41456</v>
      </c>
      <c r="F84" s="296">
        <v>15.45</v>
      </c>
      <c r="G84" s="296">
        <f ca="1">+'Exhibit No.__(JAP-LIGHT RD) '!G125</f>
        <v>12.35</v>
      </c>
      <c r="I84" s="298">
        <f>+'[2]Tariff Summary Lights'!G84</f>
        <v>12.95</v>
      </c>
      <c r="J84" s="298">
        <f t="shared" ca="1" si="11"/>
        <v>-0.59999999999999964</v>
      </c>
    </row>
    <row r="85" spans="1:10">
      <c r="A85" s="443">
        <f t="shared" si="7"/>
        <v>80</v>
      </c>
      <c r="B85" s="443"/>
      <c r="C85" s="289"/>
      <c r="D85" s="443"/>
      <c r="E85" s="289"/>
      <c r="F85" s="289"/>
      <c r="G85" s="296"/>
      <c r="I85" s="298"/>
      <c r="J85" s="298"/>
    </row>
    <row r="86" spans="1:10">
      <c r="A86" s="443">
        <f t="shared" si="7"/>
        <v>81</v>
      </c>
      <c r="B86" s="443">
        <f t="shared" ref="B86:B92" si="12">+$B$74</f>
        <v>52</v>
      </c>
      <c r="C86" s="289" t="s">
        <v>893</v>
      </c>
      <c r="D86" s="443" t="s">
        <v>888</v>
      </c>
      <c r="E86" s="297">
        <f t="shared" ref="E86:E92" si="13">+$E$6</f>
        <v>41456</v>
      </c>
      <c r="F86" s="296">
        <v>3.19</v>
      </c>
      <c r="G86" s="296">
        <f ca="1">+'Exhibit No.__(JAP-LIGHT RD) '!G127</f>
        <v>2.16</v>
      </c>
      <c r="I86" s="298">
        <f>+'[2]Tariff Summary Lights'!G86</f>
        <v>2.27</v>
      </c>
      <c r="J86" s="298">
        <f t="shared" ref="J86:J92" ca="1" si="14">+G86-I86</f>
        <v>-0.10999999999999988</v>
      </c>
    </row>
    <row r="87" spans="1:10">
      <c r="A87" s="443">
        <f t="shared" si="7"/>
        <v>82</v>
      </c>
      <c r="B87" s="443">
        <f t="shared" si="12"/>
        <v>52</v>
      </c>
      <c r="C87" s="289" t="s">
        <v>893</v>
      </c>
      <c r="D87" s="443" t="s">
        <v>823</v>
      </c>
      <c r="E87" s="297">
        <f t="shared" si="13"/>
        <v>41456</v>
      </c>
      <c r="F87" s="296">
        <v>4.0600000000000005</v>
      </c>
      <c r="G87" s="296">
        <f ca="1">+'Exhibit No.__(JAP-LIGHT RD) '!G128</f>
        <v>3.09</v>
      </c>
      <c r="I87" s="298">
        <f>+'[2]Tariff Summary Lights'!G87</f>
        <v>3.24</v>
      </c>
      <c r="J87" s="298">
        <f t="shared" ca="1" si="14"/>
        <v>-0.15000000000000036</v>
      </c>
    </row>
    <row r="88" spans="1:10">
      <c r="A88" s="443">
        <f t="shared" si="7"/>
        <v>83</v>
      </c>
      <c r="B88" s="443">
        <f t="shared" si="12"/>
        <v>52</v>
      </c>
      <c r="C88" s="289" t="s">
        <v>893</v>
      </c>
      <c r="D88" s="443" t="s">
        <v>889</v>
      </c>
      <c r="E88" s="297">
        <f t="shared" si="13"/>
        <v>41456</v>
      </c>
      <c r="F88" s="296">
        <v>5.8500000000000005</v>
      </c>
      <c r="G88" s="296">
        <f ca="1">+'Exhibit No.__(JAP-LIGHT RD) '!G129</f>
        <v>4.63</v>
      </c>
      <c r="I88" s="298">
        <f>+'[2]Tariff Summary Lights'!G88</f>
        <v>4.8499999999999996</v>
      </c>
      <c r="J88" s="298">
        <f t="shared" ca="1" si="14"/>
        <v>-0.21999999999999975</v>
      </c>
    </row>
    <row r="89" spans="1:10">
      <c r="A89" s="443">
        <f t="shared" si="7"/>
        <v>84</v>
      </c>
      <c r="B89" s="443">
        <f t="shared" si="12"/>
        <v>52</v>
      </c>
      <c r="C89" s="289" t="s">
        <v>893</v>
      </c>
      <c r="D89" s="443" t="s">
        <v>824</v>
      </c>
      <c r="E89" s="297">
        <f t="shared" si="13"/>
        <v>41456</v>
      </c>
      <c r="F89" s="296">
        <v>6.92</v>
      </c>
      <c r="G89" s="296">
        <f ca="1">+'Exhibit No.__(JAP-LIGHT RD) '!G130</f>
        <v>5.4</v>
      </c>
      <c r="I89" s="298">
        <f>+'[2]Tariff Summary Lights'!G89</f>
        <v>5.66</v>
      </c>
      <c r="J89" s="298">
        <f t="shared" ca="1" si="14"/>
        <v>-0.25999999999999979</v>
      </c>
    </row>
    <row r="90" spans="1:10">
      <c r="A90" s="443">
        <f t="shared" si="7"/>
        <v>85</v>
      </c>
      <c r="B90" s="443">
        <f t="shared" si="12"/>
        <v>52</v>
      </c>
      <c r="C90" s="289" t="s">
        <v>893</v>
      </c>
      <c r="D90" s="443" t="s">
        <v>891</v>
      </c>
      <c r="E90" s="297">
        <f t="shared" si="13"/>
        <v>41456</v>
      </c>
      <c r="F90" s="296">
        <v>9.41</v>
      </c>
      <c r="G90" s="296">
        <f ca="1">+'Exhibit No.__(JAP-LIGHT RD) '!G131</f>
        <v>7.72</v>
      </c>
      <c r="I90" s="298">
        <f>+'[2]Tariff Summary Lights'!G90</f>
        <v>8.09</v>
      </c>
      <c r="J90" s="298">
        <f t="shared" ca="1" si="14"/>
        <v>-0.37000000000000011</v>
      </c>
    </row>
    <row r="91" spans="1:10">
      <c r="A91" s="443">
        <f t="shared" si="7"/>
        <v>86</v>
      </c>
      <c r="B91" s="443">
        <f t="shared" si="12"/>
        <v>52</v>
      </c>
      <c r="C91" s="289" t="s">
        <v>893</v>
      </c>
      <c r="D91" s="443" t="s">
        <v>825</v>
      </c>
      <c r="E91" s="297">
        <f t="shared" si="13"/>
        <v>41456</v>
      </c>
      <c r="F91" s="296">
        <v>14.76</v>
      </c>
      <c r="G91" s="296">
        <f ca="1">+'Exhibit No.__(JAP-LIGHT RD) '!G132</f>
        <v>12.35</v>
      </c>
      <c r="I91" s="298">
        <f>+'[2]Tariff Summary Lights'!G91</f>
        <v>12.95</v>
      </c>
      <c r="J91" s="298">
        <f t="shared" ca="1" si="14"/>
        <v>-0.59999999999999964</v>
      </c>
    </row>
    <row r="92" spans="1:10">
      <c r="A92" s="443">
        <f t="shared" si="7"/>
        <v>87</v>
      </c>
      <c r="B92" s="443">
        <f t="shared" si="12"/>
        <v>52</v>
      </c>
      <c r="C92" s="289" t="s">
        <v>893</v>
      </c>
      <c r="D92" s="443" t="s">
        <v>894</v>
      </c>
      <c r="E92" s="297">
        <f t="shared" si="13"/>
        <v>41456</v>
      </c>
      <c r="F92" s="296">
        <v>35.33</v>
      </c>
      <c r="G92" s="296">
        <f ca="1">+'Exhibit No.__(JAP-LIGHT RD) '!G133</f>
        <v>30.87</v>
      </c>
      <c r="I92" s="298">
        <f>+'[2]Tariff Summary Lights'!G92</f>
        <v>32.36</v>
      </c>
      <c r="J92" s="298">
        <f t="shared" ca="1" si="14"/>
        <v>-1.4899999999999984</v>
      </c>
    </row>
    <row r="93" spans="1:10">
      <c r="A93" s="443">
        <f t="shared" si="7"/>
        <v>88</v>
      </c>
      <c r="B93" s="443"/>
      <c r="C93" s="289"/>
      <c r="D93" s="443"/>
      <c r="E93" s="289"/>
      <c r="F93" s="289"/>
      <c r="G93" s="296"/>
      <c r="I93" s="298"/>
      <c r="J93" s="298"/>
    </row>
    <row r="94" spans="1:10">
      <c r="A94" s="443">
        <f t="shared" si="7"/>
        <v>89</v>
      </c>
      <c r="B94" s="443">
        <v>53</v>
      </c>
      <c r="C94" s="289" t="s">
        <v>895</v>
      </c>
      <c r="D94" s="443" t="s">
        <v>887</v>
      </c>
      <c r="E94" s="297">
        <f t="shared" ref="E94:E102" si="15">+$E$6</f>
        <v>41456</v>
      </c>
      <c r="F94" s="296">
        <v>9.0400000000000009</v>
      </c>
      <c r="G94" s="296">
        <f ca="1">+'Exhibit No.__(JAP-LIGHT RD) '!G149</f>
        <v>10.43</v>
      </c>
      <c r="I94" s="298">
        <f>+'[2]Tariff Summary Lights'!G94</f>
        <v>10.93</v>
      </c>
      <c r="J94" s="298">
        <f t="shared" ref="J94:J102" ca="1" si="16">+G94-I94</f>
        <v>-0.5</v>
      </c>
    </row>
    <row r="95" spans="1:10">
      <c r="A95" s="443">
        <f t="shared" si="7"/>
        <v>90</v>
      </c>
      <c r="B95" s="443">
        <f>+$B$94</f>
        <v>53</v>
      </c>
      <c r="C95" s="289" t="s">
        <v>895</v>
      </c>
      <c r="D95" s="443" t="s">
        <v>888</v>
      </c>
      <c r="E95" s="297">
        <f t="shared" si="15"/>
        <v>41456</v>
      </c>
      <c r="F95" s="296">
        <v>10.34</v>
      </c>
      <c r="G95" s="296">
        <f ca="1">+'Exhibit No.__(JAP-LIGHT RD) '!G150</f>
        <v>11.21</v>
      </c>
      <c r="I95" s="298">
        <f>+'[2]Tariff Summary Lights'!G95</f>
        <v>11.74</v>
      </c>
      <c r="J95" s="298">
        <f t="shared" ca="1" si="16"/>
        <v>-0.52999999999999936</v>
      </c>
    </row>
    <row r="96" spans="1:10">
      <c r="A96" s="443">
        <f t="shared" si="7"/>
        <v>91</v>
      </c>
      <c r="B96" s="443">
        <f t="shared" ref="B96:B102" si="17">+$B$94</f>
        <v>53</v>
      </c>
      <c r="C96" s="289" t="s">
        <v>895</v>
      </c>
      <c r="D96" s="443" t="s">
        <v>823</v>
      </c>
      <c r="E96" s="297">
        <f t="shared" si="15"/>
        <v>41456</v>
      </c>
      <c r="F96" s="296">
        <v>11.66</v>
      </c>
      <c r="G96" s="296">
        <f ca="1">+'Exhibit No.__(JAP-LIGHT RD) '!G151</f>
        <v>12.37</v>
      </c>
      <c r="I96" s="298">
        <f>+'[2]Tariff Summary Lights'!G96</f>
        <v>12.96</v>
      </c>
      <c r="J96" s="298">
        <f t="shared" ca="1" si="16"/>
        <v>-0.59000000000000163</v>
      </c>
    </row>
    <row r="97" spans="1:10">
      <c r="A97" s="443">
        <f t="shared" si="7"/>
        <v>92</v>
      </c>
      <c r="B97" s="443">
        <f t="shared" si="17"/>
        <v>53</v>
      </c>
      <c r="C97" s="289" t="s">
        <v>895</v>
      </c>
      <c r="D97" s="443" t="s">
        <v>889</v>
      </c>
      <c r="E97" s="297">
        <f t="shared" si="15"/>
        <v>41456</v>
      </c>
      <c r="F97" s="296">
        <v>13.78</v>
      </c>
      <c r="G97" s="296">
        <f ca="1">+'Exhibit No.__(JAP-LIGHT RD) '!G152</f>
        <v>14.32</v>
      </c>
      <c r="I97" s="298">
        <f>+'[2]Tariff Summary Lights'!G97</f>
        <v>14.99</v>
      </c>
      <c r="J97" s="298">
        <f t="shared" ca="1" si="16"/>
        <v>-0.66999999999999993</v>
      </c>
    </row>
    <row r="98" spans="1:10">
      <c r="A98" s="443">
        <f t="shared" si="7"/>
        <v>93</v>
      </c>
      <c r="B98" s="443">
        <f t="shared" si="17"/>
        <v>53</v>
      </c>
      <c r="C98" s="289" t="s">
        <v>895</v>
      </c>
      <c r="D98" s="443" t="s">
        <v>890</v>
      </c>
      <c r="E98" s="297">
        <f t="shared" si="15"/>
        <v>41456</v>
      </c>
      <c r="F98" s="296">
        <v>16.57</v>
      </c>
      <c r="G98" s="296">
        <f ca="1">+'Exhibit No.__(JAP-LIGHT RD) '!G153</f>
        <v>16.27</v>
      </c>
      <c r="I98" s="298">
        <f>+'[2]Tariff Summary Lights'!G98</f>
        <v>17.03</v>
      </c>
      <c r="J98" s="298">
        <f t="shared" ca="1" si="16"/>
        <v>-0.76000000000000156</v>
      </c>
    </row>
    <row r="99" spans="1:10">
      <c r="A99" s="443">
        <f t="shared" si="7"/>
        <v>94</v>
      </c>
      <c r="B99" s="443">
        <f t="shared" si="17"/>
        <v>53</v>
      </c>
      <c r="C99" s="289" t="s">
        <v>895</v>
      </c>
      <c r="D99" s="443" t="s">
        <v>891</v>
      </c>
      <c r="E99" s="297">
        <f t="shared" si="15"/>
        <v>41456</v>
      </c>
      <c r="F99" s="296">
        <v>18.650000000000002</v>
      </c>
      <c r="G99" s="296">
        <f ca="1">+'Exhibit No.__(JAP-LIGHT RD) '!G154</f>
        <v>18.22</v>
      </c>
      <c r="I99" s="298">
        <f>+'[2]Tariff Summary Lights'!G99</f>
        <v>19.059999999999999</v>
      </c>
      <c r="J99" s="298">
        <f t="shared" ca="1" si="16"/>
        <v>-0.83999999999999986</v>
      </c>
    </row>
    <row r="100" spans="1:10">
      <c r="A100" s="443">
        <f t="shared" si="7"/>
        <v>95</v>
      </c>
      <c r="B100" s="443">
        <f t="shared" si="17"/>
        <v>53</v>
      </c>
      <c r="C100" s="289" t="s">
        <v>895</v>
      </c>
      <c r="D100" s="443" t="s">
        <v>892</v>
      </c>
      <c r="E100" s="297">
        <f t="shared" si="15"/>
        <v>41456</v>
      </c>
      <c r="F100" s="296">
        <v>21.569999999999997</v>
      </c>
      <c r="G100" s="296">
        <f ca="1">+'Exhibit No.__(JAP-LIGHT RD) '!G155</f>
        <v>20.55</v>
      </c>
      <c r="I100" s="298">
        <f>+'[2]Tariff Summary Lights'!G100</f>
        <v>21.5</v>
      </c>
      <c r="J100" s="298">
        <f t="shared" ca="1" si="16"/>
        <v>-0.94999999999999929</v>
      </c>
    </row>
    <row r="101" spans="1:10">
      <c r="A101" s="443">
        <f t="shared" si="7"/>
        <v>96</v>
      </c>
      <c r="B101" s="443">
        <f t="shared" si="17"/>
        <v>53</v>
      </c>
      <c r="C101" s="289" t="s">
        <v>895</v>
      </c>
      <c r="D101" s="443" t="s">
        <v>825</v>
      </c>
      <c r="E101" s="297">
        <f t="shared" si="15"/>
        <v>41456</v>
      </c>
      <c r="F101" s="296">
        <v>25.21</v>
      </c>
      <c r="G101" s="296">
        <f ca="1">+'Exhibit No.__(JAP-LIGHT RD) '!G156</f>
        <v>24.06</v>
      </c>
      <c r="I101" s="298">
        <f>+'[2]Tariff Summary Lights'!G101</f>
        <v>25.16</v>
      </c>
      <c r="J101" s="298">
        <f t="shared" ca="1" si="16"/>
        <v>-1.1000000000000014</v>
      </c>
    </row>
    <row r="102" spans="1:10">
      <c r="A102" s="443">
        <f t="shared" si="7"/>
        <v>97</v>
      </c>
      <c r="B102" s="443">
        <f t="shared" si="17"/>
        <v>53</v>
      </c>
      <c r="C102" s="289" t="s">
        <v>895</v>
      </c>
      <c r="D102" s="443" t="s">
        <v>894</v>
      </c>
      <c r="E102" s="297">
        <f t="shared" si="15"/>
        <v>41456</v>
      </c>
      <c r="F102" s="296">
        <v>55.879999999999995</v>
      </c>
      <c r="G102" s="296">
        <f ca="1">+'Exhibit No.__(JAP-LIGHT RD) '!G157</f>
        <v>47.42</v>
      </c>
      <c r="I102" s="298">
        <f>+'[2]Tariff Summary Lights'!G102</f>
        <v>49.57</v>
      </c>
      <c r="J102" s="298">
        <f t="shared" ca="1" si="16"/>
        <v>-2.1499999999999986</v>
      </c>
    </row>
    <row r="103" spans="1:10">
      <c r="A103" s="443">
        <f t="shared" si="7"/>
        <v>98</v>
      </c>
      <c r="B103" s="443"/>
      <c r="C103" s="289"/>
      <c r="D103" s="443"/>
      <c r="E103" s="289"/>
      <c r="F103" s="289"/>
      <c r="G103" s="296"/>
      <c r="I103" s="298"/>
      <c r="J103" s="298"/>
    </row>
    <row r="104" spans="1:10">
      <c r="A104" s="443">
        <f t="shared" si="7"/>
        <v>99</v>
      </c>
      <c r="B104" s="443">
        <f>+$B$94</f>
        <v>53</v>
      </c>
      <c r="C104" s="300" t="s">
        <v>896</v>
      </c>
      <c r="D104" s="443" t="s">
        <v>888</v>
      </c>
      <c r="E104" s="297">
        <f>+$E$6</f>
        <v>41456</v>
      </c>
      <c r="F104" s="296">
        <v>14.13</v>
      </c>
      <c r="G104" s="296">
        <f ca="1">+'Exhibit No.__(JAP-LIGHT RD) '!G159</f>
        <v>13.86</v>
      </c>
      <c r="I104" s="298">
        <f>+'[2]Tariff Summary Lights'!G104</f>
        <v>14.63</v>
      </c>
      <c r="J104" s="298">
        <f t="shared" ref="J104:J108" ca="1" si="18">+G104-I104</f>
        <v>-0.77000000000000135</v>
      </c>
    </row>
    <row r="105" spans="1:10">
      <c r="A105" s="443">
        <f t="shared" si="7"/>
        <v>100</v>
      </c>
      <c r="B105" s="443">
        <f>+$B$94</f>
        <v>53</v>
      </c>
      <c r="C105" s="300" t="s">
        <v>896</v>
      </c>
      <c r="D105" s="443" t="s">
        <v>823</v>
      </c>
      <c r="E105" s="297">
        <f>+$E$6</f>
        <v>41456</v>
      </c>
      <c r="F105" s="296">
        <v>15.11</v>
      </c>
      <c r="G105" s="296">
        <f ca="1">+'Exhibit No.__(JAP-LIGHT RD) '!G160</f>
        <v>15.1</v>
      </c>
      <c r="I105" s="298">
        <f>+'[2]Tariff Summary Lights'!G105</f>
        <v>15.92</v>
      </c>
      <c r="J105" s="298">
        <f t="shared" ca="1" si="18"/>
        <v>-0.82000000000000028</v>
      </c>
    </row>
    <row r="106" spans="1:10">
      <c r="A106" s="443">
        <f t="shared" si="7"/>
        <v>101</v>
      </c>
      <c r="B106" s="443">
        <f>+$B$94</f>
        <v>53</v>
      </c>
      <c r="C106" s="300" t="s">
        <v>896</v>
      </c>
      <c r="D106" s="443" t="s">
        <v>889</v>
      </c>
      <c r="E106" s="297">
        <f>+$E$6</f>
        <v>41456</v>
      </c>
      <c r="F106" s="296">
        <v>17.440000000000001</v>
      </c>
      <c r="G106" s="296">
        <f ca="1">+'Exhibit No.__(JAP-LIGHT RD) '!G161</f>
        <v>17.170000000000002</v>
      </c>
      <c r="I106" s="298">
        <f>+'[2]Tariff Summary Lights'!G106</f>
        <v>18.079999999999998</v>
      </c>
      <c r="J106" s="298">
        <f t="shared" ca="1" si="18"/>
        <v>-0.90999999999999659</v>
      </c>
    </row>
    <row r="107" spans="1:10">
      <c r="A107" s="443">
        <f t="shared" si="7"/>
        <v>102</v>
      </c>
      <c r="B107" s="443">
        <f>+$B$94</f>
        <v>53</v>
      </c>
      <c r="C107" s="300" t="s">
        <v>896</v>
      </c>
      <c r="D107" s="443" t="s">
        <v>891</v>
      </c>
      <c r="E107" s="297">
        <f>+$E$6</f>
        <v>41456</v>
      </c>
      <c r="F107" s="296">
        <v>22.43</v>
      </c>
      <c r="G107" s="296">
        <f ca="1">+'Exhibit No.__(JAP-LIGHT RD) '!G162</f>
        <v>21.3</v>
      </c>
      <c r="I107" s="298">
        <f>+'[2]Tariff Summary Lights'!G107</f>
        <v>22.39</v>
      </c>
      <c r="J107" s="298">
        <f t="shared" ca="1" si="18"/>
        <v>-1.0899999999999999</v>
      </c>
    </row>
    <row r="108" spans="1:10">
      <c r="A108" s="443">
        <f t="shared" si="7"/>
        <v>103</v>
      </c>
      <c r="B108" s="443">
        <f>+$B$94</f>
        <v>53</v>
      </c>
      <c r="C108" s="300" t="s">
        <v>896</v>
      </c>
      <c r="D108" s="443" t="s">
        <v>825</v>
      </c>
      <c r="E108" s="297">
        <f>+$E$6</f>
        <v>41456</v>
      </c>
      <c r="F108" s="296">
        <v>25.41</v>
      </c>
      <c r="G108" s="296">
        <f ca="1">+'Exhibit No.__(JAP-LIGHT RD) '!G163</f>
        <v>27.49</v>
      </c>
      <c r="I108" s="298">
        <f>+'[2]Tariff Summary Lights'!G108</f>
        <v>28.85</v>
      </c>
      <c r="J108" s="298">
        <f t="shared" ca="1" si="18"/>
        <v>-1.360000000000003</v>
      </c>
    </row>
    <row r="109" spans="1:10">
      <c r="A109" s="443">
        <f t="shared" si="7"/>
        <v>104</v>
      </c>
      <c r="B109" s="443"/>
      <c r="C109" s="289"/>
      <c r="D109" s="443"/>
      <c r="E109" s="289"/>
      <c r="F109" s="289"/>
      <c r="G109" s="296"/>
      <c r="I109" s="298"/>
      <c r="J109" s="298"/>
    </row>
    <row r="110" spans="1:10">
      <c r="A110" s="443">
        <f t="shared" si="7"/>
        <v>105</v>
      </c>
      <c r="B110" s="443">
        <f t="shared" ref="B110:B163" si="19">+$B$94</f>
        <v>53</v>
      </c>
      <c r="C110" s="300" t="s">
        <v>897</v>
      </c>
      <c r="D110" s="443" t="s">
        <v>832</v>
      </c>
      <c r="E110" s="297">
        <f>+E105</f>
        <v>41456</v>
      </c>
      <c r="F110" s="296">
        <v>7.43</v>
      </c>
      <c r="G110" s="296">
        <f ca="1">+'Exhibit No.__(JAP-LIGHT RD) '!G165</f>
        <v>11.86</v>
      </c>
      <c r="I110" s="298">
        <f>+'[2]Tariff Summary Lights'!G110</f>
        <v>12.28</v>
      </c>
      <c r="J110" s="298">
        <f t="shared" ref="J110:J163" ca="1" si="20">+G110-I110</f>
        <v>-0.41999999999999993</v>
      </c>
    </row>
    <row r="111" spans="1:10">
      <c r="A111" s="443">
        <f t="shared" si="7"/>
        <v>106</v>
      </c>
      <c r="B111" s="443">
        <f t="shared" si="19"/>
        <v>53</v>
      </c>
      <c r="C111" s="300" t="s">
        <v>897</v>
      </c>
      <c r="D111" s="443" t="s">
        <v>833</v>
      </c>
      <c r="E111" s="297">
        <f>+E110</f>
        <v>41456</v>
      </c>
      <c r="F111" s="296">
        <v>7.6</v>
      </c>
      <c r="G111" s="296">
        <f ca="1">+'Exhibit No.__(JAP-LIGHT RD) '!G166</f>
        <v>11.86</v>
      </c>
      <c r="I111" s="298">
        <f>+'[2]Tariff Summary Lights'!G111</f>
        <v>12.28</v>
      </c>
      <c r="J111" s="298">
        <f t="shared" ca="1" si="20"/>
        <v>-0.41999999999999993</v>
      </c>
    </row>
    <row r="112" spans="1:10">
      <c r="A112" s="443">
        <f t="shared" si="7"/>
        <v>107</v>
      </c>
      <c r="B112" s="443">
        <f t="shared" si="19"/>
        <v>53</v>
      </c>
      <c r="C112" s="300" t="s">
        <v>897</v>
      </c>
      <c r="D112" s="443" t="s">
        <v>834</v>
      </c>
      <c r="E112" s="297">
        <f t="shared" ref="E112:E163" si="21">+E111</f>
        <v>41456</v>
      </c>
      <c r="F112" s="296">
        <v>7.7799999999999994</v>
      </c>
      <c r="G112" s="296">
        <f ca="1">+'Exhibit No.__(JAP-LIGHT RD) '!G167</f>
        <v>11.86</v>
      </c>
      <c r="I112" s="298">
        <f>+'[2]Tariff Summary Lights'!G112</f>
        <v>12.28</v>
      </c>
      <c r="J112" s="298">
        <f t="shared" ca="1" si="20"/>
        <v>-0.41999999999999993</v>
      </c>
    </row>
    <row r="113" spans="1:10">
      <c r="A113" s="443">
        <f t="shared" si="7"/>
        <v>108</v>
      </c>
      <c r="B113" s="443">
        <f t="shared" si="19"/>
        <v>53</v>
      </c>
      <c r="C113" s="300" t="s">
        <v>897</v>
      </c>
      <c r="D113" s="443" t="s">
        <v>835</v>
      </c>
      <c r="E113" s="297">
        <f t="shared" si="21"/>
        <v>41456</v>
      </c>
      <c r="F113" s="296">
        <v>7.9499999999999993</v>
      </c>
      <c r="G113" s="296">
        <f ca="1">+'Exhibit No.__(JAP-LIGHT RD) '!G168</f>
        <v>11.86</v>
      </c>
      <c r="I113" s="298">
        <f>+'[2]Tariff Summary Lights'!G113</f>
        <v>12.28</v>
      </c>
      <c r="J113" s="298">
        <f t="shared" ca="1" si="20"/>
        <v>-0.41999999999999993</v>
      </c>
    </row>
    <row r="114" spans="1:10">
      <c r="A114" s="443">
        <f t="shared" si="7"/>
        <v>109</v>
      </c>
      <c r="B114" s="443">
        <f t="shared" si="19"/>
        <v>53</v>
      </c>
      <c r="C114" s="300" t="s">
        <v>897</v>
      </c>
      <c r="D114" s="443" t="s">
        <v>836</v>
      </c>
      <c r="E114" s="297">
        <f t="shared" si="21"/>
        <v>41456</v>
      </c>
      <c r="F114" s="296">
        <v>8.1300000000000008</v>
      </c>
      <c r="G114" s="296">
        <f ca="1">+'Exhibit No.__(JAP-LIGHT RD) '!G169</f>
        <v>11.86</v>
      </c>
      <c r="I114" s="298">
        <f>+'[2]Tariff Summary Lights'!G114</f>
        <v>12.28</v>
      </c>
      <c r="J114" s="298">
        <f t="shared" ca="1" si="20"/>
        <v>-0.41999999999999993</v>
      </c>
    </row>
    <row r="115" spans="1:10">
      <c r="A115" s="443">
        <f t="shared" si="7"/>
        <v>110</v>
      </c>
      <c r="B115" s="443">
        <f t="shared" si="19"/>
        <v>53</v>
      </c>
      <c r="C115" s="300" t="s">
        <v>897</v>
      </c>
      <c r="D115" s="443" t="s">
        <v>837</v>
      </c>
      <c r="E115" s="297">
        <f t="shared" si="21"/>
        <v>41456</v>
      </c>
      <c r="F115" s="296">
        <v>8.31</v>
      </c>
      <c r="G115" s="296">
        <f ca="1">+'Exhibit No.__(JAP-LIGHT RD) '!G170</f>
        <v>11.86</v>
      </c>
      <c r="I115" s="298">
        <f>+'[2]Tariff Summary Lights'!G115</f>
        <v>12.28</v>
      </c>
      <c r="J115" s="298">
        <f t="shared" ca="1" si="20"/>
        <v>-0.41999999999999993</v>
      </c>
    </row>
    <row r="116" spans="1:10">
      <c r="A116" s="443">
        <f t="shared" si="7"/>
        <v>111</v>
      </c>
      <c r="B116" s="443">
        <f t="shared" si="19"/>
        <v>53</v>
      </c>
      <c r="C116" s="300" t="s">
        <v>897</v>
      </c>
      <c r="D116" s="443" t="s">
        <v>838</v>
      </c>
      <c r="E116" s="297">
        <f t="shared" si="21"/>
        <v>41456</v>
      </c>
      <c r="F116" s="296">
        <v>8.7800000000000011</v>
      </c>
      <c r="G116" s="296">
        <f ca="1">+'Exhibit No.__(JAP-LIGHT RD) '!G171</f>
        <v>12.96</v>
      </c>
      <c r="I116" s="298">
        <f>+'[2]Tariff Summary Lights'!G116</f>
        <v>13.43</v>
      </c>
      <c r="J116" s="298">
        <f t="shared" ca="1" si="20"/>
        <v>-0.46999999999999886</v>
      </c>
    </row>
    <row r="117" spans="1:10">
      <c r="A117" s="443">
        <f t="shared" si="7"/>
        <v>112</v>
      </c>
      <c r="B117" s="443">
        <f t="shared" si="19"/>
        <v>53</v>
      </c>
      <c r="C117" s="300" t="s">
        <v>897</v>
      </c>
      <c r="D117" s="443" t="s">
        <v>839</v>
      </c>
      <c r="E117" s="297">
        <f t="shared" si="21"/>
        <v>41456</v>
      </c>
      <c r="F117" s="296">
        <v>8.9500000000000011</v>
      </c>
      <c r="G117" s="296">
        <f ca="1">+'Exhibit No.__(JAP-LIGHT RD) '!G172</f>
        <v>12.96</v>
      </c>
      <c r="I117" s="298">
        <f>+'[2]Tariff Summary Lights'!G117</f>
        <v>13.43</v>
      </c>
      <c r="J117" s="298">
        <f t="shared" ca="1" si="20"/>
        <v>-0.46999999999999886</v>
      </c>
    </row>
    <row r="118" spans="1:10">
      <c r="A118" s="443">
        <f t="shared" si="7"/>
        <v>113</v>
      </c>
      <c r="B118" s="443">
        <f t="shared" si="19"/>
        <v>53</v>
      </c>
      <c r="C118" s="300" t="s">
        <v>897</v>
      </c>
      <c r="D118" s="443" t="s">
        <v>840</v>
      </c>
      <c r="E118" s="297">
        <f t="shared" si="21"/>
        <v>41456</v>
      </c>
      <c r="F118" s="296">
        <v>9.1300000000000008</v>
      </c>
      <c r="G118" s="296">
        <f ca="1">+'Exhibit No.__(JAP-LIGHT RD) '!G173</f>
        <v>12.96</v>
      </c>
      <c r="I118" s="298">
        <f>+'[2]Tariff Summary Lights'!G118</f>
        <v>13.43</v>
      </c>
      <c r="J118" s="298">
        <f t="shared" ca="1" si="20"/>
        <v>-0.46999999999999886</v>
      </c>
    </row>
    <row r="119" spans="1:10">
      <c r="A119" s="443">
        <f t="shared" si="7"/>
        <v>114</v>
      </c>
      <c r="B119" s="443">
        <f t="shared" si="19"/>
        <v>53</v>
      </c>
      <c r="C119" s="300" t="s">
        <v>897</v>
      </c>
      <c r="D119" s="443" t="s">
        <v>841</v>
      </c>
      <c r="E119" s="297">
        <f t="shared" si="21"/>
        <v>41456</v>
      </c>
      <c r="F119" s="296">
        <v>9.3000000000000007</v>
      </c>
      <c r="G119" s="296">
        <f ca="1">+'Exhibit No.__(JAP-LIGHT RD) '!G174</f>
        <v>12.96</v>
      </c>
      <c r="I119" s="298">
        <f>+'[2]Tariff Summary Lights'!G119</f>
        <v>13.43</v>
      </c>
      <c r="J119" s="298">
        <f t="shared" ca="1" si="20"/>
        <v>-0.46999999999999886</v>
      </c>
    </row>
    <row r="120" spans="1:10">
      <c r="A120" s="443">
        <f t="shared" si="7"/>
        <v>115</v>
      </c>
      <c r="B120" s="443">
        <f t="shared" si="19"/>
        <v>53</v>
      </c>
      <c r="C120" s="300" t="s">
        <v>897</v>
      </c>
      <c r="D120" s="443" t="s">
        <v>842</v>
      </c>
      <c r="E120" s="297">
        <f t="shared" si="21"/>
        <v>41456</v>
      </c>
      <c r="F120" s="296">
        <v>9.4699999999999989</v>
      </c>
      <c r="G120" s="296">
        <f ca="1">+'Exhibit No.__(JAP-LIGHT RD) '!G175</f>
        <v>12.96</v>
      </c>
      <c r="I120" s="298">
        <f>+'[2]Tariff Summary Lights'!G120</f>
        <v>13.43</v>
      </c>
      <c r="J120" s="298">
        <f t="shared" ca="1" si="20"/>
        <v>-0.46999999999999886</v>
      </c>
    </row>
    <row r="121" spans="1:10">
      <c r="A121" s="443">
        <f t="shared" si="7"/>
        <v>116</v>
      </c>
      <c r="B121" s="443">
        <f t="shared" si="19"/>
        <v>53</v>
      </c>
      <c r="C121" s="300" t="s">
        <v>897</v>
      </c>
      <c r="D121" s="443" t="s">
        <v>843</v>
      </c>
      <c r="E121" s="297">
        <f t="shared" si="21"/>
        <v>41456</v>
      </c>
      <c r="F121" s="296">
        <v>9.7999999999999989</v>
      </c>
      <c r="G121" s="296">
        <f ca="1">+'Exhibit No.__(JAP-LIGHT RD) '!G176</f>
        <v>12.96</v>
      </c>
      <c r="I121" s="298">
        <f>+'[2]Tariff Summary Lights'!G121</f>
        <v>13.43</v>
      </c>
      <c r="J121" s="298">
        <f t="shared" ca="1" si="20"/>
        <v>-0.46999999999999886</v>
      </c>
    </row>
    <row r="122" spans="1:10">
      <c r="A122" s="443">
        <f t="shared" si="7"/>
        <v>117</v>
      </c>
      <c r="B122" s="443">
        <f t="shared" si="19"/>
        <v>53</v>
      </c>
      <c r="C122" s="300" t="s">
        <v>897</v>
      </c>
      <c r="D122" s="443" t="s">
        <v>844</v>
      </c>
      <c r="E122" s="297">
        <f t="shared" si="21"/>
        <v>41456</v>
      </c>
      <c r="F122" s="296">
        <v>9.9799999999999986</v>
      </c>
      <c r="G122" s="296">
        <f ca="1">+'Exhibit No.__(JAP-LIGHT RD) '!G177</f>
        <v>14.05</v>
      </c>
      <c r="I122" s="298">
        <f>+'[2]Tariff Summary Lights'!G122</f>
        <v>14.57</v>
      </c>
      <c r="J122" s="298">
        <f t="shared" ca="1" si="20"/>
        <v>-0.51999999999999957</v>
      </c>
    </row>
    <row r="123" spans="1:10">
      <c r="A123" s="443">
        <f t="shared" si="7"/>
        <v>118</v>
      </c>
      <c r="B123" s="443">
        <f t="shared" si="19"/>
        <v>53</v>
      </c>
      <c r="C123" s="300" t="s">
        <v>897</v>
      </c>
      <c r="D123" s="443" t="s">
        <v>845</v>
      </c>
      <c r="E123" s="297">
        <f t="shared" si="21"/>
        <v>41456</v>
      </c>
      <c r="F123" s="296">
        <v>10.15</v>
      </c>
      <c r="G123" s="296">
        <f ca="1">+'Exhibit No.__(JAP-LIGHT RD) '!G178</f>
        <v>14.05</v>
      </c>
      <c r="I123" s="298">
        <f>+'[2]Tariff Summary Lights'!G123</f>
        <v>14.57</v>
      </c>
      <c r="J123" s="298">
        <f t="shared" ca="1" si="20"/>
        <v>-0.51999999999999957</v>
      </c>
    </row>
    <row r="124" spans="1:10">
      <c r="A124" s="443">
        <f t="shared" si="7"/>
        <v>119</v>
      </c>
      <c r="B124" s="443">
        <f t="shared" si="19"/>
        <v>53</v>
      </c>
      <c r="C124" s="300" t="s">
        <v>897</v>
      </c>
      <c r="D124" s="443" t="s">
        <v>846</v>
      </c>
      <c r="E124" s="297">
        <f t="shared" si="21"/>
        <v>41456</v>
      </c>
      <c r="F124" s="296">
        <v>10.33</v>
      </c>
      <c r="G124" s="296">
        <f ca="1">+'Exhibit No.__(JAP-LIGHT RD) '!G179</f>
        <v>14.05</v>
      </c>
      <c r="I124" s="298">
        <f>+'[2]Tariff Summary Lights'!G124</f>
        <v>14.57</v>
      </c>
      <c r="J124" s="298">
        <f t="shared" ca="1" si="20"/>
        <v>-0.51999999999999957</v>
      </c>
    </row>
    <row r="125" spans="1:10">
      <c r="A125" s="443">
        <f t="shared" si="7"/>
        <v>120</v>
      </c>
      <c r="B125" s="443">
        <f t="shared" si="19"/>
        <v>53</v>
      </c>
      <c r="C125" s="300" t="s">
        <v>897</v>
      </c>
      <c r="D125" s="443" t="s">
        <v>847</v>
      </c>
      <c r="E125" s="297">
        <f t="shared" si="21"/>
        <v>41456</v>
      </c>
      <c r="F125" s="296">
        <v>10.5</v>
      </c>
      <c r="G125" s="296">
        <f ca="1">+'Exhibit No.__(JAP-LIGHT RD) '!G180</f>
        <v>14.05</v>
      </c>
      <c r="I125" s="298">
        <f>+'[2]Tariff Summary Lights'!G125</f>
        <v>14.57</v>
      </c>
      <c r="J125" s="298">
        <f t="shared" ca="1" si="20"/>
        <v>-0.51999999999999957</v>
      </c>
    </row>
    <row r="126" spans="1:10">
      <c r="A126" s="443">
        <f t="shared" si="7"/>
        <v>121</v>
      </c>
      <c r="B126" s="443">
        <f t="shared" si="19"/>
        <v>53</v>
      </c>
      <c r="C126" s="300" t="s">
        <v>897</v>
      </c>
      <c r="D126" s="443" t="s">
        <v>848</v>
      </c>
      <c r="E126" s="297">
        <f t="shared" si="21"/>
        <v>41456</v>
      </c>
      <c r="F126" s="296">
        <v>10.68</v>
      </c>
      <c r="G126" s="296">
        <f ca="1">+'Exhibit No.__(JAP-LIGHT RD) '!G181</f>
        <v>14.05</v>
      </c>
      <c r="I126" s="298">
        <f>+'[2]Tariff Summary Lights'!G126</f>
        <v>14.57</v>
      </c>
      <c r="J126" s="298">
        <f t="shared" ca="1" si="20"/>
        <v>-0.51999999999999957</v>
      </c>
    </row>
    <row r="127" spans="1:10">
      <c r="A127" s="443">
        <f t="shared" si="7"/>
        <v>122</v>
      </c>
      <c r="B127" s="443">
        <f t="shared" si="19"/>
        <v>53</v>
      </c>
      <c r="C127" s="300" t="s">
        <v>897</v>
      </c>
      <c r="D127" s="443" t="s">
        <v>849</v>
      </c>
      <c r="E127" s="297">
        <f t="shared" si="21"/>
        <v>41456</v>
      </c>
      <c r="F127" s="296">
        <v>10.85</v>
      </c>
      <c r="G127" s="296">
        <f ca="1">+'Exhibit No.__(JAP-LIGHT RD) '!G182</f>
        <v>14.05</v>
      </c>
      <c r="I127" s="298">
        <f>+'[2]Tariff Summary Lights'!G127</f>
        <v>14.57</v>
      </c>
      <c r="J127" s="298">
        <f t="shared" ca="1" si="20"/>
        <v>-0.51999999999999957</v>
      </c>
    </row>
    <row r="128" spans="1:10">
      <c r="A128" s="443">
        <f t="shared" si="7"/>
        <v>123</v>
      </c>
      <c r="B128" s="443">
        <f t="shared" si="19"/>
        <v>53</v>
      </c>
      <c r="C128" s="300" t="s">
        <v>897</v>
      </c>
      <c r="D128" s="443" t="s">
        <v>850</v>
      </c>
      <c r="E128" s="297">
        <f t="shared" si="21"/>
        <v>41456</v>
      </c>
      <c r="F128" s="296">
        <v>11.03</v>
      </c>
      <c r="G128" s="296">
        <f ca="1">+'Exhibit No.__(JAP-LIGHT RD) '!G183</f>
        <v>15.15</v>
      </c>
      <c r="I128" s="298">
        <f>+'[2]Tariff Summary Lights'!G128</f>
        <v>15.72</v>
      </c>
      <c r="J128" s="298">
        <f t="shared" ca="1" si="20"/>
        <v>-0.57000000000000028</v>
      </c>
    </row>
    <row r="129" spans="1:10">
      <c r="A129" s="443">
        <f t="shared" si="7"/>
        <v>124</v>
      </c>
      <c r="B129" s="443">
        <f t="shared" si="19"/>
        <v>53</v>
      </c>
      <c r="C129" s="300" t="s">
        <v>897</v>
      </c>
      <c r="D129" s="443" t="s">
        <v>851</v>
      </c>
      <c r="E129" s="297">
        <f t="shared" si="21"/>
        <v>41456</v>
      </c>
      <c r="F129" s="296">
        <v>11.39</v>
      </c>
      <c r="G129" s="296">
        <f ca="1">+'Exhibit No.__(JAP-LIGHT RD) '!G184</f>
        <v>15.15</v>
      </c>
      <c r="I129" s="298">
        <f>+'[2]Tariff Summary Lights'!G129</f>
        <v>15.72</v>
      </c>
      <c r="J129" s="298">
        <f t="shared" ca="1" si="20"/>
        <v>-0.57000000000000028</v>
      </c>
    </row>
    <row r="130" spans="1:10">
      <c r="A130" s="443">
        <f t="shared" si="7"/>
        <v>125</v>
      </c>
      <c r="B130" s="443">
        <f t="shared" si="19"/>
        <v>53</v>
      </c>
      <c r="C130" s="300" t="s">
        <v>897</v>
      </c>
      <c r="D130" s="443" t="s">
        <v>852</v>
      </c>
      <c r="E130" s="297">
        <f t="shared" si="21"/>
        <v>41456</v>
      </c>
      <c r="F130" s="296">
        <v>11.56</v>
      </c>
      <c r="G130" s="296">
        <f ca="1">+'Exhibit No.__(JAP-LIGHT RD) '!G185</f>
        <v>15.15</v>
      </c>
      <c r="I130" s="298">
        <f>+'[2]Tariff Summary Lights'!G130</f>
        <v>15.72</v>
      </c>
      <c r="J130" s="298">
        <f t="shared" ca="1" si="20"/>
        <v>-0.57000000000000028</v>
      </c>
    </row>
    <row r="131" spans="1:10">
      <c r="A131" s="443">
        <f t="shared" si="7"/>
        <v>126</v>
      </c>
      <c r="B131" s="443">
        <f t="shared" si="19"/>
        <v>53</v>
      </c>
      <c r="C131" s="300" t="s">
        <v>897</v>
      </c>
      <c r="D131" s="443" t="s">
        <v>853</v>
      </c>
      <c r="E131" s="297">
        <f t="shared" si="21"/>
        <v>41456</v>
      </c>
      <c r="F131" s="296">
        <v>11.73</v>
      </c>
      <c r="G131" s="296">
        <f ca="1">+'Exhibit No.__(JAP-LIGHT RD) '!G186</f>
        <v>15.15</v>
      </c>
      <c r="I131" s="298">
        <f>+'[2]Tariff Summary Lights'!G131</f>
        <v>15.72</v>
      </c>
      <c r="J131" s="298">
        <f t="shared" ca="1" si="20"/>
        <v>-0.57000000000000028</v>
      </c>
    </row>
    <row r="132" spans="1:10">
      <c r="A132" s="443">
        <f t="shared" si="7"/>
        <v>127</v>
      </c>
      <c r="B132" s="443">
        <f t="shared" si="19"/>
        <v>53</v>
      </c>
      <c r="C132" s="300" t="s">
        <v>897</v>
      </c>
      <c r="D132" s="443" t="s">
        <v>854</v>
      </c>
      <c r="E132" s="297">
        <f t="shared" si="21"/>
        <v>41456</v>
      </c>
      <c r="F132" s="296">
        <v>11.91</v>
      </c>
      <c r="G132" s="296">
        <f ca="1">+'Exhibit No.__(JAP-LIGHT RD) '!G187</f>
        <v>15.15</v>
      </c>
      <c r="I132" s="298">
        <f>+'[2]Tariff Summary Lights'!G132</f>
        <v>15.72</v>
      </c>
      <c r="J132" s="298">
        <f t="shared" ca="1" si="20"/>
        <v>-0.57000000000000028</v>
      </c>
    </row>
    <row r="133" spans="1:10">
      <c r="A133" s="443">
        <f t="shared" si="7"/>
        <v>128</v>
      </c>
      <c r="B133" s="443">
        <f t="shared" si="19"/>
        <v>53</v>
      </c>
      <c r="C133" s="300" t="s">
        <v>897</v>
      </c>
      <c r="D133" s="443" t="s">
        <v>855</v>
      </c>
      <c r="E133" s="297">
        <f t="shared" si="21"/>
        <v>41456</v>
      </c>
      <c r="F133" s="296">
        <v>12.08</v>
      </c>
      <c r="G133" s="296">
        <f ca="1">+'Exhibit No.__(JAP-LIGHT RD) '!G188</f>
        <v>15.15</v>
      </c>
      <c r="I133" s="298">
        <f>+'[2]Tariff Summary Lights'!G133</f>
        <v>15.72</v>
      </c>
      <c r="J133" s="298">
        <f t="shared" ca="1" si="20"/>
        <v>-0.57000000000000028</v>
      </c>
    </row>
    <row r="134" spans="1:10">
      <c r="A134" s="443">
        <f t="shared" si="7"/>
        <v>129</v>
      </c>
      <c r="B134" s="443">
        <f t="shared" si="19"/>
        <v>53</v>
      </c>
      <c r="C134" s="300" t="s">
        <v>897</v>
      </c>
      <c r="D134" s="443" t="s">
        <v>856</v>
      </c>
      <c r="E134" s="297">
        <f t="shared" si="21"/>
        <v>41456</v>
      </c>
      <c r="F134" s="296">
        <v>12.26</v>
      </c>
      <c r="G134" s="296">
        <f ca="1">+'Exhibit No.__(JAP-LIGHT RD) '!G189</f>
        <v>16.25</v>
      </c>
      <c r="I134" s="298">
        <f>+'[2]Tariff Summary Lights'!G134</f>
        <v>16.87</v>
      </c>
      <c r="J134" s="298">
        <f t="shared" ca="1" si="20"/>
        <v>-0.62000000000000099</v>
      </c>
    </row>
    <row r="135" spans="1:10">
      <c r="A135" s="443">
        <f t="shared" si="7"/>
        <v>130</v>
      </c>
      <c r="B135" s="443">
        <f t="shared" si="19"/>
        <v>53</v>
      </c>
      <c r="C135" s="300" t="s">
        <v>897</v>
      </c>
      <c r="D135" s="443" t="s">
        <v>857</v>
      </c>
      <c r="E135" s="297">
        <f t="shared" si="21"/>
        <v>41456</v>
      </c>
      <c r="F135" s="296">
        <v>12.43</v>
      </c>
      <c r="G135" s="296">
        <f ca="1">+'Exhibit No.__(JAP-LIGHT RD) '!G190</f>
        <v>16.25</v>
      </c>
      <c r="I135" s="298">
        <f>+'[2]Tariff Summary Lights'!G135</f>
        <v>16.87</v>
      </c>
      <c r="J135" s="298">
        <f t="shared" ca="1" si="20"/>
        <v>-0.62000000000000099</v>
      </c>
    </row>
    <row r="136" spans="1:10">
      <c r="A136" s="443">
        <f t="shared" ref="A136:A199" si="22">+A135+1</f>
        <v>131</v>
      </c>
      <c r="B136" s="443">
        <f t="shared" si="19"/>
        <v>53</v>
      </c>
      <c r="C136" s="300" t="s">
        <v>897</v>
      </c>
      <c r="D136" s="443" t="s">
        <v>858</v>
      </c>
      <c r="E136" s="297">
        <f t="shared" si="21"/>
        <v>41456</v>
      </c>
      <c r="F136" s="296">
        <v>12.62</v>
      </c>
      <c r="G136" s="296">
        <f ca="1">+'Exhibit No.__(JAP-LIGHT RD) '!G191</f>
        <v>16.25</v>
      </c>
      <c r="I136" s="298">
        <f>+'[2]Tariff Summary Lights'!G136</f>
        <v>16.87</v>
      </c>
      <c r="J136" s="298">
        <f t="shared" ca="1" si="20"/>
        <v>-0.62000000000000099</v>
      </c>
    </row>
    <row r="137" spans="1:10">
      <c r="A137" s="443">
        <f t="shared" si="22"/>
        <v>132</v>
      </c>
      <c r="B137" s="443">
        <f t="shared" si="19"/>
        <v>53</v>
      </c>
      <c r="C137" s="300" t="s">
        <v>897</v>
      </c>
      <c r="D137" s="443" t="s">
        <v>859</v>
      </c>
      <c r="E137" s="297">
        <f t="shared" si="21"/>
        <v>41456</v>
      </c>
      <c r="F137" s="296">
        <v>12.79</v>
      </c>
      <c r="G137" s="296">
        <f ca="1">+'Exhibit No.__(JAP-LIGHT RD) '!G192</f>
        <v>16.25</v>
      </c>
      <c r="I137" s="298">
        <f>+'[2]Tariff Summary Lights'!G137</f>
        <v>16.87</v>
      </c>
      <c r="J137" s="298">
        <f t="shared" ca="1" si="20"/>
        <v>-0.62000000000000099</v>
      </c>
    </row>
    <row r="138" spans="1:10">
      <c r="A138" s="443">
        <f t="shared" si="22"/>
        <v>133</v>
      </c>
      <c r="B138" s="443">
        <f t="shared" si="19"/>
        <v>53</v>
      </c>
      <c r="C138" s="300" t="s">
        <v>897</v>
      </c>
      <c r="D138" s="443" t="s">
        <v>860</v>
      </c>
      <c r="E138" s="297">
        <f t="shared" si="21"/>
        <v>41456</v>
      </c>
      <c r="F138" s="296">
        <v>12.969999999999999</v>
      </c>
      <c r="G138" s="296">
        <f ca="1">+'Exhibit No.__(JAP-LIGHT RD) '!G193</f>
        <v>16.25</v>
      </c>
      <c r="I138" s="298">
        <f>+'[2]Tariff Summary Lights'!G138</f>
        <v>16.87</v>
      </c>
      <c r="J138" s="298">
        <f t="shared" ca="1" si="20"/>
        <v>-0.62000000000000099</v>
      </c>
    </row>
    <row r="139" spans="1:10">
      <c r="A139" s="443">
        <f t="shared" si="22"/>
        <v>134</v>
      </c>
      <c r="B139" s="443">
        <f t="shared" si="19"/>
        <v>53</v>
      </c>
      <c r="C139" s="300" t="s">
        <v>897</v>
      </c>
      <c r="D139" s="443" t="s">
        <v>861</v>
      </c>
      <c r="E139" s="297">
        <f t="shared" si="21"/>
        <v>41456</v>
      </c>
      <c r="F139" s="296">
        <v>14.020000000000001</v>
      </c>
      <c r="G139" s="296">
        <f ca="1">+'Exhibit No.__(JAP-LIGHT RD) '!G194</f>
        <v>16.25</v>
      </c>
      <c r="I139" s="298">
        <f>+'[2]Tariff Summary Lights'!G139</f>
        <v>16.87</v>
      </c>
      <c r="J139" s="298">
        <f t="shared" ca="1" si="20"/>
        <v>-0.62000000000000099</v>
      </c>
    </row>
    <row r="140" spans="1:10">
      <c r="A140" s="443">
        <f t="shared" si="22"/>
        <v>135</v>
      </c>
      <c r="B140" s="443">
        <f t="shared" si="19"/>
        <v>53</v>
      </c>
      <c r="C140" s="300" t="s">
        <v>897</v>
      </c>
      <c r="D140" s="443" t="s">
        <v>862</v>
      </c>
      <c r="E140" s="297">
        <f t="shared" si="21"/>
        <v>41456</v>
      </c>
      <c r="F140" s="296">
        <v>14.200000000000001</v>
      </c>
      <c r="G140" s="296">
        <f ca="1">+'Exhibit No.__(JAP-LIGHT RD) '!G195</f>
        <v>17.34</v>
      </c>
      <c r="I140" s="298">
        <f>+'[2]Tariff Summary Lights'!G140</f>
        <v>18.010000000000002</v>
      </c>
      <c r="J140" s="298">
        <f t="shared" ca="1" si="20"/>
        <v>-0.67000000000000171</v>
      </c>
    </row>
    <row r="141" spans="1:10">
      <c r="A141" s="443">
        <f t="shared" si="22"/>
        <v>136</v>
      </c>
      <c r="B141" s="443">
        <f t="shared" si="19"/>
        <v>53</v>
      </c>
      <c r="C141" s="300" t="s">
        <v>897</v>
      </c>
      <c r="D141" s="443" t="s">
        <v>863</v>
      </c>
      <c r="E141" s="297">
        <f t="shared" si="21"/>
        <v>41456</v>
      </c>
      <c r="F141" s="296">
        <v>14.370000000000001</v>
      </c>
      <c r="G141" s="296">
        <f ca="1">+'Exhibit No.__(JAP-LIGHT RD) '!G196</f>
        <v>17.34</v>
      </c>
      <c r="I141" s="298">
        <f>+'[2]Tariff Summary Lights'!G141</f>
        <v>18.010000000000002</v>
      </c>
      <c r="J141" s="298">
        <f t="shared" ca="1" si="20"/>
        <v>-0.67000000000000171</v>
      </c>
    </row>
    <row r="142" spans="1:10">
      <c r="A142" s="443">
        <f t="shared" si="22"/>
        <v>137</v>
      </c>
      <c r="B142" s="443">
        <f t="shared" si="19"/>
        <v>53</v>
      </c>
      <c r="C142" s="300" t="s">
        <v>897</v>
      </c>
      <c r="D142" s="443" t="s">
        <v>864</v>
      </c>
      <c r="E142" s="297">
        <f t="shared" si="21"/>
        <v>41456</v>
      </c>
      <c r="F142" s="296">
        <v>14.55</v>
      </c>
      <c r="G142" s="296">
        <f ca="1">+'Exhibit No.__(JAP-LIGHT RD) '!G197</f>
        <v>17.34</v>
      </c>
      <c r="I142" s="298">
        <f>+'[2]Tariff Summary Lights'!G142</f>
        <v>18.010000000000002</v>
      </c>
      <c r="J142" s="298">
        <f t="shared" ca="1" si="20"/>
        <v>-0.67000000000000171</v>
      </c>
    </row>
    <row r="143" spans="1:10">
      <c r="A143" s="443">
        <f t="shared" si="22"/>
        <v>138</v>
      </c>
      <c r="B143" s="443">
        <f t="shared" si="19"/>
        <v>53</v>
      </c>
      <c r="C143" s="300" t="s">
        <v>897</v>
      </c>
      <c r="D143" s="443" t="s">
        <v>865</v>
      </c>
      <c r="E143" s="297">
        <f t="shared" si="21"/>
        <v>41456</v>
      </c>
      <c r="F143" s="296">
        <v>14.729999999999999</v>
      </c>
      <c r="G143" s="296">
        <f ca="1">+'Exhibit No.__(JAP-LIGHT RD) '!G198</f>
        <v>17.34</v>
      </c>
      <c r="I143" s="298">
        <f>+'[2]Tariff Summary Lights'!G143</f>
        <v>18.010000000000002</v>
      </c>
      <c r="J143" s="298">
        <f t="shared" ca="1" si="20"/>
        <v>-0.67000000000000171</v>
      </c>
    </row>
    <row r="144" spans="1:10">
      <c r="A144" s="443">
        <f t="shared" si="22"/>
        <v>139</v>
      </c>
      <c r="B144" s="443">
        <f t="shared" si="19"/>
        <v>53</v>
      </c>
      <c r="C144" s="300" t="s">
        <v>897</v>
      </c>
      <c r="D144" s="443" t="s">
        <v>866</v>
      </c>
      <c r="E144" s="297">
        <f t="shared" si="21"/>
        <v>41456</v>
      </c>
      <c r="F144" s="296">
        <v>14.909999999999998</v>
      </c>
      <c r="G144" s="296">
        <f ca="1">+'Exhibit No.__(JAP-LIGHT RD) '!G199</f>
        <v>17.34</v>
      </c>
      <c r="I144" s="298">
        <f>+'[2]Tariff Summary Lights'!G144</f>
        <v>18.010000000000002</v>
      </c>
      <c r="J144" s="298">
        <f t="shared" ca="1" si="20"/>
        <v>-0.67000000000000171</v>
      </c>
    </row>
    <row r="145" spans="1:10">
      <c r="A145" s="443">
        <f t="shared" si="22"/>
        <v>140</v>
      </c>
      <c r="B145" s="443">
        <f t="shared" si="19"/>
        <v>53</v>
      </c>
      <c r="C145" s="300" t="s">
        <v>897</v>
      </c>
      <c r="D145" s="443" t="s">
        <v>867</v>
      </c>
      <c r="E145" s="297">
        <f t="shared" si="21"/>
        <v>41456</v>
      </c>
      <c r="F145" s="296">
        <v>15.08</v>
      </c>
      <c r="G145" s="296">
        <f ca="1">+'Exhibit No.__(JAP-LIGHT RD) '!G200</f>
        <v>17.34</v>
      </c>
      <c r="I145" s="298">
        <f>+'[2]Tariff Summary Lights'!G145</f>
        <v>18.010000000000002</v>
      </c>
      <c r="J145" s="298">
        <f t="shared" ca="1" si="20"/>
        <v>-0.67000000000000171</v>
      </c>
    </row>
    <row r="146" spans="1:10">
      <c r="A146" s="443">
        <f t="shared" si="22"/>
        <v>141</v>
      </c>
      <c r="B146" s="443">
        <f t="shared" si="19"/>
        <v>53</v>
      </c>
      <c r="C146" s="300" t="s">
        <v>897</v>
      </c>
      <c r="D146" s="443" t="s">
        <v>868</v>
      </c>
      <c r="E146" s="297">
        <f t="shared" si="21"/>
        <v>41456</v>
      </c>
      <c r="F146" s="296">
        <v>15.26</v>
      </c>
      <c r="G146" s="296">
        <f ca="1">+'Exhibit No.__(JAP-LIGHT RD) '!G201</f>
        <v>18.440000000000001</v>
      </c>
      <c r="I146" s="298">
        <f>+'[2]Tariff Summary Lights'!G146</f>
        <v>19.16</v>
      </c>
      <c r="J146" s="298">
        <f t="shared" ca="1" si="20"/>
        <v>-0.71999999999999886</v>
      </c>
    </row>
    <row r="147" spans="1:10">
      <c r="A147" s="443">
        <f t="shared" si="22"/>
        <v>142</v>
      </c>
      <c r="B147" s="443">
        <f t="shared" si="19"/>
        <v>53</v>
      </c>
      <c r="C147" s="300" t="s">
        <v>897</v>
      </c>
      <c r="D147" s="443" t="s">
        <v>869</v>
      </c>
      <c r="E147" s="297">
        <f t="shared" si="21"/>
        <v>41456</v>
      </c>
      <c r="F147" s="296">
        <v>15.43</v>
      </c>
      <c r="G147" s="296">
        <f ca="1">+'Exhibit No.__(JAP-LIGHT RD) '!G202</f>
        <v>18.440000000000001</v>
      </c>
      <c r="I147" s="298">
        <f>+'[2]Tariff Summary Lights'!G147</f>
        <v>19.16</v>
      </c>
      <c r="J147" s="298">
        <f t="shared" ca="1" si="20"/>
        <v>-0.71999999999999886</v>
      </c>
    </row>
    <row r="148" spans="1:10">
      <c r="A148" s="443">
        <f t="shared" si="22"/>
        <v>143</v>
      </c>
      <c r="B148" s="443">
        <f t="shared" si="19"/>
        <v>53</v>
      </c>
      <c r="C148" s="300" t="s">
        <v>897</v>
      </c>
      <c r="D148" s="443" t="s">
        <v>870</v>
      </c>
      <c r="E148" s="297">
        <f t="shared" si="21"/>
        <v>41456</v>
      </c>
      <c r="F148" s="296">
        <v>15.6</v>
      </c>
      <c r="G148" s="296">
        <f ca="1">+'Exhibit No.__(JAP-LIGHT RD) '!G203</f>
        <v>18.440000000000001</v>
      </c>
      <c r="I148" s="298">
        <f>+'[2]Tariff Summary Lights'!G148</f>
        <v>19.16</v>
      </c>
      <c r="J148" s="298">
        <f t="shared" ca="1" si="20"/>
        <v>-0.71999999999999886</v>
      </c>
    </row>
    <row r="149" spans="1:10">
      <c r="A149" s="443">
        <f t="shared" si="22"/>
        <v>144</v>
      </c>
      <c r="B149" s="443">
        <f t="shared" si="19"/>
        <v>53</v>
      </c>
      <c r="C149" s="300" t="s">
        <v>897</v>
      </c>
      <c r="D149" s="443" t="s">
        <v>871</v>
      </c>
      <c r="E149" s="297">
        <f t="shared" si="21"/>
        <v>41456</v>
      </c>
      <c r="F149" s="296">
        <v>15.860000000000001</v>
      </c>
      <c r="G149" s="296">
        <f ca="1">+'Exhibit No.__(JAP-LIGHT RD) '!G204</f>
        <v>18.440000000000001</v>
      </c>
      <c r="I149" s="298">
        <f>+'[2]Tariff Summary Lights'!G149</f>
        <v>19.16</v>
      </c>
      <c r="J149" s="298">
        <f t="shared" ca="1" si="20"/>
        <v>-0.71999999999999886</v>
      </c>
    </row>
    <row r="150" spans="1:10">
      <c r="A150" s="443">
        <f t="shared" si="22"/>
        <v>145</v>
      </c>
      <c r="B150" s="443">
        <f t="shared" si="19"/>
        <v>53</v>
      </c>
      <c r="C150" s="300" t="s">
        <v>897</v>
      </c>
      <c r="D150" s="443" t="s">
        <v>872</v>
      </c>
      <c r="E150" s="297">
        <f t="shared" si="21"/>
        <v>41456</v>
      </c>
      <c r="F150" s="296">
        <v>16.04</v>
      </c>
      <c r="G150" s="296">
        <f ca="1">+'Exhibit No.__(JAP-LIGHT RD) '!G205</f>
        <v>18.440000000000001</v>
      </c>
      <c r="I150" s="298">
        <f>+'[2]Tariff Summary Lights'!G150</f>
        <v>19.16</v>
      </c>
      <c r="J150" s="298">
        <f t="shared" ca="1" si="20"/>
        <v>-0.71999999999999886</v>
      </c>
    </row>
    <row r="151" spans="1:10">
      <c r="A151" s="443">
        <f t="shared" si="22"/>
        <v>146</v>
      </c>
      <c r="B151" s="443">
        <f t="shared" si="19"/>
        <v>53</v>
      </c>
      <c r="C151" s="300" t="s">
        <v>897</v>
      </c>
      <c r="D151" s="443" t="s">
        <v>873</v>
      </c>
      <c r="E151" s="297">
        <f t="shared" si="21"/>
        <v>41456</v>
      </c>
      <c r="F151" s="296">
        <v>16.22</v>
      </c>
      <c r="G151" s="296">
        <f ca="1">+'Exhibit No.__(JAP-LIGHT RD) '!G206</f>
        <v>18.440000000000001</v>
      </c>
      <c r="I151" s="298">
        <f>+'[2]Tariff Summary Lights'!G151</f>
        <v>19.16</v>
      </c>
      <c r="J151" s="298">
        <f t="shared" ca="1" si="20"/>
        <v>-0.71999999999999886</v>
      </c>
    </row>
    <row r="152" spans="1:10">
      <c r="A152" s="443">
        <f t="shared" si="22"/>
        <v>147</v>
      </c>
      <c r="B152" s="443">
        <f t="shared" si="19"/>
        <v>53</v>
      </c>
      <c r="C152" s="300" t="s">
        <v>897</v>
      </c>
      <c r="D152" s="443" t="s">
        <v>874</v>
      </c>
      <c r="E152" s="297">
        <f t="shared" si="21"/>
        <v>41456</v>
      </c>
      <c r="F152" s="296">
        <v>16.389999999999997</v>
      </c>
      <c r="G152" s="296">
        <f ca="1">+'Exhibit No.__(JAP-LIGHT RD) '!G207</f>
        <v>19.54</v>
      </c>
      <c r="I152" s="298">
        <f>+'[2]Tariff Summary Lights'!G152</f>
        <v>20.309999999999999</v>
      </c>
      <c r="J152" s="298">
        <f t="shared" ca="1" si="20"/>
        <v>-0.76999999999999957</v>
      </c>
    </row>
    <row r="153" spans="1:10">
      <c r="A153" s="443">
        <f t="shared" si="22"/>
        <v>148</v>
      </c>
      <c r="B153" s="443">
        <f t="shared" si="19"/>
        <v>53</v>
      </c>
      <c r="C153" s="300" t="s">
        <v>897</v>
      </c>
      <c r="D153" s="443" t="s">
        <v>875</v>
      </c>
      <c r="E153" s="297">
        <f t="shared" si="21"/>
        <v>41456</v>
      </c>
      <c r="F153" s="296">
        <v>16.559999999999999</v>
      </c>
      <c r="G153" s="296">
        <f ca="1">+'Exhibit No.__(JAP-LIGHT RD) '!G208</f>
        <v>19.54</v>
      </c>
      <c r="I153" s="298">
        <f>+'[2]Tariff Summary Lights'!G153</f>
        <v>20.309999999999999</v>
      </c>
      <c r="J153" s="298">
        <f t="shared" ca="1" si="20"/>
        <v>-0.76999999999999957</v>
      </c>
    </row>
    <row r="154" spans="1:10">
      <c r="A154" s="443">
        <f t="shared" si="22"/>
        <v>149</v>
      </c>
      <c r="B154" s="443">
        <f t="shared" si="19"/>
        <v>53</v>
      </c>
      <c r="C154" s="300" t="s">
        <v>897</v>
      </c>
      <c r="D154" s="443" t="s">
        <v>876</v>
      </c>
      <c r="E154" s="297">
        <f t="shared" si="21"/>
        <v>41456</v>
      </c>
      <c r="F154" s="296">
        <v>16.740000000000002</v>
      </c>
      <c r="G154" s="296">
        <f ca="1">+'Exhibit No.__(JAP-LIGHT RD) '!G209</f>
        <v>19.54</v>
      </c>
      <c r="I154" s="298">
        <f>+'[2]Tariff Summary Lights'!G154</f>
        <v>20.309999999999999</v>
      </c>
      <c r="J154" s="298">
        <f t="shared" ca="1" si="20"/>
        <v>-0.76999999999999957</v>
      </c>
    </row>
    <row r="155" spans="1:10">
      <c r="A155" s="443">
        <f t="shared" si="22"/>
        <v>150</v>
      </c>
      <c r="B155" s="443">
        <f t="shared" si="19"/>
        <v>53</v>
      </c>
      <c r="C155" s="300" t="s">
        <v>897</v>
      </c>
      <c r="D155" s="443" t="s">
        <v>877</v>
      </c>
      <c r="E155" s="297">
        <f t="shared" si="21"/>
        <v>41456</v>
      </c>
      <c r="F155" s="296">
        <v>16.91</v>
      </c>
      <c r="G155" s="296">
        <f ca="1">+'Exhibit No.__(JAP-LIGHT RD) '!G210</f>
        <v>19.54</v>
      </c>
      <c r="I155" s="298">
        <f>+'[2]Tariff Summary Lights'!G155</f>
        <v>20.309999999999999</v>
      </c>
      <c r="J155" s="298">
        <f t="shared" ca="1" si="20"/>
        <v>-0.76999999999999957</v>
      </c>
    </row>
    <row r="156" spans="1:10">
      <c r="A156" s="443">
        <f t="shared" si="22"/>
        <v>151</v>
      </c>
      <c r="B156" s="443">
        <f t="shared" si="19"/>
        <v>53</v>
      </c>
      <c r="C156" s="300" t="s">
        <v>897</v>
      </c>
      <c r="D156" s="443" t="s">
        <v>878</v>
      </c>
      <c r="E156" s="297">
        <f t="shared" si="21"/>
        <v>41456</v>
      </c>
      <c r="F156" s="296">
        <v>17.09</v>
      </c>
      <c r="G156" s="296">
        <f ca="1">+'Exhibit No.__(JAP-LIGHT RD) '!G211</f>
        <v>19.54</v>
      </c>
      <c r="I156" s="298">
        <f>+'[2]Tariff Summary Lights'!G156</f>
        <v>20.309999999999999</v>
      </c>
      <c r="J156" s="298">
        <f t="shared" ca="1" si="20"/>
        <v>-0.76999999999999957</v>
      </c>
    </row>
    <row r="157" spans="1:10">
      <c r="A157" s="443">
        <f t="shared" si="22"/>
        <v>152</v>
      </c>
      <c r="B157" s="443">
        <f t="shared" si="19"/>
        <v>53</v>
      </c>
      <c r="C157" s="300" t="s">
        <v>897</v>
      </c>
      <c r="D157" s="443" t="s">
        <v>879</v>
      </c>
      <c r="E157" s="297">
        <f t="shared" si="21"/>
        <v>41456</v>
      </c>
      <c r="F157" s="296">
        <v>17.27</v>
      </c>
      <c r="G157" s="296">
        <f ca="1">+'Exhibit No.__(JAP-LIGHT RD) '!G212</f>
        <v>19.54</v>
      </c>
      <c r="I157" s="298">
        <f>+'[2]Tariff Summary Lights'!G157</f>
        <v>20.309999999999999</v>
      </c>
      <c r="J157" s="298">
        <f t="shared" ca="1" si="20"/>
        <v>-0.76999999999999957</v>
      </c>
    </row>
    <row r="158" spans="1:10">
      <c r="A158" s="443">
        <f t="shared" si="22"/>
        <v>153</v>
      </c>
      <c r="B158" s="443">
        <f t="shared" si="19"/>
        <v>53</v>
      </c>
      <c r="C158" s="300" t="s">
        <v>897</v>
      </c>
      <c r="D158" s="443" t="s">
        <v>880</v>
      </c>
      <c r="E158" s="297">
        <f t="shared" si="21"/>
        <v>41456</v>
      </c>
      <c r="F158" s="296">
        <v>17.45</v>
      </c>
      <c r="G158" s="296">
        <f ca="1">+'Exhibit No.__(JAP-LIGHT RD) '!G213</f>
        <v>20.63</v>
      </c>
      <c r="I158" s="298">
        <f>+'[2]Tariff Summary Lights'!G158</f>
        <v>21.46</v>
      </c>
      <c r="J158" s="298">
        <f t="shared" ca="1" si="20"/>
        <v>-0.83000000000000185</v>
      </c>
    </row>
    <row r="159" spans="1:10">
      <c r="A159" s="443">
        <f t="shared" si="22"/>
        <v>154</v>
      </c>
      <c r="B159" s="443">
        <f t="shared" si="19"/>
        <v>53</v>
      </c>
      <c r="C159" s="300" t="s">
        <v>897</v>
      </c>
      <c r="D159" s="443" t="s">
        <v>881</v>
      </c>
      <c r="E159" s="297">
        <f t="shared" si="21"/>
        <v>41456</v>
      </c>
      <c r="F159" s="296">
        <v>17.62</v>
      </c>
      <c r="G159" s="296">
        <f ca="1">+'Exhibit No.__(JAP-LIGHT RD) '!G214</f>
        <v>20.63</v>
      </c>
      <c r="I159" s="298">
        <f>+'[2]Tariff Summary Lights'!G159</f>
        <v>21.46</v>
      </c>
      <c r="J159" s="298">
        <f t="shared" ca="1" si="20"/>
        <v>-0.83000000000000185</v>
      </c>
    </row>
    <row r="160" spans="1:10">
      <c r="A160" s="443">
        <f t="shared" si="22"/>
        <v>155</v>
      </c>
      <c r="B160" s="443">
        <f t="shared" si="19"/>
        <v>53</v>
      </c>
      <c r="C160" s="300" t="s">
        <v>897</v>
      </c>
      <c r="D160" s="443" t="s">
        <v>882</v>
      </c>
      <c r="E160" s="297">
        <f t="shared" si="21"/>
        <v>41456</v>
      </c>
      <c r="F160" s="296">
        <v>18.22</v>
      </c>
      <c r="G160" s="296">
        <f ca="1">+'Exhibit No.__(JAP-LIGHT RD) '!G215</f>
        <v>20.63</v>
      </c>
      <c r="I160" s="298">
        <f>+'[2]Tariff Summary Lights'!G160</f>
        <v>21.46</v>
      </c>
      <c r="J160" s="298">
        <f t="shared" ca="1" si="20"/>
        <v>-0.83000000000000185</v>
      </c>
    </row>
    <row r="161" spans="1:10">
      <c r="A161" s="443">
        <f t="shared" si="22"/>
        <v>156</v>
      </c>
      <c r="B161" s="443">
        <f t="shared" si="19"/>
        <v>53</v>
      </c>
      <c r="C161" s="300" t="s">
        <v>897</v>
      </c>
      <c r="D161" s="443" t="s">
        <v>883</v>
      </c>
      <c r="E161" s="297">
        <f t="shared" si="21"/>
        <v>41456</v>
      </c>
      <c r="F161" s="296">
        <v>18.399999999999999</v>
      </c>
      <c r="G161" s="296">
        <f ca="1">+'Exhibit No.__(JAP-LIGHT RD) '!G216</f>
        <v>20.63</v>
      </c>
      <c r="I161" s="298">
        <f>+'[2]Tariff Summary Lights'!G161</f>
        <v>21.46</v>
      </c>
      <c r="J161" s="298">
        <f t="shared" ca="1" si="20"/>
        <v>-0.83000000000000185</v>
      </c>
    </row>
    <row r="162" spans="1:10">
      <c r="A162" s="443">
        <f t="shared" si="22"/>
        <v>157</v>
      </c>
      <c r="B162" s="443">
        <f t="shared" si="19"/>
        <v>53</v>
      </c>
      <c r="C162" s="300" t="s">
        <v>897</v>
      </c>
      <c r="D162" s="443" t="s">
        <v>884</v>
      </c>
      <c r="E162" s="297">
        <f t="shared" si="21"/>
        <v>41456</v>
      </c>
      <c r="F162" s="296">
        <v>18.57</v>
      </c>
      <c r="G162" s="296">
        <f ca="1">+'Exhibit No.__(JAP-LIGHT RD) '!G217</f>
        <v>20.63</v>
      </c>
      <c r="I162" s="298">
        <f>+'[2]Tariff Summary Lights'!G162</f>
        <v>21.46</v>
      </c>
      <c r="J162" s="298">
        <f t="shared" ca="1" si="20"/>
        <v>-0.83000000000000185</v>
      </c>
    </row>
    <row r="163" spans="1:10">
      <c r="A163" s="443">
        <f t="shared" si="22"/>
        <v>158</v>
      </c>
      <c r="B163" s="443">
        <f t="shared" si="19"/>
        <v>53</v>
      </c>
      <c r="C163" s="300" t="s">
        <v>897</v>
      </c>
      <c r="D163" s="443" t="s">
        <v>885</v>
      </c>
      <c r="E163" s="297">
        <f t="shared" si="21"/>
        <v>41456</v>
      </c>
      <c r="F163" s="296">
        <v>18.75</v>
      </c>
      <c r="G163" s="296">
        <f ca="1">+'Exhibit No.__(JAP-LIGHT RD) '!G218</f>
        <v>20.63</v>
      </c>
      <c r="I163" s="298">
        <f>+'[2]Tariff Summary Lights'!G163</f>
        <v>21.46</v>
      </c>
      <c r="J163" s="298">
        <f t="shared" ca="1" si="20"/>
        <v>-0.83000000000000185</v>
      </c>
    </row>
    <row r="164" spans="1:10">
      <c r="A164" s="443">
        <f t="shared" si="22"/>
        <v>159</v>
      </c>
      <c r="B164" s="443"/>
      <c r="C164" s="289"/>
      <c r="D164" s="443"/>
      <c r="E164" s="297"/>
      <c r="F164" s="289"/>
      <c r="G164" s="296"/>
      <c r="I164" s="298"/>
      <c r="J164" s="298"/>
    </row>
    <row r="165" spans="1:10">
      <c r="A165" s="443">
        <f t="shared" si="22"/>
        <v>160</v>
      </c>
      <c r="B165" s="443">
        <f t="shared" ref="B165:B173" si="23">+$B$94</f>
        <v>53</v>
      </c>
      <c r="C165" s="289" t="s">
        <v>898</v>
      </c>
      <c r="D165" s="443" t="s">
        <v>887</v>
      </c>
      <c r="E165" s="297">
        <f t="shared" ref="E165:E173" si="24">+$E$6</f>
        <v>41456</v>
      </c>
      <c r="F165" s="296">
        <v>4.1000000000000005</v>
      </c>
      <c r="G165" s="296">
        <f ca="1">+'Exhibit No.__(JAP-LIGHT RD) '!G220</f>
        <v>3.64</v>
      </c>
      <c r="I165" s="298">
        <f>+'[2]Tariff Summary Lights'!G165</f>
        <v>3.93</v>
      </c>
      <c r="J165" s="298">
        <f t="shared" ref="J165:J173" ca="1" si="25">+G165-I165</f>
        <v>-0.29000000000000004</v>
      </c>
    </row>
    <row r="166" spans="1:10">
      <c r="A166" s="443">
        <f t="shared" si="22"/>
        <v>161</v>
      </c>
      <c r="B166" s="443">
        <f t="shared" si="23"/>
        <v>53</v>
      </c>
      <c r="C166" s="289" t="s">
        <v>898</v>
      </c>
      <c r="D166" s="443" t="s">
        <v>888</v>
      </c>
      <c r="E166" s="297">
        <f t="shared" si="24"/>
        <v>41456</v>
      </c>
      <c r="F166" s="296">
        <v>5.1099999999999994</v>
      </c>
      <c r="G166" s="296">
        <f ca="1">+'Exhibit No.__(JAP-LIGHT RD) '!G221</f>
        <v>4.26</v>
      </c>
      <c r="I166" s="298">
        <f>+'[2]Tariff Summary Lights'!G166</f>
        <v>4.58</v>
      </c>
      <c r="J166" s="298">
        <f t="shared" ca="1" si="25"/>
        <v>-0.32000000000000028</v>
      </c>
    </row>
    <row r="167" spans="1:10">
      <c r="A167" s="443">
        <f t="shared" si="22"/>
        <v>162</v>
      </c>
      <c r="B167" s="443">
        <f t="shared" si="23"/>
        <v>53</v>
      </c>
      <c r="C167" s="289" t="s">
        <v>898</v>
      </c>
      <c r="D167" s="443" t="s">
        <v>823</v>
      </c>
      <c r="E167" s="297">
        <f t="shared" si="24"/>
        <v>41456</v>
      </c>
      <c r="F167" s="296">
        <v>6.28</v>
      </c>
      <c r="G167" s="296">
        <f ca="1">+'Exhibit No.__(JAP-LIGHT RD) '!G222</f>
        <v>5.19</v>
      </c>
      <c r="I167" s="298">
        <f>+'[2]Tariff Summary Lights'!G167</f>
        <v>5.55</v>
      </c>
      <c r="J167" s="298">
        <f t="shared" ca="1" si="25"/>
        <v>-0.35999999999999943</v>
      </c>
    </row>
    <row r="168" spans="1:10">
      <c r="A168" s="443">
        <f t="shared" si="22"/>
        <v>163</v>
      </c>
      <c r="B168" s="443">
        <f t="shared" si="23"/>
        <v>53</v>
      </c>
      <c r="C168" s="289" t="s">
        <v>898</v>
      </c>
      <c r="D168" s="443" t="s">
        <v>889</v>
      </c>
      <c r="E168" s="297">
        <f t="shared" si="24"/>
        <v>41456</v>
      </c>
      <c r="F168" s="296">
        <v>8.2100000000000009</v>
      </c>
      <c r="G168" s="296">
        <f ca="1">+'Exhibit No.__(JAP-LIGHT RD) '!G223</f>
        <v>6.73</v>
      </c>
      <c r="I168" s="298">
        <f>+'[2]Tariff Summary Lights'!G168</f>
        <v>7.17</v>
      </c>
      <c r="J168" s="298">
        <f t="shared" ca="1" si="25"/>
        <v>-0.4399999999999995</v>
      </c>
    </row>
    <row r="169" spans="1:10">
      <c r="A169" s="443">
        <f t="shared" si="22"/>
        <v>164</v>
      </c>
      <c r="B169" s="443">
        <f t="shared" si="23"/>
        <v>53</v>
      </c>
      <c r="C169" s="289" t="s">
        <v>898</v>
      </c>
      <c r="D169" s="443" t="s">
        <v>890</v>
      </c>
      <c r="E169" s="297">
        <f t="shared" si="24"/>
        <v>41456</v>
      </c>
      <c r="F169" s="296">
        <v>10.14</v>
      </c>
      <c r="G169" s="296">
        <f ca="1">+'Exhibit No.__(JAP-LIGHT RD) '!G224</f>
        <v>8.27</v>
      </c>
      <c r="I169" s="298">
        <f>+'[2]Tariff Summary Lights'!G169</f>
        <v>8.7799999999999994</v>
      </c>
      <c r="J169" s="298">
        <f t="shared" ca="1" si="25"/>
        <v>-0.50999999999999979</v>
      </c>
    </row>
    <row r="170" spans="1:10">
      <c r="A170" s="443">
        <f t="shared" si="22"/>
        <v>165</v>
      </c>
      <c r="B170" s="443">
        <f t="shared" si="23"/>
        <v>53</v>
      </c>
      <c r="C170" s="289" t="s">
        <v>898</v>
      </c>
      <c r="D170" s="443" t="s">
        <v>891</v>
      </c>
      <c r="E170" s="297">
        <f t="shared" si="24"/>
        <v>41456</v>
      </c>
      <c r="F170" s="296">
        <v>12.139999999999999</v>
      </c>
      <c r="G170" s="296">
        <f ca="1">+'Exhibit No.__(JAP-LIGHT RD) '!G225</f>
        <v>9.82</v>
      </c>
      <c r="I170" s="298">
        <f>+'[2]Tariff Summary Lights'!G170</f>
        <v>10.4</v>
      </c>
      <c r="J170" s="298">
        <f t="shared" ca="1" si="25"/>
        <v>-0.58000000000000007</v>
      </c>
    </row>
    <row r="171" spans="1:10">
      <c r="A171" s="443">
        <f t="shared" si="22"/>
        <v>166</v>
      </c>
      <c r="B171" s="443">
        <f t="shared" si="23"/>
        <v>53</v>
      </c>
      <c r="C171" s="289" t="s">
        <v>898</v>
      </c>
      <c r="D171" s="443" t="s">
        <v>892</v>
      </c>
      <c r="E171" s="297">
        <f t="shared" si="24"/>
        <v>41456</v>
      </c>
      <c r="F171" s="296">
        <v>14.629999999999999</v>
      </c>
      <c r="G171" s="296">
        <f ca="1">+'Exhibit No.__(JAP-LIGHT RD) '!G226</f>
        <v>11.67</v>
      </c>
      <c r="I171" s="298">
        <f>+'[2]Tariff Summary Lights'!G171</f>
        <v>12.34</v>
      </c>
      <c r="J171" s="298">
        <f t="shared" ca="1" si="25"/>
        <v>-0.66999999999999993</v>
      </c>
    </row>
    <row r="172" spans="1:10">
      <c r="A172" s="443">
        <f t="shared" si="22"/>
        <v>167</v>
      </c>
      <c r="B172" s="443">
        <f t="shared" si="23"/>
        <v>53</v>
      </c>
      <c r="C172" s="289" t="s">
        <v>898</v>
      </c>
      <c r="D172" s="443" t="s">
        <v>825</v>
      </c>
      <c r="E172" s="297">
        <f t="shared" si="24"/>
        <v>41456</v>
      </c>
      <c r="F172" s="296">
        <v>17.689999999999998</v>
      </c>
      <c r="G172" s="296">
        <f ca="1">+'Exhibit No.__(JAP-LIGHT RD) '!G227</f>
        <v>14.45</v>
      </c>
      <c r="I172" s="298">
        <f>+'[2]Tariff Summary Lights'!G172</f>
        <v>15.26</v>
      </c>
      <c r="J172" s="298">
        <f t="shared" ca="1" si="25"/>
        <v>-0.8100000000000005</v>
      </c>
    </row>
    <row r="173" spans="1:10">
      <c r="A173" s="443">
        <f t="shared" si="22"/>
        <v>168</v>
      </c>
      <c r="B173" s="443">
        <f t="shared" si="23"/>
        <v>53</v>
      </c>
      <c r="C173" s="289" t="s">
        <v>898</v>
      </c>
      <c r="D173" s="443" t="s">
        <v>894</v>
      </c>
      <c r="E173" s="297">
        <f t="shared" si="24"/>
        <v>41456</v>
      </c>
      <c r="F173" s="296">
        <v>42.79</v>
      </c>
      <c r="G173" s="296">
        <f ca="1">+'Exhibit No.__(JAP-LIGHT RD) '!G228</f>
        <v>32.97</v>
      </c>
      <c r="I173" s="298">
        <f>+'[2]Tariff Summary Lights'!G173</f>
        <v>34.68</v>
      </c>
      <c r="J173" s="298">
        <f t="shared" ca="1" si="25"/>
        <v>-1.7100000000000009</v>
      </c>
    </row>
    <row r="174" spans="1:10">
      <c r="A174" s="443">
        <f t="shared" si="22"/>
        <v>169</v>
      </c>
      <c r="B174" s="443"/>
      <c r="C174" s="289"/>
      <c r="D174" s="443"/>
      <c r="E174" s="289"/>
      <c r="F174" s="289"/>
      <c r="G174" s="296"/>
      <c r="I174" s="298"/>
      <c r="J174" s="298"/>
    </row>
    <row r="175" spans="1:10">
      <c r="A175" s="443">
        <f t="shared" si="22"/>
        <v>170</v>
      </c>
      <c r="B175" s="443">
        <f t="shared" ref="B175:B180" si="26">+$B$94</f>
        <v>53</v>
      </c>
      <c r="C175" s="289" t="s">
        <v>899</v>
      </c>
      <c r="D175" s="443" t="s">
        <v>888</v>
      </c>
      <c r="E175" s="297">
        <f t="shared" ref="E175:E180" si="27">+$E$6</f>
        <v>41456</v>
      </c>
      <c r="F175" s="296">
        <v>9.1100000000000012</v>
      </c>
      <c r="G175" s="296">
        <f ca="1">+'Exhibit No.__(JAP-LIGHT RD) '!G230</f>
        <v>6.36</v>
      </c>
      <c r="I175" s="298">
        <f>+'[2]Tariff Summary Lights'!G175</f>
        <v>6.89</v>
      </c>
      <c r="J175" s="298">
        <f t="shared" ref="J175:J180" ca="1" si="28">+G175-I175</f>
        <v>-0.52999999999999936</v>
      </c>
    </row>
    <row r="176" spans="1:10">
      <c r="A176" s="443">
        <f t="shared" si="22"/>
        <v>171</v>
      </c>
      <c r="B176" s="443">
        <f t="shared" si="26"/>
        <v>53</v>
      </c>
      <c r="C176" s="289" t="s">
        <v>899</v>
      </c>
      <c r="D176" s="443" t="s">
        <v>823</v>
      </c>
      <c r="E176" s="297">
        <f t="shared" si="27"/>
        <v>41456</v>
      </c>
      <c r="F176" s="296">
        <v>9.9799999999999986</v>
      </c>
      <c r="G176" s="296">
        <f ca="1">+'Exhibit No.__(JAP-LIGHT RD) '!G231</f>
        <v>7.28</v>
      </c>
      <c r="I176" s="298">
        <f>+'[2]Tariff Summary Lights'!G176</f>
        <v>7.86</v>
      </c>
      <c r="J176" s="298">
        <f t="shared" ca="1" si="28"/>
        <v>-0.58000000000000007</v>
      </c>
    </row>
    <row r="177" spans="1:10">
      <c r="A177" s="443">
        <f t="shared" si="22"/>
        <v>172</v>
      </c>
      <c r="B177" s="443">
        <f t="shared" si="26"/>
        <v>53</v>
      </c>
      <c r="C177" s="289" t="s">
        <v>899</v>
      </c>
      <c r="D177" s="443" t="s">
        <v>889</v>
      </c>
      <c r="E177" s="297">
        <f t="shared" si="27"/>
        <v>41456</v>
      </c>
      <c r="F177" s="296">
        <v>12.09</v>
      </c>
      <c r="G177" s="296">
        <f ca="1">+'Exhibit No.__(JAP-LIGHT RD) '!G232</f>
        <v>8.83</v>
      </c>
      <c r="I177" s="298">
        <f>+'[2]Tariff Summary Lights'!G177</f>
        <v>9.48</v>
      </c>
      <c r="J177" s="298">
        <f t="shared" ca="1" si="28"/>
        <v>-0.65000000000000036</v>
      </c>
    </row>
    <row r="178" spans="1:10">
      <c r="A178" s="443">
        <f t="shared" si="22"/>
        <v>173</v>
      </c>
      <c r="B178" s="443">
        <f t="shared" si="26"/>
        <v>53</v>
      </c>
      <c r="C178" s="289" t="s">
        <v>899</v>
      </c>
      <c r="D178" s="443" t="s">
        <v>824</v>
      </c>
      <c r="E178" s="297">
        <f t="shared" si="27"/>
        <v>41456</v>
      </c>
      <c r="F178" s="296">
        <v>15.579999999999998</v>
      </c>
      <c r="G178" s="296">
        <f ca="1">+'Exhibit No.__(JAP-LIGHT RD) '!G233</f>
        <v>9.6</v>
      </c>
      <c r="I178" s="298">
        <f>+'[2]Tariff Summary Lights'!G178</f>
        <v>10.29</v>
      </c>
      <c r="J178" s="298">
        <f t="shared" ca="1" si="28"/>
        <v>-0.6899999999999995</v>
      </c>
    </row>
    <row r="179" spans="1:10">
      <c r="A179" s="443">
        <f t="shared" si="22"/>
        <v>174</v>
      </c>
      <c r="B179" s="443">
        <f t="shared" si="26"/>
        <v>53</v>
      </c>
      <c r="C179" s="289" t="s">
        <v>899</v>
      </c>
      <c r="D179" s="443" t="s">
        <v>891</v>
      </c>
      <c r="E179" s="297">
        <f t="shared" si="27"/>
        <v>41456</v>
      </c>
      <c r="F179" s="296">
        <v>16.079999999999998</v>
      </c>
      <c r="G179" s="296">
        <f ca="1">+'Exhibit No.__(JAP-LIGHT RD) '!G234</f>
        <v>11.91</v>
      </c>
      <c r="I179" s="298">
        <f>+'[2]Tariff Summary Lights'!G179</f>
        <v>12.71</v>
      </c>
      <c r="J179" s="298">
        <f t="shared" ca="1" si="28"/>
        <v>-0.80000000000000071</v>
      </c>
    </row>
    <row r="180" spans="1:10">
      <c r="A180" s="443">
        <f t="shared" si="22"/>
        <v>175</v>
      </c>
      <c r="B180" s="443">
        <f t="shared" si="26"/>
        <v>53</v>
      </c>
      <c r="C180" s="289" t="s">
        <v>899</v>
      </c>
      <c r="D180" s="443" t="s">
        <v>825</v>
      </c>
      <c r="E180" s="297">
        <f t="shared" si="27"/>
        <v>41456</v>
      </c>
      <c r="F180" s="296">
        <v>18.09</v>
      </c>
      <c r="G180" s="296">
        <f ca="1">+'Exhibit No.__(JAP-LIGHT RD) '!G235</f>
        <v>16.55</v>
      </c>
      <c r="I180" s="298">
        <f>+'[2]Tariff Summary Lights'!G180</f>
        <v>17.57</v>
      </c>
      <c r="J180" s="298">
        <f t="shared" ca="1" si="28"/>
        <v>-1.0199999999999996</v>
      </c>
    </row>
    <row r="181" spans="1:10">
      <c r="A181" s="443">
        <f t="shared" si="22"/>
        <v>176</v>
      </c>
      <c r="B181" s="443"/>
      <c r="C181" s="289"/>
      <c r="D181" s="443"/>
      <c r="E181" s="289"/>
      <c r="F181" s="289"/>
      <c r="G181" s="296"/>
      <c r="I181" s="298"/>
      <c r="J181" s="298"/>
    </row>
    <row r="182" spans="1:10">
      <c r="A182" s="443">
        <f t="shared" si="22"/>
        <v>177</v>
      </c>
      <c r="B182" s="443">
        <f t="shared" ref="B182:B235" si="29">+$B$94</f>
        <v>53</v>
      </c>
      <c r="C182" s="300" t="s">
        <v>900</v>
      </c>
      <c r="D182" s="443" t="s">
        <v>832</v>
      </c>
      <c r="E182" s="297">
        <f>+E177</f>
        <v>41456</v>
      </c>
      <c r="F182" s="296">
        <v>2.4899999999999998</v>
      </c>
      <c r="G182" s="296">
        <f ca="1">+'Exhibit No.__(JAP-LIGHT RD) '!G237</f>
        <v>1.81</v>
      </c>
      <c r="I182" s="298">
        <f>+'[2]Tariff Summary Lights'!G182</f>
        <v>1.92</v>
      </c>
      <c r="J182" s="298">
        <f t="shared" ref="J182:J235" ca="1" si="30">+G182-I182</f>
        <v>-0.10999999999999988</v>
      </c>
    </row>
    <row r="183" spans="1:10">
      <c r="A183" s="443">
        <f t="shared" si="22"/>
        <v>178</v>
      </c>
      <c r="B183" s="443">
        <f t="shared" si="29"/>
        <v>53</v>
      </c>
      <c r="C183" s="300" t="s">
        <v>897</v>
      </c>
      <c r="D183" s="443" t="s">
        <v>833</v>
      </c>
      <c r="E183" s="297">
        <f>+E182</f>
        <v>41456</v>
      </c>
      <c r="F183" s="296">
        <v>2.67</v>
      </c>
      <c r="G183" s="296">
        <f ca="1">+'Exhibit No.__(JAP-LIGHT RD) '!G238</f>
        <v>1.81</v>
      </c>
      <c r="I183" s="298">
        <f>+'[2]Tariff Summary Lights'!G183</f>
        <v>1.92</v>
      </c>
      <c r="J183" s="298">
        <f t="shared" ca="1" si="30"/>
        <v>-0.10999999999999988</v>
      </c>
    </row>
    <row r="184" spans="1:10">
      <c r="A184" s="443">
        <f t="shared" si="22"/>
        <v>179</v>
      </c>
      <c r="B184" s="443">
        <f t="shared" si="29"/>
        <v>53</v>
      </c>
      <c r="C184" s="300" t="s">
        <v>897</v>
      </c>
      <c r="D184" s="443" t="s">
        <v>834</v>
      </c>
      <c r="E184" s="297">
        <f t="shared" ref="E184:E235" si="31">+E183</f>
        <v>41456</v>
      </c>
      <c r="F184" s="296">
        <v>2.8400000000000003</v>
      </c>
      <c r="G184" s="296">
        <f ca="1">+'Exhibit No.__(JAP-LIGHT RD) '!G239</f>
        <v>1.81</v>
      </c>
      <c r="I184" s="298">
        <f>+'[2]Tariff Summary Lights'!G184</f>
        <v>1.92</v>
      </c>
      <c r="J184" s="298">
        <f t="shared" ca="1" si="30"/>
        <v>-0.10999999999999988</v>
      </c>
    </row>
    <row r="185" spans="1:10">
      <c r="A185" s="443">
        <f t="shared" si="22"/>
        <v>180</v>
      </c>
      <c r="B185" s="443">
        <f t="shared" si="29"/>
        <v>53</v>
      </c>
      <c r="C185" s="300" t="s">
        <v>897</v>
      </c>
      <c r="D185" s="443" t="s">
        <v>835</v>
      </c>
      <c r="E185" s="297">
        <f t="shared" si="31"/>
        <v>41456</v>
      </c>
      <c r="F185" s="296">
        <v>3.02</v>
      </c>
      <c r="G185" s="296">
        <f ca="1">+'Exhibit No.__(JAP-LIGHT RD) '!G240</f>
        <v>1.81</v>
      </c>
      <c r="I185" s="298">
        <f>+'[2]Tariff Summary Lights'!G185</f>
        <v>1.92</v>
      </c>
      <c r="J185" s="298">
        <f t="shared" ca="1" si="30"/>
        <v>-0.10999999999999988</v>
      </c>
    </row>
    <row r="186" spans="1:10">
      <c r="A186" s="443">
        <f t="shared" si="22"/>
        <v>181</v>
      </c>
      <c r="B186" s="443">
        <f t="shared" si="29"/>
        <v>53</v>
      </c>
      <c r="C186" s="300" t="s">
        <v>897</v>
      </c>
      <c r="D186" s="443" t="s">
        <v>836</v>
      </c>
      <c r="E186" s="297">
        <f t="shared" si="31"/>
        <v>41456</v>
      </c>
      <c r="F186" s="296">
        <v>3.19</v>
      </c>
      <c r="G186" s="296">
        <f ca="1">+'Exhibit No.__(JAP-LIGHT RD) '!G241</f>
        <v>1.81</v>
      </c>
      <c r="I186" s="298">
        <f>+'[2]Tariff Summary Lights'!G186</f>
        <v>1.92</v>
      </c>
      <c r="J186" s="298">
        <f t="shared" ca="1" si="30"/>
        <v>-0.10999999999999988</v>
      </c>
    </row>
    <row r="187" spans="1:10">
      <c r="A187" s="443">
        <f t="shared" si="22"/>
        <v>182</v>
      </c>
      <c r="B187" s="443">
        <f t="shared" si="29"/>
        <v>53</v>
      </c>
      <c r="C187" s="300" t="s">
        <v>897</v>
      </c>
      <c r="D187" s="443" t="s">
        <v>837</v>
      </c>
      <c r="E187" s="297">
        <f t="shared" si="31"/>
        <v>41456</v>
      </c>
      <c r="F187" s="296">
        <v>3.37</v>
      </c>
      <c r="G187" s="296">
        <f ca="1">+'Exhibit No.__(JAP-LIGHT RD) '!G242</f>
        <v>1.81</v>
      </c>
      <c r="I187" s="298">
        <f>+'[2]Tariff Summary Lights'!G187</f>
        <v>1.92</v>
      </c>
      <c r="J187" s="298">
        <f t="shared" ca="1" si="30"/>
        <v>-0.10999999999999988</v>
      </c>
    </row>
    <row r="188" spans="1:10">
      <c r="A188" s="443">
        <f t="shared" si="22"/>
        <v>183</v>
      </c>
      <c r="B188" s="443">
        <f t="shared" si="29"/>
        <v>53</v>
      </c>
      <c r="C188" s="300" t="s">
        <v>897</v>
      </c>
      <c r="D188" s="443" t="s">
        <v>838</v>
      </c>
      <c r="E188" s="297">
        <f t="shared" si="31"/>
        <v>41456</v>
      </c>
      <c r="F188" s="296">
        <v>3.5500000000000003</v>
      </c>
      <c r="G188" s="296">
        <f ca="1">+'Exhibit No.__(JAP-LIGHT RD) '!G243</f>
        <v>2.74</v>
      </c>
      <c r="I188" s="298">
        <f>+'[2]Tariff Summary Lights'!G188</f>
        <v>2.89</v>
      </c>
      <c r="J188" s="298">
        <f t="shared" ca="1" si="30"/>
        <v>-0.14999999999999991</v>
      </c>
    </row>
    <row r="189" spans="1:10">
      <c r="A189" s="443">
        <f t="shared" si="22"/>
        <v>184</v>
      </c>
      <c r="B189" s="443">
        <f t="shared" si="29"/>
        <v>53</v>
      </c>
      <c r="C189" s="300" t="s">
        <v>897</v>
      </c>
      <c r="D189" s="443" t="s">
        <v>839</v>
      </c>
      <c r="E189" s="297">
        <f t="shared" si="31"/>
        <v>41456</v>
      </c>
      <c r="F189" s="296">
        <v>3.7199999999999998</v>
      </c>
      <c r="G189" s="296">
        <f ca="1">+'Exhibit No.__(JAP-LIGHT RD) '!G244</f>
        <v>2.74</v>
      </c>
      <c r="I189" s="298">
        <f>+'[2]Tariff Summary Lights'!G189</f>
        <v>2.89</v>
      </c>
      <c r="J189" s="298">
        <f t="shared" ca="1" si="30"/>
        <v>-0.14999999999999991</v>
      </c>
    </row>
    <row r="190" spans="1:10">
      <c r="A190" s="443">
        <f t="shared" si="22"/>
        <v>185</v>
      </c>
      <c r="B190" s="443">
        <f t="shared" si="29"/>
        <v>53</v>
      </c>
      <c r="C190" s="300" t="s">
        <v>897</v>
      </c>
      <c r="D190" s="443" t="s">
        <v>840</v>
      </c>
      <c r="E190" s="297">
        <f t="shared" si="31"/>
        <v>41456</v>
      </c>
      <c r="F190" s="296">
        <v>3.8999999999999995</v>
      </c>
      <c r="G190" s="296">
        <f ca="1">+'Exhibit No.__(JAP-LIGHT RD) '!G245</f>
        <v>2.74</v>
      </c>
      <c r="I190" s="298">
        <f>+'[2]Tariff Summary Lights'!G190</f>
        <v>2.89</v>
      </c>
      <c r="J190" s="298">
        <f t="shared" ca="1" si="30"/>
        <v>-0.14999999999999991</v>
      </c>
    </row>
    <row r="191" spans="1:10">
      <c r="A191" s="443">
        <f t="shared" si="22"/>
        <v>186</v>
      </c>
      <c r="B191" s="443">
        <f t="shared" si="29"/>
        <v>53</v>
      </c>
      <c r="C191" s="300" t="s">
        <v>897</v>
      </c>
      <c r="D191" s="443" t="s">
        <v>841</v>
      </c>
      <c r="E191" s="297">
        <f t="shared" si="31"/>
        <v>41456</v>
      </c>
      <c r="F191" s="296">
        <v>4.07</v>
      </c>
      <c r="G191" s="296">
        <f ca="1">+'Exhibit No.__(JAP-LIGHT RD) '!G246</f>
        <v>2.74</v>
      </c>
      <c r="I191" s="298">
        <f>+'[2]Tariff Summary Lights'!G191</f>
        <v>2.89</v>
      </c>
      <c r="J191" s="298">
        <f t="shared" ca="1" si="30"/>
        <v>-0.14999999999999991</v>
      </c>
    </row>
    <row r="192" spans="1:10">
      <c r="A192" s="443">
        <f t="shared" si="22"/>
        <v>187</v>
      </c>
      <c r="B192" s="443">
        <f t="shared" si="29"/>
        <v>53</v>
      </c>
      <c r="C192" s="300" t="s">
        <v>897</v>
      </c>
      <c r="D192" s="443" t="s">
        <v>842</v>
      </c>
      <c r="E192" s="297">
        <f t="shared" si="31"/>
        <v>41456</v>
      </c>
      <c r="F192" s="296">
        <v>4.25</v>
      </c>
      <c r="G192" s="296">
        <f ca="1">+'Exhibit No.__(JAP-LIGHT RD) '!G247</f>
        <v>2.74</v>
      </c>
      <c r="I192" s="298">
        <f>+'[2]Tariff Summary Lights'!G192</f>
        <v>2.89</v>
      </c>
      <c r="J192" s="298">
        <f t="shared" ca="1" si="30"/>
        <v>-0.14999999999999991</v>
      </c>
    </row>
    <row r="193" spans="1:10">
      <c r="A193" s="443">
        <f t="shared" si="22"/>
        <v>188</v>
      </c>
      <c r="B193" s="443">
        <f t="shared" si="29"/>
        <v>53</v>
      </c>
      <c r="C193" s="300" t="s">
        <v>897</v>
      </c>
      <c r="D193" s="443" t="s">
        <v>843</v>
      </c>
      <c r="E193" s="297">
        <f t="shared" si="31"/>
        <v>41456</v>
      </c>
      <c r="F193" s="296">
        <v>4.42</v>
      </c>
      <c r="G193" s="296">
        <f ca="1">+'Exhibit No.__(JAP-LIGHT RD) '!G248</f>
        <v>2.74</v>
      </c>
      <c r="I193" s="298">
        <f>+'[2]Tariff Summary Lights'!G193</f>
        <v>2.89</v>
      </c>
      <c r="J193" s="298">
        <f t="shared" ca="1" si="30"/>
        <v>-0.14999999999999991</v>
      </c>
    </row>
    <row r="194" spans="1:10">
      <c r="A194" s="443">
        <f t="shared" si="22"/>
        <v>189</v>
      </c>
      <c r="B194" s="443">
        <f t="shared" si="29"/>
        <v>53</v>
      </c>
      <c r="C194" s="300" t="s">
        <v>897</v>
      </c>
      <c r="D194" s="443" t="s">
        <v>844</v>
      </c>
      <c r="E194" s="297">
        <f t="shared" si="31"/>
        <v>41456</v>
      </c>
      <c r="F194" s="296">
        <v>4.6100000000000003</v>
      </c>
      <c r="G194" s="296">
        <f ca="1">+'Exhibit No.__(JAP-LIGHT RD) '!G249</f>
        <v>3.66</v>
      </c>
      <c r="I194" s="298">
        <f>+'[2]Tariff Summary Lights'!G194</f>
        <v>3.86</v>
      </c>
      <c r="J194" s="298">
        <f t="shared" ca="1" si="30"/>
        <v>-0.19999999999999973</v>
      </c>
    </row>
    <row r="195" spans="1:10">
      <c r="A195" s="443">
        <f t="shared" si="22"/>
        <v>190</v>
      </c>
      <c r="B195" s="443">
        <f t="shared" si="29"/>
        <v>53</v>
      </c>
      <c r="C195" s="300" t="s">
        <v>897</v>
      </c>
      <c r="D195" s="443" t="s">
        <v>845</v>
      </c>
      <c r="E195" s="297">
        <f t="shared" si="31"/>
        <v>41456</v>
      </c>
      <c r="F195" s="296">
        <v>4.7799999999999994</v>
      </c>
      <c r="G195" s="296">
        <f ca="1">+'Exhibit No.__(JAP-LIGHT RD) '!G250</f>
        <v>3.66</v>
      </c>
      <c r="I195" s="298">
        <f>+'[2]Tariff Summary Lights'!G195</f>
        <v>3.86</v>
      </c>
      <c r="J195" s="298">
        <f t="shared" ca="1" si="30"/>
        <v>-0.19999999999999973</v>
      </c>
    </row>
    <row r="196" spans="1:10">
      <c r="A196" s="443">
        <f t="shared" si="22"/>
        <v>191</v>
      </c>
      <c r="B196" s="443">
        <f t="shared" si="29"/>
        <v>53</v>
      </c>
      <c r="C196" s="300" t="s">
        <v>897</v>
      </c>
      <c r="D196" s="443" t="s">
        <v>846</v>
      </c>
      <c r="E196" s="297">
        <f t="shared" si="31"/>
        <v>41456</v>
      </c>
      <c r="F196" s="296">
        <v>4.96</v>
      </c>
      <c r="G196" s="296">
        <f ca="1">+'Exhibit No.__(JAP-LIGHT RD) '!G251</f>
        <v>3.66</v>
      </c>
      <c r="I196" s="298">
        <f>+'[2]Tariff Summary Lights'!G196</f>
        <v>3.86</v>
      </c>
      <c r="J196" s="298">
        <f t="shared" ca="1" si="30"/>
        <v>-0.19999999999999973</v>
      </c>
    </row>
    <row r="197" spans="1:10">
      <c r="A197" s="443">
        <f t="shared" si="22"/>
        <v>192</v>
      </c>
      <c r="B197" s="443">
        <f t="shared" si="29"/>
        <v>53</v>
      </c>
      <c r="C197" s="300" t="s">
        <v>897</v>
      </c>
      <c r="D197" s="443" t="s">
        <v>847</v>
      </c>
      <c r="E197" s="297">
        <f t="shared" si="31"/>
        <v>41456</v>
      </c>
      <c r="F197" s="296">
        <v>5.13</v>
      </c>
      <c r="G197" s="296">
        <f ca="1">+'Exhibit No.__(JAP-LIGHT RD) '!G252</f>
        <v>3.66</v>
      </c>
      <c r="I197" s="298">
        <f>+'[2]Tariff Summary Lights'!G197</f>
        <v>3.86</v>
      </c>
      <c r="J197" s="298">
        <f t="shared" ca="1" si="30"/>
        <v>-0.19999999999999973</v>
      </c>
    </row>
    <row r="198" spans="1:10">
      <c r="A198" s="443">
        <f t="shared" si="22"/>
        <v>193</v>
      </c>
      <c r="B198" s="443">
        <f t="shared" si="29"/>
        <v>53</v>
      </c>
      <c r="C198" s="300" t="s">
        <v>897</v>
      </c>
      <c r="D198" s="443" t="s">
        <v>848</v>
      </c>
      <c r="E198" s="297">
        <f t="shared" si="31"/>
        <v>41456</v>
      </c>
      <c r="F198" s="296">
        <v>5.3</v>
      </c>
      <c r="G198" s="296">
        <f ca="1">+'Exhibit No.__(JAP-LIGHT RD) '!G253</f>
        <v>3.66</v>
      </c>
      <c r="I198" s="298">
        <f>+'[2]Tariff Summary Lights'!G198</f>
        <v>3.86</v>
      </c>
      <c r="J198" s="298">
        <f t="shared" ca="1" si="30"/>
        <v>-0.19999999999999973</v>
      </c>
    </row>
    <row r="199" spans="1:10">
      <c r="A199" s="443">
        <f t="shared" si="22"/>
        <v>194</v>
      </c>
      <c r="B199" s="443">
        <f t="shared" si="29"/>
        <v>53</v>
      </c>
      <c r="C199" s="300" t="s">
        <v>897</v>
      </c>
      <c r="D199" s="443" t="s">
        <v>849</v>
      </c>
      <c r="E199" s="297">
        <f t="shared" si="31"/>
        <v>41456</v>
      </c>
      <c r="F199" s="296">
        <v>5.48</v>
      </c>
      <c r="G199" s="296">
        <f ca="1">+'Exhibit No.__(JAP-LIGHT RD) '!G254</f>
        <v>3.66</v>
      </c>
      <c r="I199" s="298">
        <f>+'[2]Tariff Summary Lights'!G199</f>
        <v>3.86</v>
      </c>
      <c r="J199" s="298">
        <f t="shared" ca="1" si="30"/>
        <v>-0.19999999999999973</v>
      </c>
    </row>
    <row r="200" spans="1:10">
      <c r="A200" s="443">
        <f t="shared" ref="A200:A263" si="32">+A199+1</f>
        <v>195</v>
      </c>
      <c r="B200" s="443">
        <f t="shared" si="29"/>
        <v>53</v>
      </c>
      <c r="C200" s="300" t="s">
        <v>897</v>
      </c>
      <c r="D200" s="443" t="s">
        <v>850</v>
      </c>
      <c r="E200" s="297">
        <f t="shared" si="31"/>
        <v>41456</v>
      </c>
      <c r="F200" s="296">
        <v>5.65</v>
      </c>
      <c r="G200" s="296">
        <f ca="1">+'Exhibit No.__(JAP-LIGHT RD) '!G255</f>
        <v>4.59</v>
      </c>
      <c r="I200" s="298">
        <f>+'[2]Tariff Summary Lights'!G200</f>
        <v>4.83</v>
      </c>
      <c r="J200" s="298">
        <f t="shared" ca="1" si="30"/>
        <v>-0.24000000000000021</v>
      </c>
    </row>
    <row r="201" spans="1:10">
      <c r="A201" s="443">
        <f t="shared" si="32"/>
        <v>196</v>
      </c>
      <c r="B201" s="443">
        <f t="shared" si="29"/>
        <v>53</v>
      </c>
      <c r="C201" s="300" t="s">
        <v>897</v>
      </c>
      <c r="D201" s="443" t="s">
        <v>851</v>
      </c>
      <c r="E201" s="297">
        <f t="shared" si="31"/>
        <v>41456</v>
      </c>
      <c r="F201" s="296">
        <v>5.84</v>
      </c>
      <c r="G201" s="296">
        <f ca="1">+'Exhibit No.__(JAP-LIGHT RD) '!G256</f>
        <v>4.59</v>
      </c>
      <c r="I201" s="298">
        <f>+'[2]Tariff Summary Lights'!G201</f>
        <v>4.83</v>
      </c>
      <c r="J201" s="298">
        <f t="shared" ca="1" si="30"/>
        <v>-0.24000000000000021</v>
      </c>
    </row>
    <row r="202" spans="1:10">
      <c r="A202" s="443">
        <f t="shared" si="32"/>
        <v>197</v>
      </c>
      <c r="B202" s="443">
        <f t="shared" si="29"/>
        <v>53</v>
      </c>
      <c r="C202" s="300" t="s">
        <v>897</v>
      </c>
      <c r="D202" s="443" t="s">
        <v>852</v>
      </c>
      <c r="E202" s="297">
        <f t="shared" si="31"/>
        <v>41456</v>
      </c>
      <c r="F202" s="296">
        <v>6.01</v>
      </c>
      <c r="G202" s="296">
        <f ca="1">+'Exhibit No.__(JAP-LIGHT RD) '!G257</f>
        <v>4.59</v>
      </c>
      <c r="I202" s="298">
        <f>+'[2]Tariff Summary Lights'!G202</f>
        <v>4.83</v>
      </c>
      <c r="J202" s="298">
        <f t="shared" ca="1" si="30"/>
        <v>-0.24000000000000021</v>
      </c>
    </row>
    <row r="203" spans="1:10">
      <c r="A203" s="443">
        <f t="shared" si="32"/>
        <v>198</v>
      </c>
      <c r="B203" s="443">
        <f t="shared" si="29"/>
        <v>53</v>
      </c>
      <c r="C203" s="300" t="s">
        <v>897</v>
      </c>
      <c r="D203" s="443" t="s">
        <v>853</v>
      </c>
      <c r="E203" s="297">
        <f t="shared" si="31"/>
        <v>41456</v>
      </c>
      <c r="F203" s="296">
        <v>6.1899999999999995</v>
      </c>
      <c r="G203" s="296">
        <f ca="1">+'Exhibit No.__(JAP-LIGHT RD) '!G258</f>
        <v>4.59</v>
      </c>
      <c r="I203" s="298">
        <f>+'[2]Tariff Summary Lights'!G203</f>
        <v>4.83</v>
      </c>
      <c r="J203" s="298">
        <f t="shared" ca="1" si="30"/>
        <v>-0.24000000000000021</v>
      </c>
    </row>
    <row r="204" spans="1:10">
      <c r="A204" s="443">
        <f t="shared" si="32"/>
        <v>199</v>
      </c>
      <c r="B204" s="443">
        <f t="shared" si="29"/>
        <v>53</v>
      </c>
      <c r="C204" s="300" t="s">
        <v>897</v>
      </c>
      <c r="D204" s="443" t="s">
        <v>854</v>
      </c>
      <c r="E204" s="297">
        <f t="shared" si="31"/>
        <v>41456</v>
      </c>
      <c r="F204" s="296">
        <v>6.3599999999999994</v>
      </c>
      <c r="G204" s="296">
        <f ca="1">+'Exhibit No.__(JAP-LIGHT RD) '!G259</f>
        <v>4.59</v>
      </c>
      <c r="I204" s="298">
        <f>+'[2]Tariff Summary Lights'!G204</f>
        <v>4.83</v>
      </c>
      <c r="J204" s="298">
        <f t="shared" ca="1" si="30"/>
        <v>-0.24000000000000021</v>
      </c>
    </row>
    <row r="205" spans="1:10">
      <c r="A205" s="443">
        <f t="shared" si="32"/>
        <v>200</v>
      </c>
      <c r="B205" s="443">
        <f t="shared" si="29"/>
        <v>53</v>
      </c>
      <c r="C205" s="300" t="s">
        <v>897</v>
      </c>
      <c r="D205" s="443" t="s">
        <v>855</v>
      </c>
      <c r="E205" s="297">
        <f t="shared" si="31"/>
        <v>41456</v>
      </c>
      <c r="F205" s="296">
        <v>6.54</v>
      </c>
      <c r="G205" s="296">
        <f ca="1">+'Exhibit No.__(JAP-LIGHT RD) '!G260</f>
        <v>4.59</v>
      </c>
      <c r="I205" s="298">
        <f>+'[2]Tariff Summary Lights'!G205</f>
        <v>4.83</v>
      </c>
      <c r="J205" s="298">
        <f t="shared" ca="1" si="30"/>
        <v>-0.24000000000000021</v>
      </c>
    </row>
    <row r="206" spans="1:10">
      <c r="A206" s="443">
        <f t="shared" si="32"/>
        <v>201</v>
      </c>
      <c r="B206" s="443">
        <f t="shared" si="29"/>
        <v>53</v>
      </c>
      <c r="C206" s="300" t="s">
        <v>897</v>
      </c>
      <c r="D206" s="443" t="s">
        <v>856</v>
      </c>
      <c r="E206" s="297">
        <f t="shared" si="31"/>
        <v>41456</v>
      </c>
      <c r="F206" s="296">
        <v>6.71</v>
      </c>
      <c r="G206" s="296">
        <f ca="1">+'Exhibit No.__(JAP-LIGHT RD) '!G261</f>
        <v>5.51</v>
      </c>
      <c r="I206" s="298">
        <f>+'[2]Tariff Summary Lights'!G206</f>
        <v>5.8</v>
      </c>
      <c r="J206" s="298">
        <f t="shared" ca="1" si="30"/>
        <v>-0.29000000000000004</v>
      </c>
    </row>
    <row r="207" spans="1:10">
      <c r="A207" s="443">
        <f t="shared" si="32"/>
        <v>202</v>
      </c>
      <c r="B207" s="443">
        <f t="shared" si="29"/>
        <v>53</v>
      </c>
      <c r="C207" s="300" t="s">
        <v>897</v>
      </c>
      <c r="D207" s="443" t="s">
        <v>857</v>
      </c>
      <c r="E207" s="297">
        <f t="shared" si="31"/>
        <v>41456</v>
      </c>
      <c r="F207" s="296">
        <v>6.89</v>
      </c>
      <c r="G207" s="296">
        <f ca="1">+'Exhibit No.__(JAP-LIGHT RD) '!G262</f>
        <v>5.51</v>
      </c>
      <c r="I207" s="298">
        <f>+'[2]Tariff Summary Lights'!G207</f>
        <v>5.8</v>
      </c>
      <c r="J207" s="298">
        <f t="shared" ca="1" si="30"/>
        <v>-0.29000000000000004</v>
      </c>
    </row>
    <row r="208" spans="1:10">
      <c r="A208" s="443">
        <f t="shared" si="32"/>
        <v>203</v>
      </c>
      <c r="B208" s="443">
        <f t="shared" si="29"/>
        <v>53</v>
      </c>
      <c r="C208" s="300" t="s">
        <v>897</v>
      </c>
      <c r="D208" s="443" t="s">
        <v>858</v>
      </c>
      <c r="E208" s="297">
        <f t="shared" si="31"/>
        <v>41456</v>
      </c>
      <c r="F208" s="296">
        <v>7.07</v>
      </c>
      <c r="G208" s="296">
        <f ca="1">+'Exhibit No.__(JAP-LIGHT RD) '!G263</f>
        <v>5.51</v>
      </c>
      <c r="I208" s="298">
        <f>+'[2]Tariff Summary Lights'!G208</f>
        <v>5.8</v>
      </c>
      <c r="J208" s="298">
        <f t="shared" ca="1" si="30"/>
        <v>-0.29000000000000004</v>
      </c>
    </row>
    <row r="209" spans="1:10">
      <c r="A209" s="443">
        <f t="shared" si="32"/>
        <v>204</v>
      </c>
      <c r="B209" s="443">
        <f t="shared" si="29"/>
        <v>53</v>
      </c>
      <c r="C209" s="300" t="s">
        <v>897</v>
      </c>
      <c r="D209" s="443" t="s">
        <v>859</v>
      </c>
      <c r="E209" s="297">
        <f t="shared" si="31"/>
        <v>41456</v>
      </c>
      <c r="F209" s="296">
        <v>7.2399999999999993</v>
      </c>
      <c r="G209" s="296">
        <f ca="1">+'Exhibit No.__(JAP-LIGHT RD) '!G264</f>
        <v>5.51</v>
      </c>
      <c r="I209" s="298">
        <f>+'[2]Tariff Summary Lights'!G209</f>
        <v>5.8</v>
      </c>
      <c r="J209" s="298">
        <f t="shared" ca="1" si="30"/>
        <v>-0.29000000000000004</v>
      </c>
    </row>
    <row r="210" spans="1:10">
      <c r="A210" s="443">
        <f t="shared" si="32"/>
        <v>205</v>
      </c>
      <c r="B210" s="443">
        <f t="shared" si="29"/>
        <v>53</v>
      </c>
      <c r="C210" s="300" t="s">
        <v>897</v>
      </c>
      <c r="D210" s="443" t="s">
        <v>860</v>
      </c>
      <c r="E210" s="297">
        <f t="shared" si="31"/>
        <v>41456</v>
      </c>
      <c r="F210" s="296">
        <v>7.42</v>
      </c>
      <c r="G210" s="296">
        <f ca="1">+'Exhibit No.__(JAP-LIGHT RD) '!G265</f>
        <v>5.51</v>
      </c>
      <c r="I210" s="298">
        <f>+'[2]Tariff Summary Lights'!G210</f>
        <v>5.8</v>
      </c>
      <c r="J210" s="298">
        <f t="shared" ca="1" si="30"/>
        <v>-0.29000000000000004</v>
      </c>
    </row>
    <row r="211" spans="1:10">
      <c r="A211" s="443">
        <f t="shared" si="32"/>
        <v>206</v>
      </c>
      <c r="B211" s="443">
        <f t="shared" si="29"/>
        <v>53</v>
      </c>
      <c r="C211" s="300" t="s">
        <v>897</v>
      </c>
      <c r="D211" s="443" t="s">
        <v>861</v>
      </c>
      <c r="E211" s="297">
        <f t="shared" si="31"/>
        <v>41456</v>
      </c>
      <c r="F211" s="296">
        <v>7.59</v>
      </c>
      <c r="G211" s="296">
        <f ca="1">+'Exhibit No.__(JAP-LIGHT RD) '!G266</f>
        <v>5.51</v>
      </c>
      <c r="I211" s="298">
        <f>+'[2]Tariff Summary Lights'!G211</f>
        <v>5.8</v>
      </c>
      <c r="J211" s="298">
        <f t="shared" ca="1" si="30"/>
        <v>-0.29000000000000004</v>
      </c>
    </row>
    <row r="212" spans="1:10">
      <c r="A212" s="443">
        <f t="shared" si="32"/>
        <v>207</v>
      </c>
      <c r="B212" s="443">
        <f t="shared" si="29"/>
        <v>53</v>
      </c>
      <c r="C212" s="300" t="s">
        <v>897</v>
      </c>
      <c r="D212" s="443" t="s">
        <v>862</v>
      </c>
      <c r="E212" s="297">
        <f t="shared" si="31"/>
        <v>41456</v>
      </c>
      <c r="F212" s="296">
        <v>7.77</v>
      </c>
      <c r="G212" s="296">
        <f ca="1">+'Exhibit No.__(JAP-LIGHT RD) '!G267</f>
        <v>6.44</v>
      </c>
      <c r="I212" s="298">
        <f>+'[2]Tariff Summary Lights'!G212</f>
        <v>6.77</v>
      </c>
      <c r="J212" s="298">
        <f t="shared" ca="1" si="30"/>
        <v>-0.32999999999999918</v>
      </c>
    </row>
    <row r="213" spans="1:10">
      <c r="A213" s="443">
        <f t="shared" si="32"/>
        <v>208</v>
      </c>
      <c r="B213" s="443">
        <f t="shared" si="29"/>
        <v>53</v>
      </c>
      <c r="C213" s="300" t="s">
        <v>897</v>
      </c>
      <c r="D213" s="443" t="s">
        <v>863</v>
      </c>
      <c r="E213" s="297">
        <f t="shared" si="31"/>
        <v>41456</v>
      </c>
      <c r="F213" s="296">
        <v>7.9399999999999995</v>
      </c>
      <c r="G213" s="296">
        <f ca="1">+'Exhibit No.__(JAP-LIGHT RD) '!G268</f>
        <v>6.44</v>
      </c>
      <c r="I213" s="298">
        <f>+'[2]Tariff Summary Lights'!G213</f>
        <v>6.77</v>
      </c>
      <c r="J213" s="298">
        <f t="shared" ca="1" si="30"/>
        <v>-0.32999999999999918</v>
      </c>
    </row>
    <row r="214" spans="1:10">
      <c r="A214" s="443">
        <f t="shared" si="32"/>
        <v>209</v>
      </c>
      <c r="B214" s="443">
        <f t="shared" si="29"/>
        <v>53</v>
      </c>
      <c r="C214" s="300" t="s">
        <v>897</v>
      </c>
      <c r="D214" s="443" t="s">
        <v>864</v>
      </c>
      <c r="E214" s="297">
        <f t="shared" si="31"/>
        <v>41456</v>
      </c>
      <c r="F214" s="296">
        <v>8.1199999999999992</v>
      </c>
      <c r="G214" s="296">
        <f ca="1">+'Exhibit No.__(JAP-LIGHT RD) '!G269</f>
        <v>6.44</v>
      </c>
      <c r="I214" s="298">
        <f>+'[2]Tariff Summary Lights'!G214</f>
        <v>6.77</v>
      </c>
      <c r="J214" s="298">
        <f t="shared" ca="1" si="30"/>
        <v>-0.32999999999999918</v>
      </c>
    </row>
    <row r="215" spans="1:10">
      <c r="A215" s="443">
        <f t="shared" si="32"/>
        <v>210</v>
      </c>
      <c r="B215" s="443">
        <f t="shared" si="29"/>
        <v>53</v>
      </c>
      <c r="C215" s="300" t="s">
        <v>897</v>
      </c>
      <c r="D215" s="443" t="s">
        <v>865</v>
      </c>
      <c r="E215" s="297">
        <f t="shared" si="31"/>
        <v>41456</v>
      </c>
      <c r="F215" s="296">
        <v>8.3000000000000007</v>
      </c>
      <c r="G215" s="296">
        <f ca="1">+'Exhibit No.__(JAP-LIGHT RD) '!G270</f>
        <v>6.44</v>
      </c>
      <c r="I215" s="298">
        <f>+'[2]Tariff Summary Lights'!G215</f>
        <v>6.77</v>
      </c>
      <c r="J215" s="298">
        <f t="shared" ca="1" si="30"/>
        <v>-0.32999999999999918</v>
      </c>
    </row>
    <row r="216" spans="1:10">
      <c r="A216" s="443">
        <f t="shared" si="32"/>
        <v>211</v>
      </c>
      <c r="B216" s="443">
        <f t="shared" si="29"/>
        <v>53</v>
      </c>
      <c r="C216" s="300" t="s">
        <v>897</v>
      </c>
      <c r="D216" s="443" t="s">
        <v>866</v>
      </c>
      <c r="E216" s="297">
        <f t="shared" si="31"/>
        <v>41456</v>
      </c>
      <c r="F216" s="296">
        <v>8.48</v>
      </c>
      <c r="G216" s="296">
        <f ca="1">+'Exhibit No.__(JAP-LIGHT RD) '!G271</f>
        <v>6.44</v>
      </c>
      <c r="I216" s="298">
        <f>+'[2]Tariff Summary Lights'!G216</f>
        <v>6.77</v>
      </c>
      <c r="J216" s="298">
        <f t="shared" ca="1" si="30"/>
        <v>-0.32999999999999918</v>
      </c>
    </row>
    <row r="217" spans="1:10">
      <c r="A217" s="443">
        <f t="shared" si="32"/>
        <v>212</v>
      </c>
      <c r="B217" s="443">
        <f t="shared" si="29"/>
        <v>53</v>
      </c>
      <c r="C217" s="300" t="s">
        <v>897</v>
      </c>
      <c r="D217" s="443" t="s">
        <v>867</v>
      </c>
      <c r="E217" s="297">
        <f t="shared" si="31"/>
        <v>41456</v>
      </c>
      <c r="F217" s="296">
        <v>8.65</v>
      </c>
      <c r="G217" s="296">
        <f ca="1">+'Exhibit No.__(JAP-LIGHT RD) '!G272</f>
        <v>6.44</v>
      </c>
      <c r="I217" s="298">
        <f>+'[2]Tariff Summary Lights'!G217</f>
        <v>6.77</v>
      </c>
      <c r="J217" s="298">
        <f t="shared" ca="1" si="30"/>
        <v>-0.32999999999999918</v>
      </c>
    </row>
    <row r="218" spans="1:10">
      <c r="A218" s="443">
        <f t="shared" si="32"/>
        <v>213</v>
      </c>
      <c r="B218" s="443">
        <f t="shared" si="29"/>
        <v>53</v>
      </c>
      <c r="C218" s="300" t="s">
        <v>897</v>
      </c>
      <c r="D218" s="443" t="s">
        <v>868</v>
      </c>
      <c r="E218" s="297">
        <f t="shared" si="31"/>
        <v>41456</v>
      </c>
      <c r="F218" s="296">
        <v>8.83</v>
      </c>
      <c r="G218" s="296">
        <f ca="1">+'Exhibit No.__(JAP-LIGHT RD) '!G273</f>
        <v>7.37</v>
      </c>
      <c r="I218" s="298">
        <f>+'[2]Tariff Summary Lights'!G218</f>
        <v>7.74</v>
      </c>
      <c r="J218" s="298">
        <f t="shared" ca="1" si="30"/>
        <v>-0.37000000000000011</v>
      </c>
    </row>
    <row r="219" spans="1:10">
      <c r="A219" s="443">
        <f t="shared" si="32"/>
        <v>214</v>
      </c>
      <c r="B219" s="443">
        <f t="shared" si="29"/>
        <v>53</v>
      </c>
      <c r="C219" s="300" t="s">
        <v>897</v>
      </c>
      <c r="D219" s="443" t="s">
        <v>869</v>
      </c>
      <c r="E219" s="297">
        <f t="shared" si="31"/>
        <v>41456</v>
      </c>
      <c r="F219" s="296">
        <v>9</v>
      </c>
      <c r="G219" s="296">
        <f ca="1">+'Exhibit No.__(JAP-LIGHT RD) '!G274</f>
        <v>7.37</v>
      </c>
      <c r="I219" s="298">
        <f>+'[2]Tariff Summary Lights'!G219</f>
        <v>7.74</v>
      </c>
      <c r="J219" s="298">
        <f t="shared" ca="1" si="30"/>
        <v>-0.37000000000000011</v>
      </c>
    </row>
    <row r="220" spans="1:10">
      <c r="A220" s="443">
        <f t="shared" si="32"/>
        <v>215</v>
      </c>
      <c r="B220" s="443">
        <f t="shared" si="29"/>
        <v>53</v>
      </c>
      <c r="C220" s="300" t="s">
        <v>897</v>
      </c>
      <c r="D220" s="443" t="s">
        <v>870</v>
      </c>
      <c r="E220" s="297">
        <f t="shared" si="31"/>
        <v>41456</v>
      </c>
      <c r="F220" s="296">
        <v>9.1700000000000017</v>
      </c>
      <c r="G220" s="296">
        <f ca="1">+'Exhibit No.__(JAP-LIGHT RD) '!G275</f>
        <v>7.37</v>
      </c>
      <c r="I220" s="298">
        <f>+'[2]Tariff Summary Lights'!G220</f>
        <v>7.74</v>
      </c>
      <c r="J220" s="298">
        <f t="shared" ca="1" si="30"/>
        <v>-0.37000000000000011</v>
      </c>
    </row>
    <row r="221" spans="1:10">
      <c r="A221" s="443">
        <f t="shared" si="32"/>
        <v>216</v>
      </c>
      <c r="B221" s="443">
        <f t="shared" si="29"/>
        <v>53</v>
      </c>
      <c r="C221" s="300" t="s">
        <v>897</v>
      </c>
      <c r="D221" s="443" t="s">
        <v>871</v>
      </c>
      <c r="E221" s="297">
        <f t="shared" si="31"/>
        <v>41456</v>
      </c>
      <c r="F221" s="296">
        <v>9.3500000000000014</v>
      </c>
      <c r="G221" s="296">
        <f ca="1">+'Exhibit No.__(JAP-LIGHT RD) '!G276</f>
        <v>7.37</v>
      </c>
      <c r="I221" s="298">
        <f>+'[2]Tariff Summary Lights'!G221</f>
        <v>7.74</v>
      </c>
      <c r="J221" s="298">
        <f t="shared" ca="1" si="30"/>
        <v>-0.37000000000000011</v>
      </c>
    </row>
    <row r="222" spans="1:10">
      <c r="A222" s="443">
        <f t="shared" si="32"/>
        <v>217</v>
      </c>
      <c r="B222" s="443">
        <f t="shared" si="29"/>
        <v>53</v>
      </c>
      <c r="C222" s="300" t="s">
        <v>897</v>
      </c>
      <c r="D222" s="443" t="s">
        <v>872</v>
      </c>
      <c r="E222" s="297">
        <f t="shared" si="31"/>
        <v>41456</v>
      </c>
      <c r="F222" s="296">
        <v>9.5299999999999994</v>
      </c>
      <c r="G222" s="296">
        <f ca="1">+'Exhibit No.__(JAP-LIGHT RD) '!G277</f>
        <v>7.37</v>
      </c>
      <c r="I222" s="298">
        <f>+'[2]Tariff Summary Lights'!G222</f>
        <v>7.74</v>
      </c>
      <c r="J222" s="298">
        <f t="shared" ca="1" si="30"/>
        <v>-0.37000000000000011</v>
      </c>
    </row>
    <row r="223" spans="1:10">
      <c r="A223" s="443">
        <f t="shared" si="32"/>
        <v>218</v>
      </c>
      <c r="B223" s="443">
        <f t="shared" si="29"/>
        <v>53</v>
      </c>
      <c r="C223" s="300" t="s">
        <v>897</v>
      </c>
      <c r="D223" s="443" t="s">
        <v>873</v>
      </c>
      <c r="E223" s="297">
        <f t="shared" si="31"/>
        <v>41456</v>
      </c>
      <c r="F223" s="296">
        <v>9.7099999999999991</v>
      </c>
      <c r="G223" s="296">
        <f ca="1">+'Exhibit No.__(JAP-LIGHT RD) '!G278</f>
        <v>7.37</v>
      </c>
      <c r="I223" s="298">
        <f>+'[2]Tariff Summary Lights'!G223</f>
        <v>7.74</v>
      </c>
      <c r="J223" s="298">
        <f t="shared" ca="1" si="30"/>
        <v>-0.37000000000000011</v>
      </c>
    </row>
    <row r="224" spans="1:10">
      <c r="A224" s="443">
        <f t="shared" si="32"/>
        <v>219</v>
      </c>
      <c r="B224" s="443">
        <f t="shared" si="29"/>
        <v>53</v>
      </c>
      <c r="C224" s="300" t="s">
        <v>897</v>
      </c>
      <c r="D224" s="443" t="s">
        <v>874</v>
      </c>
      <c r="E224" s="297">
        <f t="shared" si="31"/>
        <v>41456</v>
      </c>
      <c r="F224" s="296">
        <v>9.879999999999999</v>
      </c>
      <c r="G224" s="296">
        <f ca="1">+'Exhibit No.__(JAP-LIGHT RD) '!G279</f>
        <v>8.2899999999999991</v>
      </c>
      <c r="I224" s="298">
        <f>+'[2]Tariff Summary Lights'!G224</f>
        <v>8.7200000000000006</v>
      </c>
      <c r="J224" s="298">
        <f t="shared" ca="1" si="30"/>
        <v>-0.43000000000000149</v>
      </c>
    </row>
    <row r="225" spans="1:10">
      <c r="A225" s="443">
        <f t="shared" si="32"/>
        <v>220</v>
      </c>
      <c r="B225" s="443">
        <f t="shared" si="29"/>
        <v>53</v>
      </c>
      <c r="C225" s="300" t="s">
        <v>897</v>
      </c>
      <c r="D225" s="443" t="s">
        <v>875</v>
      </c>
      <c r="E225" s="297">
        <f t="shared" si="31"/>
        <v>41456</v>
      </c>
      <c r="F225" s="296">
        <v>10.059999999999999</v>
      </c>
      <c r="G225" s="296">
        <f ca="1">+'Exhibit No.__(JAP-LIGHT RD) '!G280</f>
        <v>8.2899999999999991</v>
      </c>
      <c r="I225" s="298">
        <f>+'[2]Tariff Summary Lights'!G225</f>
        <v>8.7200000000000006</v>
      </c>
      <c r="J225" s="298">
        <f t="shared" ca="1" si="30"/>
        <v>-0.43000000000000149</v>
      </c>
    </row>
    <row r="226" spans="1:10">
      <c r="A226" s="443">
        <f t="shared" si="32"/>
        <v>221</v>
      </c>
      <c r="B226" s="443">
        <f t="shared" si="29"/>
        <v>53</v>
      </c>
      <c r="C226" s="300" t="s">
        <v>897</v>
      </c>
      <c r="D226" s="443" t="s">
        <v>876</v>
      </c>
      <c r="E226" s="297">
        <f t="shared" si="31"/>
        <v>41456</v>
      </c>
      <c r="F226" s="296">
        <v>10.23</v>
      </c>
      <c r="G226" s="296">
        <f ca="1">+'Exhibit No.__(JAP-LIGHT RD) '!G281</f>
        <v>8.2899999999999991</v>
      </c>
      <c r="I226" s="298">
        <f>+'[2]Tariff Summary Lights'!G226</f>
        <v>8.7200000000000006</v>
      </c>
      <c r="J226" s="298">
        <f t="shared" ca="1" si="30"/>
        <v>-0.43000000000000149</v>
      </c>
    </row>
    <row r="227" spans="1:10">
      <c r="A227" s="443">
        <f t="shared" si="32"/>
        <v>222</v>
      </c>
      <c r="B227" s="443">
        <f t="shared" si="29"/>
        <v>53</v>
      </c>
      <c r="C227" s="300" t="s">
        <v>897</v>
      </c>
      <c r="D227" s="443" t="s">
        <v>877</v>
      </c>
      <c r="E227" s="297">
        <f t="shared" si="31"/>
        <v>41456</v>
      </c>
      <c r="F227" s="296">
        <v>10.41</v>
      </c>
      <c r="G227" s="296">
        <f ca="1">+'Exhibit No.__(JAP-LIGHT RD) '!G282</f>
        <v>8.2899999999999991</v>
      </c>
      <c r="I227" s="298">
        <f>+'[2]Tariff Summary Lights'!G227</f>
        <v>8.7200000000000006</v>
      </c>
      <c r="J227" s="298">
        <f t="shared" ca="1" si="30"/>
        <v>-0.43000000000000149</v>
      </c>
    </row>
    <row r="228" spans="1:10">
      <c r="A228" s="443">
        <f t="shared" si="32"/>
        <v>223</v>
      </c>
      <c r="B228" s="443">
        <f t="shared" si="29"/>
        <v>53</v>
      </c>
      <c r="C228" s="300" t="s">
        <v>897</v>
      </c>
      <c r="D228" s="443" t="s">
        <v>878</v>
      </c>
      <c r="E228" s="297">
        <f t="shared" si="31"/>
        <v>41456</v>
      </c>
      <c r="F228" s="296">
        <v>10.58</v>
      </c>
      <c r="G228" s="296">
        <f ca="1">+'Exhibit No.__(JAP-LIGHT RD) '!G283</f>
        <v>8.2899999999999991</v>
      </c>
      <c r="I228" s="298">
        <f>+'[2]Tariff Summary Lights'!G228</f>
        <v>8.7200000000000006</v>
      </c>
      <c r="J228" s="298">
        <f t="shared" ca="1" si="30"/>
        <v>-0.43000000000000149</v>
      </c>
    </row>
    <row r="229" spans="1:10">
      <c r="A229" s="443">
        <f t="shared" si="32"/>
        <v>224</v>
      </c>
      <c r="B229" s="443">
        <f t="shared" si="29"/>
        <v>53</v>
      </c>
      <c r="C229" s="300" t="s">
        <v>897</v>
      </c>
      <c r="D229" s="443" t="s">
        <v>879</v>
      </c>
      <c r="E229" s="297">
        <f t="shared" si="31"/>
        <v>41456</v>
      </c>
      <c r="F229" s="296">
        <v>10.76</v>
      </c>
      <c r="G229" s="296">
        <f ca="1">+'Exhibit No.__(JAP-LIGHT RD) '!G284</f>
        <v>8.2899999999999991</v>
      </c>
      <c r="I229" s="298">
        <f>+'[2]Tariff Summary Lights'!G229</f>
        <v>8.7200000000000006</v>
      </c>
      <c r="J229" s="298">
        <f t="shared" ca="1" si="30"/>
        <v>-0.43000000000000149</v>
      </c>
    </row>
    <row r="230" spans="1:10">
      <c r="A230" s="443">
        <f t="shared" si="32"/>
        <v>225</v>
      </c>
      <c r="B230" s="443">
        <f t="shared" si="29"/>
        <v>53</v>
      </c>
      <c r="C230" s="300" t="s">
        <v>897</v>
      </c>
      <c r="D230" s="443" t="s">
        <v>880</v>
      </c>
      <c r="E230" s="297">
        <f t="shared" si="31"/>
        <v>41456</v>
      </c>
      <c r="F230" s="296">
        <v>10.94</v>
      </c>
      <c r="G230" s="296">
        <f ca="1">+'Exhibit No.__(JAP-LIGHT RD) '!G285</f>
        <v>9.2200000000000006</v>
      </c>
      <c r="I230" s="298">
        <f>+'[2]Tariff Summary Lights'!G230</f>
        <v>9.69</v>
      </c>
      <c r="J230" s="298">
        <f t="shared" ca="1" si="30"/>
        <v>-0.46999999999999886</v>
      </c>
    </row>
    <row r="231" spans="1:10">
      <c r="A231" s="443">
        <f t="shared" si="32"/>
        <v>226</v>
      </c>
      <c r="B231" s="443">
        <f t="shared" si="29"/>
        <v>53</v>
      </c>
      <c r="C231" s="300" t="s">
        <v>897</v>
      </c>
      <c r="D231" s="443" t="s">
        <v>881</v>
      </c>
      <c r="E231" s="297">
        <f t="shared" si="31"/>
        <v>41456</v>
      </c>
      <c r="F231" s="296">
        <v>11.110000000000001</v>
      </c>
      <c r="G231" s="296">
        <f ca="1">+'Exhibit No.__(JAP-LIGHT RD) '!G286</f>
        <v>9.2200000000000006</v>
      </c>
      <c r="I231" s="298">
        <f>+'[2]Tariff Summary Lights'!G231</f>
        <v>9.69</v>
      </c>
      <c r="J231" s="298">
        <f t="shared" ca="1" si="30"/>
        <v>-0.46999999999999886</v>
      </c>
    </row>
    <row r="232" spans="1:10">
      <c r="A232" s="443">
        <f t="shared" si="32"/>
        <v>227</v>
      </c>
      <c r="B232" s="443">
        <f t="shared" si="29"/>
        <v>53</v>
      </c>
      <c r="C232" s="300" t="s">
        <v>897</v>
      </c>
      <c r="D232" s="443" t="s">
        <v>882</v>
      </c>
      <c r="E232" s="297">
        <f t="shared" si="31"/>
        <v>41456</v>
      </c>
      <c r="F232" s="296">
        <v>11.290000000000001</v>
      </c>
      <c r="G232" s="296">
        <f ca="1">+'Exhibit No.__(JAP-LIGHT RD) '!G287</f>
        <v>9.2200000000000006</v>
      </c>
      <c r="I232" s="298">
        <f>+'[2]Tariff Summary Lights'!G232</f>
        <v>9.69</v>
      </c>
      <c r="J232" s="298">
        <f t="shared" ca="1" si="30"/>
        <v>-0.46999999999999886</v>
      </c>
    </row>
    <row r="233" spans="1:10">
      <c r="A233" s="443">
        <f t="shared" si="32"/>
        <v>228</v>
      </c>
      <c r="B233" s="443">
        <f t="shared" si="29"/>
        <v>53</v>
      </c>
      <c r="C233" s="300" t="s">
        <v>897</v>
      </c>
      <c r="D233" s="443" t="s">
        <v>883</v>
      </c>
      <c r="E233" s="297">
        <f t="shared" si="31"/>
        <v>41456</v>
      </c>
      <c r="F233" s="296">
        <v>11.46</v>
      </c>
      <c r="G233" s="296">
        <f ca="1">+'Exhibit No.__(JAP-LIGHT RD) '!G288</f>
        <v>9.2200000000000006</v>
      </c>
      <c r="I233" s="298">
        <f>+'[2]Tariff Summary Lights'!G233</f>
        <v>9.69</v>
      </c>
      <c r="J233" s="298">
        <f t="shared" ca="1" si="30"/>
        <v>-0.46999999999999886</v>
      </c>
    </row>
    <row r="234" spans="1:10">
      <c r="A234" s="443">
        <f t="shared" si="32"/>
        <v>229</v>
      </c>
      <c r="B234" s="443">
        <f t="shared" si="29"/>
        <v>53</v>
      </c>
      <c r="C234" s="300" t="s">
        <v>897</v>
      </c>
      <c r="D234" s="443" t="s">
        <v>884</v>
      </c>
      <c r="E234" s="297">
        <f t="shared" si="31"/>
        <v>41456</v>
      </c>
      <c r="F234" s="296">
        <v>11.64</v>
      </c>
      <c r="G234" s="296">
        <f ca="1">+'Exhibit No.__(JAP-LIGHT RD) '!G289</f>
        <v>9.2200000000000006</v>
      </c>
      <c r="I234" s="298">
        <f>+'[2]Tariff Summary Lights'!G234</f>
        <v>9.69</v>
      </c>
      <c r="J234" s="298">
        <f t="shared" ca="1" si="30"/>
        <v>-0.46999999999999886</v>
      </c>
    </row>
    <row r="235" spans="1:10">
      <c r="A235" s="443">
        <f t="shared" si="32"/>
        <v>230</v>
      </c>
      <c r="B235" s="443">
        <f t="shared" si="29"/>
        <v>53</v>
      </c>
      <c r="C235" s="300" t="s">
        <v>897</v>
      </c>
      <c r="D235" s="443" t="s">
        <v>885</v>
      </c>
      <c r="E235" s="297">
        <f t="shared" si="31"/>
        <v>41456</v>
      </c>
      <c r="F235" s="296">
        <v>11.81</v>
      </c>
      <c r="G235" s="296">
        <f ca="1">+'Exhibit No.__(JAP-LIGHT RD) '!G290</f>
        <v>9.2200000000000006</v>
      </c>
      <c r="I235" s="298">
        <f>+'[2]Tariff Summary Lights'!G235</f>
        <v>9.69</v>
      </c>
      <c r="J235" s="298">
        <f t="shared" ca="1" si="30"/>
        <v>-0.46999999999999886</v>
      </c>
    </row>
    <row r="236" spans="1:10">
      <c r="A236" s="443">
        <f t="shared" si="32"/>
        <v>231</v>
      </c>
      <c r="B236" s="443"/>
      <c r="C236" s="289"/>
      <c r="D236" s="443"/>
      <c r="E236" s="297"/>
      <c r="F236" s="289"/>
      <c r="G236" s="296"/>
      <c r="I236" s="298"/>
      <c r="J236" s="298"/>
    </row>
    <row r="237" spans="1:10">
      <c r="A237" s="443">
        <f t="shared" si="32"/>
        <v>232</v>
      </c>
      <c r="B237" s="443">
        <v>54</v>
      </c>
      <c r="C237" s="289" t="s">
        <v>901</v>
      </c>
      <c r="D237" s="443" t="s">
        <v>887</v>
      </c>
      <c r="E237" s="297">
        <f t="shared" ref="E237:E245" si="33">+$E$6</f>
        <v>41456</v>
      </c>
      <c r="F237" s="296">
        <v>2.02</v>
      </c>
      <c r="G237" s="296">
        <f ca="1">+'Exhibit No.__(JAP-LIGHT RD) '!G305</f>
        <v>1.54</v>
      </c>
      <c r="I237" s="298">
        <f>+'[2]Tariff Summary Lights'!G237</f>
        <v>1.62</v>
      </c>
      <c r="J237" s="298">
        <f t="shared" ref="J237:J245" ca="1" si="34">+G237-I237</f>
        <v>-8.0000000000000071E-2</v>
      </c>
    </row>
    <row r="238" spans="1:10">
      <c r="A238" s="443">
        <f t="shared" si="32"/>
        <v>233</v>
      </c>
      <c r="B238" s="443">
        <f>+$B$237</f>
        <v>54</v>
      </c>
      <c r="C238" s="289" t="s">
        <v>901</v>
      </c>
      <c r="D238" s="443" t="s">
        <v>888</v>
      </c>
      <c r="E238" s="297">
        <f t="shared" si="33"/>
        <v>41456</v>
      </c>
      <c r="F238" s="296">
        <v>2.94</v>
      </c>
      <c r="G238" s="296">
        <f ca="1">+'Exhibit No.__(JAP-LIGHT RD) '!G306</f>
        <v>2.16</v>
      </c>
      <c r="I238" s="298">
        <f>+'[2]Tariff Summary Lights'!G238</f>
        <v>2.27</v>
      </c>
      <c r="J238" s="298">
        <f t="shared" ca="1" si="34"/>
        <v>-0.10999999999999988</v>
      </c>
    </row>
    <row r="239" spans="1:10">
      <c r="A239" s="443">
        <f t="shared" si="32"/>
        <v>234</v>
      </c>
      <c r="B239" s="443">
        <f t="shared" ref="B239:B245" si="35">+$B$237</f>
        <v>54</v>
      </c>
      <c r="C239" s="289" t="s">
        <v>901</v>
      </c>
      <c r="D239" s="443" t="s">
        <v>823</v>
      </c>
      <c r="E239" s="297">
        <f t="shared" si="33"/>
        <v>41456</v>
      </c>
      <c r="F239" s="296">
        <v>4.1399999999999997</v>
      </c>
      <c r="G239" s="296">
        <f ca="1">+'Exhibit No.__(JAP-LIGHT RD) '!G307</f>
        <v>3.09</v>
      </c>
      <c r="I239" s="298">
        <f>+'[2]Tariff Summary Lights'!G239</f>
        <v>3.24</v>
      </c>
      <c r="J239" s="298">
        <f t="shared" ca="1" si="34"/>
        <v>-0.15000000000000036</v>
      </c>
    </row>
    <row r="240" spans="1:10">
      <c r="A240" s="443">
        <f t="shared" si="32"/>
        <v>235</v>
      </c>
      <c r="B240" s="443">
        <f t="shared" si="35"/>
        <v>54</v>
      </c>
      <c r="C240" s="289" t="s">
        <v>901</v>
      </c>
      <c r="D240" s="443" t="s">
        <v>889</v>
      </c>
      <c r="E240" s="297">
        <f t="shared" si="33"/>
        <v>41456</v>
      </c>
      <c r="F240" s="296">
        <v>6.01</v>
      </c>
      <c r="G240" s="296">
        <f ca="1">+'Exhibit No.__(JAP-LIGHT RD) '!G308</f>
        <v>4.63</v>
      </c>
      <c r="I240" s="298">
        <f>+'[2]Tariff Summary Lights'!G240</f>
        <v>4.8499999999999996</v>
      </c>
      <c r="J240" s="298">
        <f t="shared" ca="1" si="34"/>
        <v>-0.21999999999999975</v>
      </c>
    </row>
    <row r="241" spans="1:10">
      <c r="A241" s="443">
        <f t="shared" si="32"/>
        <v>236</v>
      </c>
      <c r="B241" s="443">
        <f t="shared" si="35"/>
        <v>54</v>
      </c>
      <c r="C241" s="289" t="s">
        <v>901</v>
      </c>
      <c r="D241" s="443" t="s">
        <v>890</v>
      </c>
      <c r="E241" s="297">
        <f t="shared" si="33"/>
        <v>41456</v>
      </c>
      <c r="F241" s="296">
        <v>7.9600000000000009</v>
      </c>
      <c r="G241" s="296">
        <f ca="1">+'Exhibit No.__(JAP-LIGHT RD) '!G309</f>
        <v>6.17</v>
      </c>
      <c r="I241" s="298">
        <f>+'[2]Tariff Summary Lights'!G241</f>
        <v>6.47</v>
      </c>
      <c r="J241" s="298">
        <f t="shared" ca="1" si="34"/>
        <v>-0.29999999999999982</v>
      </c>
    </row>
    <row r="242" spans="1:10">
      <c r="A242" s="443">
        <f t="shared" si="32"/>
        <v>237</v>
      </c>
      <c r="B242" s="443">
        <f t="shared" si="35"/>
        <v>54</v>
      </c>
      <c r="C242" s="289" t="s">
        <v>901</v>
      </c>
      <c r="D242" s="443" t="s">
        <v>891</v>
      </c>
      <c r="E242" s="297">
        <f t="shared" si="33"/>
        <v>41456</v>
      </c>
      <c r="F242" s="296">
        <v>9.879999999999999</v>
      </c>
      <c r="G242" s="296">
        <f ca="1">+'Exhibit No.__(JAP-LIGHT RD) '!G310</f>
        <v>7.72</v>
      </c>
      <c r="I242" s="298">
        <f>+'[2]Tariff Summary Lights'!G242</f>
        <v>8.09</v>
      </c>
      <c r="J242" s="298">
        <f t="shared" ca="1" si="34"/>
        <v>-0.37000000000000011</v>
      </c>
    </row>
    <row r="243" spans="1:10">
      <c r="A243" s="443">
        <f t="shared" si="32"/>
        <v>238</v>
      </c>
      <c r="B243" s="443">
        <f t="shared" si="35"/>
        <v>54</v>
      </c>
      <c r="C243" s="289" t="s">
        <v>901</v>
      </c>
      <c r="D243" s="443" t="s">
        <v>892</v>
      </c>
      <c r="E243" s="297">
        <f t="shared" si="33"/>
        <v>41456</v>
      </c>
      <c r="F243" s="296">
        <v>13.49</v>
      </c>
      <c r="G243" s="296">
        <f ca="1">+'Exhibit No.__(JAP-LIGHT RD) '!G311</f>
        <v>9.57</v>
      </c>
      <c r="I243" s="298">
        <f>+'[2]Tariff Summary Lights'!G243</f>
        <v>10.029999999999999</v>
      </c>
      <c r="J243" s="298">
        <f t="shared" ca="1" si="34"/>
        <v>-0.45999999999999908</v>
      </c>
    </row>
    <row r="244" spans="1:10">
      <c r="A244" s="443">
        <f t="shared" si="32"/>
        <v>239</v>
      </c>
      <c r="B244" s="443">
        <f t="shared" si="35"/>
        <v>54</v>
      </c>
      <c r="C244" s="289" t="s">
        <v>901</v>
      </c>
      <c r="D244" s="443" t="s">
        <v>825</v>
      </c>
      <c r="E244" s="297">
        <f t="shared" si="33"/>
        <v>41456</v>
      </c>
      <c r="F244" s="296">
        <v>15.43</v>
      </c>
      <c r="G244" s="296">
        <f ca="1">+'Exhibit No.__(JAP-LIGHT RD) '!G312</f>
        <v>12.35</v>
      </c>
      <c r="I244" s="298">
        <f>+'[2]Tariff Summary Lights'!G244</f>
        <v>12.95</v>
      </c>
      <c r="J244" s="298">
        <f t="shared" ca="1" si="34"/>
        <v>-0.59999999999999964</v>
      </c>
    </row>
    <row r="245" spans="1:10">
      <c r="A245" s="443">
        <f t="shared" si="32"/>
        <v>240</v>
      </c>
      <c r="B245" s="443">
        <f t="shared" si="35"/>
        <v>54</v>
      </c>
      <c r="C245" s="289" t="s">
        <v>901</v>
      </c>
      <c r="D245" s="443" t="s">
        <v>894</v>
      </c>
      <c r="E245" s="297">
        <f t="shared" si="33"/>
        <v>41456</v>
      </c>
      <c r="F245" s="296">
        <v>38.839999999999996</v>
      </c>
      <c r="G245" s="296">
        <f ca="1">+'Exhibit No.__(JAP-LIGHT RD) '!G313</f>
        <v>30.87</v>
      </c>
      <c r="I245" s="298">
        <f>+'[2]Tariff Summary Lights'!G245</f>
        <v>32.36</v>
      </c>
      <c r="J245" s="298">
        <f t="shared" ca="1" si="34"/>
        <v>-1.4899999999999984</v>
      </c>
    </row>
    <row r="246" spans="1:10">
      <c r="A246" s="443">
        <f t="shared" si="32"/>
        <v>241</v>
      </c>
      <c r="B246" s="443"/>
      <c r="C246" s="289"/>
      <c r="D246" s="443"/>
      <c r="E246" s="289"/>
      <c r="F246" s="289"/>
      <c r="G246" s="296"/>
      <c r="I246" s="298"/>
      <c r="J246" s="298"/>
    </row>
    <row r="247" spans="1:10">
      <c r="A247" s="443">
        <f t="shared" si="32"/>
        <v>242</v>
      </c>
      <c r="B247" s="443">
        <f t="shared" ref="B247:B300" si="36">+$B$237</f>
        <v>54</v>
      </c>
      <c r="C247" s="300" t="s">
        <v>902</v>
      </c>
      <c r="D247" s="443" t="s">
        <v>832</v>
      </c>
      <c r="E247" s="297">
        <f>+E242</f>
        <v>41456</v>
      </c>
      <c r="F247" s="296">
        <v>1.1399999999999999</v>
      </c>
      <c r="G247" s="296">
        <f ca="1">+'Exhibit No.__(JAP-LIGHT RD) '!G315</f>
        <v>1.39</v>
      </c>
      <c r="I247" s="298">
        <f>+'[2]Tariff Summary Lights'!G247</f>
        <v>1.46</v>
      </c>
      <c r="J247" s="298">
        <f t="shared" ref="J247:J300" ca="1" si="37">+G247-I247</f>
        <v>-7.0000000000000062E-2</v>
      </c>
    </row>
    <row r="248" spans="1:10">
      <c r="A248" s="443">
        <f t="shared" si="32"/>
        <v>243</v>
      </c>
      <c r="B248" s="443">
        <f t="shared" si="36"/>
        <v>54</v>
      </c>
      <c r="C248" s="300" t="s">
        <v>902</v>
      </c>
      <c r="D248" s="443" t="s">
        <v>833</v>
      </c>
      <c r="E248" s="297">
        <f>+E247</f>
        <v>41456</v>
      </c>
      <c r="F248" s="296">
        <v>1.3499999999999999</v>
      </c>
      <c r="G248" s="296">
        <f ca="1">+'Exhibit No.__(JAP-LIGHT RD) '!G316</f>
        <v>1.39</v>
      </c>
      <c r="I248" s="298">
        <f>+'[2]Tariff Summary Lights'!G248</f>
        <v>1.46</v>
      </c>
      <c r="J248" s="298">
        <f t="shared" ca="1" si="37"/>
        <v>-7.0000000000000062E-2</v>
      </c>
    </row>
    <row r="249" spans="1:10">
      <c r="A249" s="443">
        <f t="shared" si="32"/>
        <v>244</v>
      </c>
      <c r="B249" s="443">
        <f t="shared" si="36"/>
        <v>54</v>
      </c>
      <c r="C249" s="300" t="s">
        <v>902</v>
      </c>
      <c r="D249" s="443" t="s">
        <v>834</v>
      </c>
      <c r="E249" s="297">
        <f t="shared" ref="E249:E300" si="38">+E248</f>
        <v>41456</v>
      </c>
      <c r="F249" s="296">
        <v>1.49</v>
      </c>
      <c r="G249" s="296">
        <f ca="1">+'Exhibit No.__(JAP-LIGHT RD) '!G317</f>
        <v>1.39</v>
      </c>
      <c r="I249" s="298">
        <f>+'[2]Tariff Summary Lights'!G249</f>
        <v>1.46</v>
      </c>
      <c r="J249" s="298">
        <f t="shared" ca="1" si="37"/>
        <v>-7.0000000000000062E-2</v>
      </c>
    </row>
    <row r="250" spans="1:10">
      <c r="A250" s="443">
        <f t="shared" si="32"/>
        <v>245</v>
      </c>
      <c r="B250" s="443">
        <f t="shared" si="36"/>
        <v>54</v>
      </c>
      <c r="C250" s="300" t="s">
        <v>902</v>
      </c>
      <c r="D250" s="443" t="s">
        <v>835</v>
      </c>
      <c r="E250" s="297">
        <f t="shared" si="38"/>
        <v>41456</v>
      </c>
      <c r="F250" s="296">
        <v>1.67</v>
      </c>
      <c r="G250" s="296">
        <f ca="1">+'Exhibit No.__(JAP-LIGHT RD) '!G318</f>
        <v>1.39</v>
      </c>
      <c r="I250" s="298">
        <f>+'[2]Tariff Summary Lights'!G250</f>
        <v>1.46</v>
      </c>
      <c r="J250" s="298">
        <f t="shared" ca="1" si="37"/>
        <v>-7.0000000000000062E-2</v>
      </c>
    </row>
    <row r="251" spans="1:10">
      <c r="A251" s="443">
        <f t="shared" si="32"/>
        <v>246</v>
      </c>
      <c r="B251" s="443">
        <f t="shared" si="36"/>
        <v>54</v>
      </c>
      <c r="C251" s="300" t="s">
        <v>902</v>
      </c>
      <c r="D251" s="443" t="s">
        <v>836</v>
      </c>
      <c r="E251" s="297">
        <f t="shared" si="38"/>
        <v>41456</v>
      </c>
      <c r="F251" s="296">
        <v>1.8399999999999999</v>
      </c>
      <c r="G251" s="296">
        <f ca="1">+'Exhibit No.__(JAP-LIGHT RD) '!G319</f>
        <v>1.39</v>
      </c>
      <c r="I251" s="298">
        <f>+'[2]Tariff Summary Lights'!G251</f>
        <v>1.46</v>
      </c>
      <c r="J251" s="298">
        <f t="shared" ca="1" si="37"/>
        <v>-7.0000000000000062E-2</v>
      </c>
    </row>
    <row r="252" spans="1:10">
      <c r="A252" s="443">
        <f t="shared" si="32"/>
        <v>247</v>
      </c>
      <c r="B252" s="443">
        <f t="shared" si="36"/>
        <v>54</v>
      </c>
      <c r="C252" s="300" t="s">
        <v>902</v>
      </c>
      <c r="D252" s="443" t="s">
        <v>837</v>
      </c>
      <c r="E252" s="297">
        <f t="shared" si="38"/>
        <v>41456</v>
      </c>
      <c r="F252" s="296">
        <v>2.0299999999999998</v>
      </c>
      <c r="G252" s="296">
        <f ca="1">+'Exhibit No.__(JAP-LIGHT RD) '!G320</f>
        <v>1.39</v>
      </c>
      <c r="I252" s="298">
        <f>+'[2]Tariff Summary Lights'!G252</f>
        <v>1.46</v>
      </c>
      <c r="J252" s="298">
        <f t="shared" ca="1" si="37"/>
        <v>-7.0000000000000062E-2</v>
      </c>
    </row>
    <row r="253" spans="1:10">
      <c r="A253" s="443">
        <f t="shared" si="32"/>
        <v>248</v>
      </c>
      <c r="B253" s="443">
        <f t="shared" si="36"/>
        <v>54</v>
      </c>
      <c r="C253" s="300" t="s">
        <v>902</v>
      </c>
      <c r="D253" s="443" t="s">
        <v>838</v>
      </c>
      <c r="E253" s="297">
        <f t="shared" si="38"/>
        <v>41456</v>
      </c>
      <c r="F253" s="296">
        <v>2.2000000000000002</v>
      </c>
      <c r="G253" s="296">
        <f ca="1">+'Exhibit No.__(JAP-LIGHT RD) '!G321</f>
        <v>2.3199999999999998</v>
      </c>
      <c r="I253" s="298">
        <f>+'[2]Tariff Summary Lights'!G253</f>
        <v>2.4300000000000002</v>
      </c>
      <c r="J253" s="298">
        <f t="shared" ca="1" si="37"/>
        <v>-0.11000000000000032</v>
      </c>
    </row>
    <row r="254" spans="1:10">
      <c r="A254" s="443">
        <f t="shared" si="32"/>
        <v>249</v>
      </c>
      <c r="B254" s="443">
        <f t="shared" si="36"/>
        <v>54</v>
      </c>
      <c r="C254" s="300" t="s">
        <v>902</v>
      </c>
      <c r="D254" s="443" t="s">
        <v>839</v>
      </c>
      <c r="E254" s="297">
        <f t="shared" si="38"/>
        <v>41456</v>
      </c>
      <c r="F254" s="296">
        <v>2.3800000000000003</v>
      </c>
      <c r="G254" s="296">
        <f ca="1">+'Exhibit No.__(JAP-LIGHT RD) '!G322</f>
        <v>2.3199999999999998</v>
      </c>
      <c r="I254" s="298">
        <f>+'[2]Tariff Summary Lights'!G254</f>
        <v>2.4300000000000002</v>
      </c>
      <c r="J254" s="298">
        <f t="shared" ca="1" si="37"/>
        <v>-0.11000000000000032</v>
      </c>
    </row>
    <row r="255" spans="1:10">
      <c r="A255" s="443">
        <f t="shared" si="32"/>
        <v>250</v>
      </c>
      <c r="B255" s="443">
        <f t="shared" si="36"/>
        <v>54</v>
      </c>
      <c r="C255" s="300" t="s">
        <v>902</v>
      </c>
      <c r="D255" s="443" t="s">
        <v>840</v>
      </c>
      <c r="E255" s="297">
        <f t="shared" si="38"/>
        <v>41456</v>
      </c>
      <c r="F255" s="296">
        <v>2.5499999999999998</v>
      </c>
      <c r="G255" s="296">
        <f ca="1">+'Exhibit No.__(JAP-LIGHT RD) '!G323</f>
        <v>2.3199999999999998</v>
      </c>
      <c r="I255" s="298">
        <f>+'[2]Tariff Summary Lights'!G255</f>
        <v>2.4300000000000002</v>
      </c>
      <c r="J255" s="298">
        <f t="shared" ca="1" si="37"/>
        <v>-0.11000000000000032</v>
      </c>
    </row>
    <row r="256" spans="1:10">
      <c r="A256" s="443">
        <f t="shared" si="32"/>
        <v>251</v>
      </c>
      <c r="B256" s="443">
        <f t="shared" si="36"/>
        <v>54</v>
      </c>
      <c r="C256" s="300" t="s">
        <v>902</v>
      </c>
      <c r="D256" s="443" t="s">
        <v>841</v>
      </c>
      <c r="E256" s="297">
        <f t="shared" si="38"/>
        <v>41456</v>
      </c>
      <c r="F256" s="296">
        <v>2.73</v>
      </c>
      <c r="G256" s="296">
        <f ca="1">+'Exhibit No.__(JAP-LIGHT RD) '!G324</f>
        <v>2.3199999999999998</v>
      </c>
      <c r="I256" s="298">
        <f>+'[2]Tariff Summary Lights'!G256</f>
        <v>2.4300000000000002</v>
      </c>
      <c r="J256" s="298">
        <f t="shared" ca="1" si="37"/>
        <v>-0.11000000000000032</v>
      </c>
    </row>
    <row r="257" spans="1:10">
      <c r="A257" s="443">
        <f t="shared" si="32"/>
        <v>252</v>
      </c>
      <c r="B257" s="443">
        <f t="shared" si="36"/>
        <v>54</v>
      </c>
      <c r="C257" s="300" t="s">
        <v>902</v>
      </c>
      <c r="D257" s="443" t="s">
        <v>842</v>
      </c>
      <c r="E257" s="297">
        <f t="shared" si="38"/>
        <v>41456</v>
      </c>
      <c r="F257" s="296">
        <v>2.9000000000000004</v>
      </c>
      <c r="G257" s="296">
        <f ca="1">+'Exhibit No.__(JAP-LIGHT RD) '!G325</f>
        <v>2.3199999999999998</v>
      </c>
      <c r="I257" s="298">
        <f>+'[2]Tariff Summary Lights'!G257</f>
        <v>2.4300000000000002</v>
      </c>
      <c r="J257" s="298">
        <f t="shared" ca="1" si="37"/>
        <v>-0.11000000000000032</v>
      </c>
    </row>
    <row r="258" spans="1:10">
      <c r="A258" s="443">
        <f t="shared" si="32"/>
        <v>253</v>
      </c>
      <c r="B258" s="443">
        <f t="shared" si="36"/>
        <v>54</v>
      </c>
      <c r="C258" s="300" t="s">
        <v>902</v>
      </c>
      <c r="D258" s="443" t="s">
        <v>843</v>
      </c>
      <c r="E258" s="297">
        <f t="shared" si="38"/>
        <v>41456</v>
      </c>
      <c r="F258" s="296">
        <v>3.07</v>
      </c>
      <c r="G258" s="296">
        <f ca="1">+'Exhibit No.__(JAP-LIGHT RD) '!G326</f>
        <v>2.3199999999999998</v>
      </c>
      <c r="I258" s="298">
        <f>+'[2]Tariff Summary Lights'!G258</f>
        <v>2.4300000000000002</v>
      </c>
      <c r="J258" s="298">
        <f t="shared" ca="1" si="37"/>
        <v>-0.11000000000000032</v>
      </c>
    </row>
    <row r="259" spans="1:10">
      <c r="A259" s="443">
        <f t="shared" si="32"/>
        <v>254</v>
      </c>
      <c r="B259" s="443">
        <f t="shared" si="36"/>
        <v>54</v>
      </c>
      <c r="C259" s="300" t="s">
        <v>902</v>
      </c>
      <c r="D259" s="443" t="s">
        <v>844</v>
      </c>
      <c r="E259" s="297">
        <f t="shared" si="38"/>
        <v>41456</v>
      </c>
      <c r="F259" s="296">
        <v>3.26</v>
      </c>
      <c r="G259" s="296">
        <f ca="1">+'Exhibit No.__(JAP-LIGHT RD) '!G327</f>
        <v>3.24</v>
      </c>
      <c r="I259" s="298">
        <f>+'[2]Tariff Summary Lights'!G259</f>
        <v>3.4</v>
      </c>
      <c r="J259" s="298">
        <f t="shared" ca="1" si="37"/>
        <v>-0.1599999999999997</v>
      </c>
    </row>
    <row r="260" spans="1:10">
      <c r="A260" s="443">
        <f t="shared" si="32"/>
        <v>255</v>
      </c>
      <c r="B260" s="443">
        <f t="shared" si="36"/>
        <v>54</v>
      </c>
      <c r="C260" s="300" t="s">
        <v>902</v>
      </c>
      <c r="D260" s="443" t="s">
        <v>845</v>
      </c>
      <c r="E260" s="297">
        <f t="shared" si="38"/>
        <v>41456</v>
      </c>
      <c r="F260" s="296">
        <v>3.43</v>
      </c>
      <c r="G260" s="296">
        <f ca="1">+'Exhibit No.__(JAP-LIGHT RD) '!G328</f>
        <v>3.24</v>
      </c>
      <c r="I260" s="298">
        <f>+'[2]Tariff Summary Lights'!G260</f>
        <v>3.4</v>
      </c>
      <c r="J260" s="298">
        <f t="shared" ca="1" si="37"/>
        <v>-0.1599999999999997</v>
      </c>
    </row>
    <row r="261" spans="1:10">
      <c r="A261" s="443">
        <f t="shared" si="32"/>
        <v>256</v>
      </c>
      <c r="B261" s="443">
        <f t="shared" si="36"/>
        <v>54</v>
      </c>
      <c r="C261" s="300" t="s">
        <v>902</v>
      </c>
      <c r="D261" s="443" t="s">
        <v>846</v>
      </c>
      <c r="E261" s="297">
        <f t="shared" si="38"/>
        <v>41456</v>
      </c>
      <c r="F261" s="296">
        <v>3.6100000000000003</v>
      </c>
      <c r="G261" s="296">
        <f ca="1">+'Exhibit No.__(JAP-LIGHT RD) '!G329</f>
        <v>3.24</v>
      </c>
      <c r="I261" s="298">
        <f>+'[2]Tariff Summary Lights'!G261</f>
        <v>3.4</v>
      </c>
      <c r="J261" s="298">
        <f t="shared" ca="1" si="37"/>
        <v>-0.1599999999999997</v>
      </c>
    </row>
    <row r="262" spans="1:10">
      <c r="A262" s="443">
        <f t="shared" si="32"/>
        <v>257</v>
      </c>
      <c r="B262" s="443">
        <f t="shared" si="36"/>
        <v>54</v>
      </c>
      <c r="C262" s="300" t="s">
        <v>902</v>
      </c>
      <c r="D262" s="443" t="s">
        <v>847</v>
      </c>
      <c r="E262" s="297">
        <f t="shared" si="38"/>
        <v>41456</v>
      </c>
      <c r="F262" s="296">
        <v>3.78</v>
      </c>
      <c r="G262" s="296">
        <f ca="1">+'Exhibit No.__(JAP-LIGHT RD) '!G330</f>
        <v>3.24</v>
      </c>
      <c r="I262" s="298">
        <f>+'[2]Tariff Summary Lights'!G262</f>
        <v>3.4</v>
      </c>
      <c r="J262" s="298">
        <f t="shared" ca="1" si="37"/>
        <v>-0.1599999999999997</v>
      </c>
    </row>
    <row r="263" spans="1:10">
      <c r="A263" s="443">
        <f t="shared" si="32"/>
        <v>258</v>
      </c>
      <c r="B263" s="443">
        <f t="shared" si="36"/>
        <v>54</v>
      </c>
      <c r="C263" s="300" t="s">
        <v>902</v>
      </c>
      <c r="D263" s="443" t="s">
        <v>848</v>
      </c>
      <c r="E263" s="297">
        <f t="shared" si="38"/>
        <v>41456</v>
      </c>
      <c r="F263" s="296">
        <v>3.96</v>
      </c>
      <c r="G263" s="296">
        <f ca="1">+'Exhibit No.__(JAP-LIGHT RD) '!G331</f>
        <v>3.24</v>
      </c>
      <c r="I263" s="298">
        <f>+'[2]Tariff Summary Lights'!G263</f>
        <v>3.4</v>
      </c>
      <c r="J263" s="298">
        <f t="shared" ca="1" si="37"/>
        <v>-0.1599999999999997</v>
      </c>
    </row>
    <row r="264" spans="1:10">
      <c r="A264" s="443">
        <f t="shared" ref="A264:A327" si="39">+A263+1</f>
        <v>259</v>
      </c>
      <c r="B264" s="443">
        <f t="shared" si="36"/>
        <v>54</v>
      </c>
      <c r="C264" s="300" t="s">
        <v>902</v>
      </c>
      <c r="D264" s="443" t="s">
        <v>849</v>
      </c>
      <c r="E264" s="297">
        <f t="shared" si="38"/>
        <v>41456</v>
      </c>
      <c r="F264" s="296">
        <v>4.13</v>
      </c>
      <c r="G264" s="296">
        <f ca="1">+'Exhibit No.__(JAP-LIGHT RD) '!G332</f>
        <v>3.24</v>
      </c>
      <c r="I264" s="298">
        <f>+'[2]Tariff Summary Lights'!G264</f>
        <v>3.4</v>
      </c>
      <c r="J264" s="298">
        <f t="shared" ca="1" si="37"/>
        <v>-0.1599999999999997</v>
      </c>
    </row>
    <row r="265" spans="1:10">
      <c r="A265" s="443">
        <f t="shared" si="39"/>
        <v>260</v>
      </c>
      <c r="B265" s="443">
        <f t="shared" si="36"/>
        <v>54</v>
      </c>
      <c r="C265" s="300" t="s">
        <v>902</v>
      </c>
      <c r="D265" s="443" t="s">
        <v>850</v>
      </c>
      <c r="E265" s="297">
        <f t="shared" si="38"/>
        <v>41456</v>
      </c>
      <c r="F265" s="296">
        <v>4.3100000000000005</v>
      </c>
      <c r="G265" s="296">
        <f ca="1">+'Exhibit No.__(JAP-LIGHT RD) '!G333</f>
        <v>4.17</v>
      </c>
      <c r="I265" s="298">
        <f>+'[2]Tariff Summary Lights'!G265</f>
        <v>4.37</v>
      </c>
      <c r="J265" s="298">
        <f t="shared" ca="1" si="37"/>
        <v>-0.20000000000000018</v>
      </c>
    </row>
    <row r="266" spans="1:10">
      <c r="A266" s="443">
        <f t="shared" si="39"/>
        <v>261</v>
      </c>
      <c r="B266" s="443">
        <f t="shared" si="36"/>
        <v>54</v>
      </c>
      <c r="C266" s="300" t="s">
        <v>902</v>
      </c>
      <c r="D266" s="443" t="s">
        <v>851</v>
      </c>
      <c r="E266" s="297">
        <f t="shared" si="38"/>
        <v>41456</v>
      </c>
      <c r="F266" s="296">
        <v>4.49</v>
      </c>
      <c r="G266" s="296">
        <f ca="1">+'Exhibit No.__(JAP-LIGHT RD) '!G334</f>
        <v>4.17</v>
      </c>
      <c r="I266" s="298">
        <f>+'[2]Tariff Summary Lights'!G266</f>
        <v>4.37</v>
      </c>
      <c r="J266" s="298">
        <f t="shared" ca="1" si="37"/>
        <v>-0.20000000000000018</v>
      </c>
    </row>
    <row r="267" spans="1:10">
      <c r="A267" s="443">
        <f t="shared" si="39"/>
        <v>262</v>
      </c>
      <c r="B267" s="443">
        <f t="shared" si="36"/>
        <v>54</v>
      </c>
      <c r="C267" s="300" t="s">
        <v>902</v>
      </c>
      <c r="D267" s="443" t="s">
        <v>852</v>
      </c>
      <c r="E267" s="297">
        <f t="shared" si="38"/>
        <v>41456</v>
      </c>
      <c r="F267" s="296">
        <v>4.6599999999999993</v>
      </c>
      <c r="G267" s="296">
        <f ca="1">+'Exhibit No.__(JAP-LIGHT RD) '!G335</f>
        <v>4.17</v>
      </c>
      <c r="I267" s="298">
        <f>+'[2]Tariff Summary Lights'!G267</f>
        <v>4.37</v>
      </c>
      <c r="J267" s="298">
        <f t="shared" ca="1" si="37"/>
        <v>-0.20000000000000018</v>
      </c>
    </row>
    <row r="268" spans="1:10">
      <c r="A268" s="443">
        <f t="shared" si="39"/>
        <v>263</v>
      </c>
      <c r="B268" s="443">
        <f t="shared" si="36"/>
        <v>54</v>
      </c>
      <c r="C268" s="300" t="s">
        <v>902</v>
      </c>
      <c r="D268" s="443" t="s">
        <v>853</v>
      </c>
      <c r="E268" s="297">
        <f t="shared" si="38"/>
        <v>41456</v>
      </c>
      <c r="F268" s="296">
        <v>4.84</v>
      </c>
      <c r="G268" s="296">
        <f ca="1">+'Exhibit No.__(JAP-LIGHT RD) '!G336</f>
        <v>4.17</v>
      </c>
      <c r="I268" s="298">
        <f>+'[2]Tariff Summary Lights'!G268</f>
        <v>4.37</v>
      </c>
      <c r="J268" s="298">
        <f t="shared" ca="1" si="37"/>
        <v>-0.20000000000000018</v>
      </c>
    </row>
    <row r="269" spans="1:10">
      <c r="A269" s="443">
        <f t="shared" si="39"/>
        <v>264</v>
      </c>
      <c r="B269" s="443">
        <f t="shared" si="36"/>
        <v>54</v>
      </c>
      <c r="C269" s="300" t="s">
        <v>902</v>
      </c>
      <c r="D269" s="443" t="s">
        <v>854</v>
      </c>
      <c r="E269" s="297">
        <f t="shared" si="38"/>
        <v>41456</v>
      </c>
      <c r="F269" s="296">
        <v>5.01</v>
      </c>
      <c r="G269" s="296">
        <f ca="1">+'Exhibit No.__(JAP-LIGHT RD) '!G337</f>
        <v>4.17</v>
      </c>
      <c r="I269" s="298">
        <f>+'[2]Tariff Summary Lights'!G269</f>
        <v>4.37</v>
      </c>
      <c r="J269" s="298">
        <f t="shared" ca="1" si="37"/>
        <v>-0.20000000000000018</v>
      </c>
    </row>
    <row r="270" spans="1:10">
      <c r="A270" s="443">
        <f t="shared" si="39"/>
        <v>265</v>
      </c>
      <c r="B270" s="443">
        <f t="shared" si="36"/>
        <v>54</v>
      </c>
      <c r="C270" s="300" t="s">
        <v>902</v>
      </c>
      <c r="D270" s="443" t="s">
        <v>855</v>
      </c>
      <c r="E270" s="297">
        <f t="shared" si="38"/>
        <v>41456</v>
      </c>
      <c r="F270" s="296">
        <v>5.1899999999999995</v>
      </c>
      <c r="G270" s="296">
        <f ca="1">+'Exhibit No.__(JAP-LIGHT RD) '!G338</f>
        <v>4.17</v>
      </c>
      <c r="I270" s="298">
        <f>+'[2]Tariff Summary Lights'!G270</f>
        <v>4.37</v>
      </c>
      <c r="J270" s="298">
        <f t="shared" ca="1" si="37"/>
        <v>-0.20000000000000018</v>
      </c>
    </row>
    <row r="271" spans="1:10">
      <c r="A271" s="443">
        <f t="shared" si="39"/>
        <v>266</v>
      </c>
      <c r="B271" s="443">
        <f t="shared" si="36"/>
        <v>54</v>
      </c>
      <c r="C271" s="300" t="s">
        <v>902</v>
      </c>
      <c r="D271" s="443" t="s">
        <v>856</v>
      </c>
      <c r="E271" s="297">
        <f t="shared" si="38"/>
        <v>41456</v>
      </c>
      <c r="F271" s="296">
        <v>5.36</v>
      </c>
      <c r="G271" s="296">
        <f ca="1">+'Exhibit No.__(JAP-LIGHT RD) '!G339</f>
        <v>5.09</v>
      </c>
      <c r="I271" s="298">
        <f>+'[2]Tariff Summary Lights'!G271</f>
        <v>5.34</v>
      </c>
      <c r="J271" s="298">
        <f t="shared" ca="1" si="37"/>
        <v>-0.25</v>
      </c>
    </row>
    <row r="272" spans="1:10">
      <c r="A272" s="443">
        <f t="shared" si="39"/>
        <v>267</v>
      </c>
      <c r="B272" s="443">
        <f t="shared" si="36"/>
        <v>54</v>
      </c>
      <c r="C272" s="300" t="s">
        <v>902</v>
      </c>
      <c r="D272" s="443" t="s">
        <v>857</v>
      </c>
      <c r="E272" s="297">
        <f t="shared" si="38"/>
        <v>41456</v>
      </c>
      <c r="F272" s="296">
        <v>5.54</v>
      </c>
      <c r="G272" s="296">
        <f ca="1">+'Exhibit No.__(JAP-LIGHT RD) '!G340</f>
        <v>5.09</v>
      </c>
      <c r="I272" s="298">
        <f>+'[2]Tariff Summary Lights'!G272</f>
        <v>5.34</v>
      </c>
      <c r="J272" s="298">
        <f t="shared" ca="1" si="37"/>
        <v>-0.25</v>
      </c>
    </row>
    <row r="273" spans="1:10">
      <c r="A273" s="443">
        <f t="shared" si="39"/>
        <v>268</v>
      </c>
      <c r="B273" s="443">
        <f t="shared" si="36"/>
        <v>54</v>
      </c>
      <c r="C273" s="300" t="s">
        <v>902</v>
      </c>
      <c r="D273" s="443" t="s">
        <v>858</v>
      </c>
      <c r="E273" s="297">
        <f t="shared" si="38"/>
        <v>41456</v>
      </c>
      <c r="F273" s="296">
        <v>5.7200000000000006</v>
      </c>
      <c r="G273" s="296">
        <f ca="1">+'Exhibit No.__(JAP-LIGHT RD) '!G341</f>
        <v>5.09</v>
      </c>
      <c r="I273" s="298">
        <f>+'[2]Tariff Summary Lights'!G273</f>
        <v>5.34</v>
      </c>
      <c r="J273" s="298">
        <f t="shared" ca="1" si="37"/>
        <v>-0.25</v>
      </c>
    </row>
    <row r="274" spans="1:10">
      <c r="A274" s="443">
        <f t="shared" si="39"/>
        <v>269</v>
      </c>
      <c r="B274" s="443">
        <f t="shared" si="36"/>
        <v>54</v>
      </c>
      <c r="C274" s="300" t="s">
        <v>902</v>
      </c>
      <c r="D274" s="443" t="s">
        <v>859</v>
      </c>
      <c r="E274" s="297">
        <f t="shared" si="38"/>
        <v>41456</v>
      </c>
      <c r="F274" s="296">
        <v>5.9</v>
      </c>
      <c r="G274" s="296">
        <f ca="1">+'Exhibit No.__(JAP-LIGHT RD) '!G342</f>
        <v>5.09</v>
      </c>
      <c r="I274" s="298">
        <f>+'[2]Tariff Summary Lights'!G274</f>
        <v>5.34</v>
      </c>
      <c r="J274" s="298">
        <f t="shared" ca="1" si="37"/>
        <v>-0.25</v>
      </c>
    </row>
    <row r="275" spans="1:10">
      <c r="A275" s="443">
        <f t="shared" si="39"/>
        <v>270</v>
      </c>
      <c r="B275" s="443">
        <f t="shared" si="36"/>
        <v>54</v>
      </c>
      <c r="C275" s="300" t="s">
        <v>902</v>
      </c>
      <c r="D275" s="443" t="s">
        <v>860</v>
      </c>
      <c r="E275" s="297">
        <f t="shared" si="38"/>
        <v>41456</v>
      </c>
      <c r="F275" s="296">
        <v>6.0699999999999994</v>
      </c>
      <c r="G275" s="296">
        <f ca="1">+'Exhibit No.__(JAP-LIGHT RD) '!G343</f>
        <v>5.09</v>
      </c>
      <c r="I275" s="298">
        <f>+'[2]Tariff Summary Lights'!G275</f>
        <v>5.34</v>
      </c>
      <c r="J275" s="298">
        <f t="shared" ca="1" si="37"/>
        <v>-0.25</v>
      </c>
    </row>
    <row r="276" spans="1:10">
      <c r="A276" s="443">
        <f t="shared" si="39"/>
        <v>271</v>
      </c>
      <c r="B276" s="443">
        <f t="shared" si="36"/>
        <v>54</v>
      </c>
      <c r="C276" s="300" t="s">
        <v>902</v>
      </c>
      <c r="D276" s="443" t="s">
        <v>861</v>
      </c>
      <c r="E276" s="297">
        <f t="shared" si="38"/>
        <v>41456</v>
      </c>
      <c r="F276" s="296">
        <v>6.25</v>
      </c>
      <c r="G276" s="296">
        <f ca="1">+'Exhibit No.__(JAP-LIGHT RD) '!G344</f>
        <v>5.09</v>
      </c>
      <c r="I276" s="298">
        <f>+'[2]Tariff Summary Lights'!G276</f>
        <v>5.34</v>
      </c>
      <c r="J276" s="298">
        <f t="shared" ca="1" si="37"/>
        <v>-0.25</v>
      </c>
    </row>
    <row r="277" spans="1:10">
      <c r="A277" s="443">
        <f t="shared" si="39"/>
        <v>272</v>
      </c>
      <c r="B277" s="443">
        <f t="shared" si="36"/>
        <v>54</v>
      </c>
      <c r="C277" s="300" t="s">
        <v>902</v>
      </c>
      <c r="D277" s="443" t="s">
        <v>862</v>
      </c>
      <c r="E277" s="297">
        <f t="shared" si="38"/>
        <v>41456</v>
      </c>
      <c r="F277" s="296">
        <v>6.42</v>
      </c>
      <c r="G277" s="296">
        <f ca="1">+'Exhibit No.__(JAP-LIGHT RD) '!G345</f>
        <v>6.02</v>
      </c>
      <c r="I277" s="298">
        <f>+'[2]Tariff Summary Lights'!G277</f>
        <v>6.31</v>
      </c>
      <c r="J277" s="298">
        <f t="shared" ca="1" si="37"/>
        <v>-0.29000000000000004</v>
      </c>
    </row>
    <row r="278" spans="1:10">
      <c r="A278" s="443">
        <f t="shared" si="39"/>
        <v>273</v>
      </c>
      <c r="B278" s="443">
        <f t="shared" si="36"/>
        <v>54</v>
      </c>
      <c r="C278" s="300" t="s">
        <v>902</v>
      </c>
      <c r="D278" s="443" t="s">
        <v>863</v>
      </c>
      <c r="E278" s="297">
        <f t="shared" si="38"/>
        <v>41456</v>
      </c>
      <c r="F278" s="296">
        <v>6.59</v>
      </c>
      <c r="G278" s="296">
        <f ca="1">+'Exhibit No.__(JAP-LIGHT RD) '!G346</f>
        <v>6.02</v>
      </c>
      <c r="I278" s="298">
        <f>+'[2]Tariff Summary Lights'!G278</f>
        <v>6.31</v>
      </c>
      <c r="J278" s="298">
        <f t="shared" ca="1" si="37"/>
        <v>-0.29000000000000004</v>
      </c>
    </row>
    <row r="279" spans="1:10">
      <c r="A279" s="443">
        <f t="shared" si="39"/>
        <v>274</v>
      </c>
      <c r="B279" s="443">
        <f t="shared" si="36"/>
        <v>54</v>
      </c>
      <c r="C279" s="300" t="s">
        <v>902</v>
      </c>
      <c r="D279" s="443" t="s">
        <v>864</v>
      </c>
      <c r="E279" s="297">
        <f t="shared" si="38"/>
        <v>41456</v>
      </c>
      <c r="F279" s="296">
        <v>6.7700000000000005</v>
      </c>
      <c r="G279" s="296">
        <f ca="1">+'Exhibit No.__(JAP-LIGHT RD) '!G347</f>
        <v>6.02</v>
      </c>
      <c r="I279" s="298">
        <f>+'[2]Tariff Summary Lights'!G279</f>
        <v>6.31</v>
      </c>
      <c r="J279" s="298">
        <f t="shared" ca="1" si="37"/>
        <v>-0.29000000000000004</v>
      </c>
    </row>
    <row r="280" spans="1:10">
      <c r="A280" s="443">
        <f t="shared" si="39"/>
        <v>275</v>
      </c>
      <c r="B280" s="443">
        <f t="shared" si="36"/>
        <v>54</v>
      </c>
      <c r="C280" s="300" t="s">
        <v>902</v>
      </c>
      <c r="D280" s="443" t="s">
        <v>865</v>
      </c>
      <c r="E280" s="297">
        <f t="shared" si="38"/>
        <v>41456</v>
      </c>
      <c r="F280" s="296">
        <v>6.95</v>
      </c>
      <c r="G280" s="296">
        <f ca="1">+'Exhibit No.__(JAP-LIGHT RD) '!G348</f>
        <v>6.02</v>
      </c>
      <c r="I280" s="298">
        <f>+'[2]Tariff Summary Lights'!G280</f>
        <v>6.31</v>
      </c>
      <c r="J280" s="298">
        <f t="shared" ca="1" si="37"/>
        <v>-0.29000000000000004</v>
      </c>
    </row>
    <row r="281" spans="1:10">
      <c r="A281" s="443">
        <f t="shared" si="39"/>
        <v>276</v>
      </c>
      <c r="B281" s="443">
        <f t="shared" si="36"/>
        <v>54</v>
      </c>
      <c r="C281" s="300" t="s">
        <v>902</v>
      </c>
      <c r="D281" s="443" t="s">
        <v>866</v>
      </c>
      <c r="E281" s="297">
        <f t="shared" si="38"/>
        <v>41456</v>
      </c>
      <c r="F281" s="296">
        <v>7.13</v>
      </c>
      <c r="G281" s="296">
        <f ca="1">+'Exhibit No.__(JAP-LIGHT RD) '!G349</f>
        <v>6.02</v>
      </c>
      <c r="I281" s="298">
        <f>+'[2]Tariff Summary Lights'!G281</f>
        <v>6.31</v>
      </c>
      <c r="J281" s="298">
        <f t="shared" ca="1" si="37"/>
        <v>-0.29000000000000004</v>
      </c>
    </row>
    <row r="282" spans="1:10">
      <c r="A282" s="443">
        <f t="shared" si="39"/>
        <v>277</v>
      </c>
      <c r="B282" s="443">
        <f t="shared" si="36"/>
        <v>54</v>
      </c>
      <c r="C282" s="300" t="s">
        <v>902</v>
      </c>
      <c r="D282" s="443" t="s">
        <v>867</v>
      </c>
      <c r="E282" s="297">
        <f t="shared" si="38"/>
        <v>41456</v>
      </c>
      <c r="F282" s="296">
        <v>7.3</v>
      </c>
      <c r="G282" s="296">
        <f ca="1">+'Exhibit No.__(JAP-LIGHT RD) '!G350</f>
        <v>6.02</v>
      </c>
      <c r="I282" s="298">
        <f>+'[2]Tariff Summary Lights'!G282</f>
        <v>6.31</v>
      </c>
      <c r="J282" s="298">
        <f t="shared" ca="1" si="37"/>
        <v>-0.29000000000000004</v>
      </c>
    </row>
    <row r="283" spans="1:10">
      <c r="A283" s="443">
        <f t="shared" si="39"/>
        <v>278</v>
      </c>
      <c r="B283" s="443">
        <f t="shared" si="36"/>
        <v>54</v>
      </c>
      <c r="C283" s="300" t="s">
        <v>902</v>
      </c>
      <c r="D283" s="443" t="s">
        <v>868</v>
      </c>
      <c r="E283" s="297">
        <f t="shared" si="38"/>
        <v>41456</v>
      </c>
      <c r="F283" s="296">
        <v>7.4799999999999995</v>
      </c>
      <c r="G283" s="296">
        <f ca="1">+'Exhibit No.__(JAP-LIGHT RD) '!G351</f>
        <v>6.95</v>
      </c>
      <c r="I283" s="298">
        <f>+'[2]Tariff Summary Lights'!G283</f>
        <v>7.28</v>
      </c>
      <c r="J283" s="298">
        <f t="shared" ca="1" si="37"/>
        <v>-0.33000000000000007</v>
      </c>
    </row>
    <row r="284" spans="1:10">
      <c r="A284" s="443">
        <f t="shared" si="39"/>
        <v>279</v>
      </c>
      <c r="B284" s="443">
        <f t="shared" si="36"/>
        <v>54</v>
      </c>
      <c r="C284" s="300" t="s">
        <v>902</v>
      </c>
      <c r="D284" s="443" t="s">
        <v>869</v>
      </c>
      <c r="E284" s="297">
        <f t="shared" si="38"/>
        <v>41456</v>
      </c>
      <c r="F284" s="296">
        <v>7.6499999999999995</v>
      </c>
      <c r="G284" s="296">
        <f ca="1">+'Exhibit No.__(JAP-LIGHT RD) '!G352</f>
        <v>6.95</v>
      </c>
      <c r="I284" s="298">
        <f>+'[2]Tariff Summary Lights'!G284</f>
        <v>7.28</v>
      </c>
      <c r="J284" s="298">
        <f t="shared" ca="1" si="37"/>
        <v>-0.33000000000000007</v>
      </c>
    </row>
    <row r="285" spans="1:10">
      <c r="A285" s="443">
        <f t="shared" si="39"/>
        <v>280</v>
      </c>
      <c r="B285" s="443">
        <f t="shared" si="36"/>
        <v>54</v>
      </c>
      <c r="C285" s="300" t="s">
        <v>902</v>
      </c>
      <c r="D285" s="443" t="s">
        <v>870</v>
      </c>
      <c r="E285" s="297">
        <f t="shared" si="38"/>
        <v>41456</v>
      </c>
      <c r="F285" s="296">
        <v>7.83</v>
      </c>
      <c r="G285" s="296">
        <f ca="1">+'Exhibit No.__(JAP-LIGHT RD) '!G353</f>
        <v>6.95</v>
      </c>
      <c r="I285" s="298">
        <f>+'[2]Tariff Summary Lights'!G285</f>
        <v>7.28</v>
      </c>
      <c r="J285" s="298">
        <f t="shared" ca="1" si="37"/>
        <v>-0.33000000000000007</v>
      </c>
    </row>
    <row r="286" spans="1:10">
      <c r="A286" s="443">
        <f t="shared" si="39"/>
        <v>281</v>
      </c>
      <c r="B286" s="443">
        <f t="shared" si="36"/>
        <v>54</v>
      </c>
      <c r="C286" s="300" t="s">
        <v>902</v>
      </c>
      <c r="D286" s="443" t="s">
        <v>871</v>
      </c>
      <c r="E286" s="297">
        <f t="shared" si="38"/>
        <v>41456</v>
      </c>
      <c r="F286" s="296">
        <v>8</v>
      </c>
      <c r="G286" s="296">
        <f ca="1">+'Exhibit No.__(JAP-LIGHT RD) '!G354</f>
        <v>6.95</v>
      </c>
      <c r="I286" s="298">
        <f>+'[2]Tariff Summary Lights'!G286</f>
        <v>7.28</v>
      </c>
      <c r="J286" s="298">
        <f t="shared" ca="1" si="37"/>
        <v>-0.33000000000000007</v>
      </c>
    </row>
    <row r="287" spans="1:10">
      <c r="A287" s="443">
        <f t="shared" si="39"/>
        <v>282</v>
      </c>
      <c r="B287" s="443">
        <f t="shared" si="36"/>
        <v>54</v>
      </c>
      <c r="C287" s="300" t="s">
        <v>902</v>
      </c>
      <c r="D287" s="443" t="s">
        <v>872</v>
      </c>
      <c r="E287" s="297">
        <f t="shared" si="38"/>
        <v>41456</v>
      </c>
      <c r="F287" s="296">
        <v>8.19</v>
      </c>
      <c r="G287" s="296">
        <f ca="1">+'Exhibit No.__(JAP-LIGHT RD) '!G355</f>
        <v>6.95</v>
      </c>
      <c r="I287" s="298">
        <f>+'[2]Tariff Summary Lights'!G287</f>
        <v>7.28</v>
      </c>
      <c r="J287" s="298">
        <f t="shared" ca="1" si="37"/>
        <v>-0.33000000000000007</v>
      </c>
    </row>
    <row r="288" spans="1:10">
      <c r="A288" s="443">
        <f t="shared" si="39"/>
        <v>283</v>
      </c>
      <c r="B288" s="443">
        <f t="shared" si="36"/>
        <v>54</v>
      </c>
      <c r="C288" s="300" t="s">
        <v>902</v>
      </c>
      <c r="D288" s="443" t="s">
        <v>873</v>
      </c>
      <c r="E288" s="297">
        <f t="shared" si="38"/>
        <v>41456</v>
      </c>
      <c r="F288" s="296">
        <v>8.36</v>
      </c>
      <c r="G288" s="296">
        <f ca="1">+'Exhibit No.__(JAP-LIGHT RD) '!G356</f>
        <v>6.95</v>
      </c>
      <c r="I288" s="298">
        <f>+'[2]Tariff Summary Lights'!G288</f>
        <v>7.28</v>
      </c>
      <c r="J288" s="298">
        <f t="shared" ca="1" si="37"/>
        <v>-0.33000000000000007</v>
      </c>
    </row>
    <row r="289" spans="1:10">
      <c r="A289" s="443">
        <f t="shared" si="39"/>
        <v>284</v>
      </c>
      <c r="B289" s="443">
        <f t="shared" si="36"/>
        <v>54</v>
      </c>
      <c r="C289" s="300" t="s">
        <v>902</v>
      </c>
      <c r="D289" s="443" t="s">
        <v>874</v>
      </c>
      <c r="E289" s="297">
        <f t="shared" si="38"/>
        <v>41456</v>
      </c>
      <c r="F289" s="296">
        <v>8.5300000000000011</v>
      </c>
      <c r="G289" s="296">
        <f ca="1">+'Exhibit No.__(JAP-LIGHT RD) '!G357</f>
        <v>7.87</v>
      </c>
      <c r="I289" s="298">
        <f>+'[2]Tariff Summary Lights'!G289</f>
        <v>8.25</v>
      </c>
      <c r="J289" s="298">
        <f t="shared" ca="1" si="37"/>
        <v>-0.37999999999999989</v>
      </c>
    </row>
    <row r="290" spans="1:10">
      <c r="A290" s="443">
        <f t="shared" si="39"/>
        <v>285</v>
      </c>
      <c r="B290" s="443">
        <f t="shared" si="36"/>
        <v>54</v>
      </c>
      <c r="C290" s="300" t="s">
        <v>902</v>
      </c>
      <c r="D290" s="443" t="s">
        <v>875</v>
      </c>
      <c r="E290" s="297">
        <f t="shared" si="38"/>
        <v>41456</v>
      </c>
      <c r="F290" s="296">
        <v>8.7100000000000009</v>
      </c>
      <c r="G290" s="296">
        <f ca="1">+'Exhibit No.__(JAP-LIGHT RD) '!G358</f>
        <v>7.87</v>
      </c>
      <c r="I290" s="298">
        <f>+'[2]Tariff Summary Lights'!G290</f>
        <v>8.25</v>
      </c>
      <c r="J290" s="298">
        <f t="shared" ca="1" si="37"/>
        <v>-0.37999999999999989</v>
      </c>
    </row>
    <row r="291" spans="1:10">
      <c r="A291" s="443">
        <f t="shared" si="39"/>
        <v>286</v>
      </c>
      <c r="B291" s="443">
        <f t="shared" si="36"/>
        <v>54</v>
      </c>
      <c r="C291" s="300" t="s">
        <v>902</v>
      </c>
      <c r="D291" s="443" t="s">
        <v>876</v>
      </c>
      <c r="E291" s="297">
        <f t="shared" si="38"/>
        <v>41456</v>
      </c>
      <c r="F291" s="296">
        <v>8.8800000000000008</v>
      </c>
      <c r="G291" s="296">
        <f ca="1">+'Exhibit No.__(JAP-LIGHT RD) '!G359</f>
        <v>7.87</v>
      </c>
      <c r="I291" s="298">
        <f>+'[2]Tariff Summary Lights'!G291</f>
        <v>8.25</v>
      </c>
      <c r="J291" s="298">
        <f t="shared" ca="1" si="37"/>
        <v>-0.37999999999999989</v>
      </c>
    </row>
    <row r="292" spans="1:10">
      <c r="A292" s="443">
        <f t="shared" si="39"/>
        <v>287</v>
      </c>
      <c r="B292" s="443">
        <f t="shared" si="36"/>
        <v>54</v>
      </c>
      <c r="C292" s="300" t="s">
        <v>902</v>
      </c>
      <c r="D292" s="443" t="s">
        <v>877</v>
      </c>
      <c r="E292" s="297">
        <f t="shared" si="38"/>
        <v>41456</v>
      </c>
      <c r="F292" s="296">
        <v>9.06</v>
      </c>
      <c r="G292" s="296">
        <f ca="1">+'Exhibit No.__(JAP-LIGHT RD) '!G360</f>
        <v>7.87</v>
      </c>
      <c r="I292" s="298">
        <f>+'[2]Tariff Summary Lights'!G292</f>
        <v>8.25</v>
      </c>
      <c r="J292" s="298">
        <f t="shared" ca="1" si="37"/>
        <v>-0.37999999999999989</v>
      </c>
    </row>
    <row r="293" spans="1:10">
      <c r="A293" s="443">
        <f t="shared" si="39"/>
        <v>288</v>
      </c>
      <c r="B293" s="443">
        <f t="shared" si="36"/>
        <v>54</v>
      </c>
      <c r="C293" s="300" t="s">
        <v>902</v>
      </c>
      <c r="D293" s="443" t="s">
        <v>878</v>
      </c>
      <c r="E293" s="297">
        <f t="shared" si="38"/>
        <v>41456</v>
      </c>
      <c r="F293" s="296">
        <v>9.23</v>
      </c>
      <c r="G293" s="296">
        <f ca="1">+'Exhibit No.__(JAP-LIGHT RD) '!G361</f>
        <v>7.87</v>
      </c>
      <c r="I293" s="298">
        <f>+'[2]Tariff Summary Lights'!G293</f>
        <v>8.25</v>
      </c>
      <c r="J293" s="298">
        <f t="shared" ca="1" si="37"/>
        <v>-0.37999999999999989</v>
      </c>
    </row>
    <row r="294" spans="1:10">
      <c r="A294" s="443">
        <f t="shared" si="39"/>
        <v>289</v>
      </c>
      <c r="B294" s="443">
        <f t="shared" si="36"/>
        <v>54</v>
      </c>
      <c r="C294" s="300" t="s">
        <v>902</v>
      </c>
      <c r="D294" s="443" t="s">
        <v>879</v>
      </c>
      <c r="E294" s="297">
        <f t="shared" si="38"/>
        <v>41456</v>
      </c>
      <c r="F294" s="296">
        <v>9.4200000000000017</v>
      </c>
      <c r="G294" s="296">
        <f ca="1">+'Exhibit No.__(JAP-LIGHT RD) '!G362</f>
        <v>7.87</v>
      </c>
      <c r="I294" s="298">
        <f>+'[2]Tariff Summary Lights'!G294</f>
        <v>8.25</v>
      </c>
      <c r="J294" s="298">
        <f t="shared" ca="1" si="37"/>
        <v>-0.37999999999999989</v>
      </c>
    </row>
    <row r="295" spans="1:10">
      <c r="A295" s="443">
        <f t="shared" si="39"/>
        <v>290</v>
      </c>
      <c r="B295" s="443">
        <f t="shared" si="36"/>
        <v>54</v>
      </c>
      <c r="C295" s="300" t="s">
        <v>902</v>
      </c>
      <c r="D295" s="443" t="s">
        <v>880</v>
      </c>
      <c r="E295" s="297">
        <f t="shared" si="38"/>
        <v>41456</v>
      </c>
      <c r="F295" s="296">
        <v>9.59</v>
      </c>
      <c r="G295" s="296">
        <f ca="1">+'Exhibit No.__(JAP-LIGHT RD) '!G363</f>
        <v>8.8000000000000007</v>
      </c>
      <c r="I295" s="298">
        <f>+'[2]Tariff Summary Lights'!G295</f>
        <v>9.2200000000000006</v>
      </c>
      <c r="J295" s="298">
        <f t="shared" ca="1" si="37"/>
        <v>-0.41999999999999993</v>
      </c>
    </row>
    <row r="296" spans="1:10">
      <c r="A296" s="443">
        <f t="shared" si="39"/>
        <v>291</v>
      </c>
      <c r="B296" s="443">
        <f t="shared" si="36"/>
        <v>54</v>
      </c>
      <c r="C296" s="300" t="s">
        <v>902</v>
      </c>
      <c r="D296" s="443" t="s">
        <v>881</v>
      </c>
      <c r="E296" s="297">
        <f t="shared" si="38"/>
        <v>41456</v>
      </c>
      <c r="F296" s="296">
        <v>9.77</v>
      </c>
      <c r="G296" s="296">
        <f ca="1">+'Exhibit No.__(JAP-LIGHT RD) '!G364</f>
        <v>8.8000000000000007</v>
      </c>
      <c r="I296" s="298">
        <f>+'[2]Tariff Summary Lights'!G296</f>
        <v>9.2200000000000006</v>
      </c>
      <c r="J296" s="298">
        <f t="shared" ca="1" si="37"/>
        <v>-0.41999999999999993</v>
      </c>
    </row>
    <row r="297" spans="1:10">
      <c r="A297" s="443">
        <f t="shared" si="39"/>
        <v>292</v>
      </c>
      <c r="B297" s="443">
        <f t="shared" si="36"/>
        <v>54</v>
      </c>
      <c r="C297" s="300" t="s">
        <v>902</v>
      </c>
      <c r="D297" s="443" t="s">
        <v>882</v>
      </c>
      <c r="E297" s="297">
        <f t="shared" si="38"/>
        <v>41456</v>
      </c>
      <c r="F297" s="296">
        <v>9.94</v>
      </c>
      <c r="G297" s="296">
        <f ca="1">+'Exhibit No.__(JAP-LIGHT RD) '!G365</f>
        <v>8.8000000000000007</v>
      </c>
      <c r="I297" s="298">
        <f>+'[2]Tariff Summary Lights'!G297</f>
        <v>9.2200000000000006</v>
      </c>
      <c r="J297" s="298">
        <f t="shared" ca="1" si="37"/>
        <v>-0.41999999999999993</v>
      </c>
    </row>
    <row r="298" spans="1:10">
      <c r="A298" s="443">
        <f t="shared" si="39"/>
        <v>293</v>
      </c>
      <c r="B298" s="443">
        <f t="shared" si="36"/>
        <v>54</v>
      </c>
      <c r="C298" s="300" t="s">
        <v>902</v>
      </c>
      <c r="D298" s="443" t="s">
        <v>883</v>
      </c>
      <c r="E298" s="297">
        <f t="shared" si="38"/>
        <v>41456</v>
      </c>
      <c r="F298" s="296">
        <v>10.119999999999999</v>
      </c>
      <c r="G298" s="296">
        <f ca="1">+'Exhibit No.__(JAP-LIGHT RD) '!G366</f>
        <v>8.8000000000000007</v>
      </c>
      <c r="I298" s="298">
        <f>+'[2]Tariff Summary Lights'!G298</f>
        <v>9.2200000000000006</v>
      </c>
      <c r="J298" s="298">
        <f t="shared" ca="1" si="37"/>
        <v>-0.41999999999999993</v>
      </c>
    </row>
    <row r="299" spans="1:10">
      <c r="A299" s="443">
        <f t="shared" si="39"/>
        <v>294</v>
      </c>
      <c r="B299" s="443">
        <f t="shared" si="36"/>
        <v>54</v>
      </c>
      <c r="C299" s="300" t="s">
        <v>902</v>
      </c>
      <c r="D299" s="443" t="s">
        <v>884</v>
      </c>
      <c r="E299" s="297">
        <f t="shared" si="38"/>
        <v>41456</v>
      </c>
      <c r="F299" s="296">
        <v>10.29</v>
      </c>
      <c r="G299" s="296">
        <f ca="1">+'Exhibit No.__(JAP-LIGHT RD) '!G367</f>
        <v>8.8000000000000007</v>
      </c>
      <c r="I299" s="298">
        <f>+'[2]Tariff Summary Lights'!G299</f>
        <v>9.2200000000000006</v>
      </c>
      <c r="J299" s="298">
        <f t="shared" ca="1" si="37"/>
        <v>-0.41999999999999993</v>
      </c>
    </row>
    <row r="300" spans="1:10">
      <c r="A300" s="443">
        <f t="shared" si="39"/>
        <v>295</v>
      </c>
      <c r="B300" s="443">
        <f t="shared" si="36"/>
        <v>54</v>
      </c>
      <c r="C300" s="300" t="s">
        <v>902</v>
      </c>
      <c r="D300" s="443" t="s">
        <v>885</v>
      </c>
      <c r="E300" s="297">
        <f t="shared" si="38"/>
        <v>41456</v>
      </c>
      <c r="F300" s="296">
        <v>10.459999999999999</v>
      </c>
      <c r="G300" s="296">
        <f ca="1">+'Exhibit No.__(JAP-LIGHT RD) '!G368</f>
        <v>8.8000000000000007</v>
      </c>
      <c r="I300" s="298">
        <f>+'[2]Tariff Summary Lights'!G300</f>
        <v>9.2200000000000006</v>
      </c>
      <c r="J300" s="298">
        <f t="shared" ca="1" si="37"/>
        <v>-0.41999999999999993</v>
      </c>
    </row>
    <row r="301" spans="1:10">
      <c r="A301" s="443">
        <f t="shared" si="39"/>
        <v>296</v>
      </c>
      <c r="B301" s="443"/>
      <c r="C301" s="289"/>
      <c r="D301" s="443"/>
      <c r="E301" s="297"/>
      <c r="F301" s="289"/>
      <c r="G301" s="296"/>
      <c r="I301" s="298"/>
      <c r="J301" s="298"/>
    </row>
    <row r="302" spans="1:10">
      <c r="A302" s="443">
        <f t="shared" si="39"/>
        <v>297</v>
      </c>
      <c r="B302" s="443" t="s">
        <v>903</v>
      </c>
      <c r="C302" s="289" t="s">
        <v>904</v>
      </c>
      <c r="D302" s="443" t="s">
        <v>888</v>
      </c>
      <c r="E302" s="297">
        <f t="shared" ref="E302:E307" si="40">+$E$6</f>
        <v>41456</v>
      </c>
      <c r="F302" s="296">
        <v>10.42</v>
      </c>
      <c r="G302" s="296">
        <f ca="1">+'Exhibit No.__(JAP-LIGHT RD) '!G381</f>
        <v>11.24</v>
      </c>
      <c r="I302" s="298">
        <f>+'[2]Tariff Summary Lights'!G302</f>
        <v>11.77</v>
      </c>
      <c r="J302" s="298">
        <f t="shared" ref="J302:J307" ca="1" si="41">+G302-I302</f>
        <v>-0.52999999999999936</v>
      </c>
    </row>
    <row r="303" spans="1:10">
      <c r="A303" s="443">
        <f t="shared" si="39"/>
        <v>298</v>
      </c>
      <c r="B303" s="443" t="str">
        <f>+$B$302</f>
        <v>55 (56)</v>
      </c>
      <c r="C303" s="289" t="s">
        <v>904</v>
      </c>
      <c r="D303" s="443" t="s">
        <v>823</v>
      </c>
      <c r="E303" s="297">
        <f t="shared" si="40"/>
        <v>41456</v>
      </c>
      <c r="F303" s="296">
        <v>11.72</v>
      </c>
      <c r="G303" s="296">
        <f ca="1">+'Exhibit No.__(JAP-LIGHT RD) '!G382</f>
        <v>12.42</v>
      </c>
      <c r="I303" s="298">
        <f>+'[2]Tariff Summary Lights'!G303</f>
        <v>13</v>
      </c>
      <c r="J303" s="298">
        <f t="shared" ca="1" si="41"/>
        <v>-0.58000000000000007</v>
      </c>
    </row>
    <row r="304" spans="1:10">
      <c r="A304" s="443">
        <f t="shared" si="39"/>
        <v>299</v>
      </c>
      <c r="B304" s="443" t="str">
        <f>+$B$302</f>
        <v>55 (56)</v>
      </c>
      <c r="C304" s="289" t="s">
        <v>904</v>
      </c>
      <c r="D304" s="443" t="s">
        <v>889</v>
      </c>
      <c r="E304" s="297">
        <f t="shared" si="40"/>
        <v>41456</v>
      </c>
      <c r="F304" s="296">
        <v>13.97</v>
      </c>
      <c r="G304" s="296">
        <f ca="1">+'Exhibit No.__(JAP-LIGHT RD) '!G383</f>
        <v>14.38</v>
      </c>
      <c r="I304" s="298">
        <f>+'[2]Tariff Summary Lights'!G304</f>
        <v>15.06</v>
      </c>
      <c r="J304" s="298">
        <f t="shared" ca="1" si="41"/>
        <v>-0.67999999999999972</v>
      </c>
    </row>
    <row r="305" spans="1:10">
      <c r="A305" s="443">
        <f t="shared" si="39"/>
        <v>300</v>
      </c>
      <c r="B305" s="443" t="str">
        <f>+$B$302</f>
        <v>55 (56)</v>
      </c>
      <c r="C305" s="289" t="s">
        <v>904</v>
      </c>
      <c r="D305" s="443" t="s">
        <v>890</v>
      </c>
      <c r="E305" s="297">
        <f t="shared" si="40"/>
        <v>41456</v>
      </c>
      <c r="F305" s="296">
        <v>16.75</v>
      </c>
      <c r="G305" s="296">
        <f ca="1">+'Exhibit No.__(JAP-LIGHT RD) '!G384</f>
        <v>16.350000000000001</v>
      </c>
      <c r="I305" s="298">
        <f>+'[2]Tariff Summary Lights'!G305</f>
        <v>17.11</v>
      </c>
      <c r="J305" s="298">
        <f t="shared" ca="1" si="41"/>
        <v>-0.75999999999999801</v>
      </c>
    </row>
    <row r="306" spans="1:10">
      <c r="A306" s="443">
        <f t="shared" si="39"/>
        <v>301</v>
      </c>
      <c r="B306" s="443" t="str">
        <f>+$B$302</f>
        <v>55 (56)</v>
      </c>
      <c r="C306" s="289" t="s">
        <v>904</v>
      </c>
      <c r="D306" s="443" t="s">
        <v>891</v>
      </c>
      <c r="E306" s="297">
        <f t="shared" si="40"/>
        <v>41456</v>
      </c>
      <c r="F306" s="296">
        <v>18.88</v>
      </c>
      <c r="G306" s="296">
        <f ca="1">+'Exhibit No.__(JAP-LIGHT RD) '!G385</f>
        <v>18.32</v>
      </c>
      <c r="I306" s="298">
        <f>+'[2]Tariff Summary Lights'!G306</f>
        <v>19.170000000000002</v>
      </c>
      <c r="J306" s="298">
        <f t="shared" ca="1" si="41"/>
        <v>-0.85000000000000142</v>
      </c>
    </row>
    <row r="307" spans="1:10">
      <c r="A307" s="443">
        <f t="shared" si="39"/>
        <v>302</v>
      </c>
      <c r="B307" s="443" t="str">
        <f>+$B$302</f>
        <v>55 (56)</v>
      </c>
      <c r="C307" s="289" t="s">
        <v>904</v>
      </c>
      <c r="D307" s="443" t="s">
        <v>825</v>
      </c>
      <c r="E307" s="297">
        <f t="shared" si="40"/>
        <v>41456</v>
      </c>
      <c r="F307" s="296">
        <v>25.48</v>
      </c>
      <c r="G307" s="296">
        <f ca="1">+'Exhibit No.__(JAP-LIGHT RD) '!G386</f>
        <v>24.22</v>
      </c>
      <c r="I307" s="298">
        <f>+'[2]Tariff Summary Lights'!G307</f>
        <v>25.34</v>
      </c>
      <c r="J307" s="298">
        <f t="shared" ca="1" si="41"/>
        <v>-1.120000000000001</v>
      </c>
    </row>
    <row r="308" spans="1:10">
      <c r="A308" s="443">
        <f t="shared" si="39"/>
        <v>303</v>
      </c>
      <c r="B308" s="443"/>
      <c r="C308" s="289"/>
      <c r="D308" s="443"/>
      <c r="E308" s="297"/>
      <c r="F308" s="296"/>
      <c r="G308" s="296"/>
      <c r="I308" s="298"/>
      <c r="J308" s="298"/>
    </row>
    <row r="309" spans="1:10">
      <c r="A309" s="443">
        <f t="shared" si="39"/>
        <v>304</v>
      </c>
      <c r="B309" s="443" t="str">
        <f>+$B$302</f>
        <v>55 (56)</v>
      </c>
      <c r="C309" s="289" t="s">
        <v>905</v>
      </c>
      <c r="D309" s="443" t="s">
        <v>891</v>
      </c>
      <c r="E309" s="297">
        <f>+$E$6</f>
        <v>41456</v>
      </c>
      <c r="F309" s="296">
        <v>21.79</v>
      </c>
      <c r="G309" s="296">
        <f ca="1">+'Exhibit No.__(JAP-LIGHT RD) '!G388</f>
        <v>21.4</v>
      </c>
      <c r="I309" s="298">
        <f>+'[2]Tariff Summary Lights'!G309</f>
        <v>22.49</v>
      </c>
      <c r="J309" s="298">
        <f ca="1">+G309-I309</f>
        <v>-1.0899999999999999</v>
      </c>
    </row>
    <row r="310" spans="1:10">
      <c r="A310" s="443">
        <f t="shared" si="39"/>
        <v>305</v>
      </c>
      <c r="B310" s="443"/>
      <c r="C310" s="289"/>
      <c r="D310" s="443"/>
      <c r="E310" s="297"/>
      <c r="F310" s="296"/>
      <c r="G310" s="296"/>
      <c r="I310" s="298"/>
      <c r="J310" s="298"/>
    </row>
    <row r="311" spans="1:10">
      <c r="A311" s="443">
        <f t="shared" si="39"/>
        <v>306</v>
      </c>
      <c r="B311" s="443" t="str">
        <f t="shared" ref="B311:B331" si="42">+$B$302</f>
        <v>55 (56)</v>
      </c>
      <c r="C311" s="300" t="s">
        <v>906</v>
      </c>
      <c r="D311" s="443" t="s">
        <v>832</v>
      </c>
      <c r="E311" s="297">
        <f>+E306</f>
        <v>41456</v>
      </c>
      <c r="F311" s="296">
        <v>9.2100000000000009</v>
      </c>
      <c r="G311" s="296">
        <f ca="1">+'Exhibit No.__(JAP-LIGHT RD) '!G390</f>
        <v>11.88</v>
      </c>
      <c r="I311" s="298">
        <f>+'[2]Tariff Summary Lights'!G311</f>
        <v>12.3</v>
      </c>
      <c r="J311" s="298">
        <f t="shared" ref="J311:J331" ca="1" si="43">+G311-I311</f>
        <v>-0.41999999999999993</v>
      </c>
    </row>
    <row r="312" spans="1:10">
      <c r="A312" s="443">
        <f t="shared" si="39"/>
        <v>307</v>
      </c>
      <c r="B312" s="443" t="str">
        <f t="shared" si="42"/>
        <v>55 (56)</v>
      </c>
      <c r="C312" s="300" t="s">
        <v>906</v>
      </c>
      <c r="D312" s="443" t="s">
        <v>833</v>
      </c>
      <c r="E312" s="297">
        <f>+E311</f>
        <v>41456</v>
      </c>
      <c r="F312" s="296">
        <v>9.39</v>
      </c>
      <c r="G312" s="296">
        <f ca="1">+'Exhibit No.__(JAP-LIGHT RD) '!G391</f>
        <v>11.88</v>
      </c>
      <c r="I312" s="298">
        <f>+'[2]Tariff Summary Lights'!G312</f>
        <v>12.3</v>
      </c>
      <c r="J312" s="298">
        <f t="shared" ca="1" si="43"/>
        <v>-0.41999999999999993</v>
      </c>
    </row>
    <row r="313" spans="1:10">
      <c r="A313" s="443">
        <f t="shared" si="39"/>
        <v>308</v>
      </c>
      <c r="B313" s="443" t="str">
        <f t="shared" si="42"/>
        <v>55 (56)</v>
      </c>
      <c r="C313" s="300" t="s">
        <v>906</v>
      </c>
      <c r="D313" s="443" t="s">
        <v>834</v>
      </c>
      <c r="E313" s="297">
        <f t="shared" ref="E313:E324" si="44">+E312</f>
        <v>41456</v>
      </c>
      <c r="F313" s="296">
        <v>9.56</v>
      </c>
      <c r="G313" s="296">
        <f ca="1">+'Exhibit No.__(JAP-LIGHT RD) '!G392</f>
        <v>11.88</v>
      </c>
      <c r="I313" s="298">
        <f>+'[2]Tariff Summary Lights'!G313</f>
        <v>12.3</v>
      </c>
      <c r="J313" s="298">
        <f t="shared" ca="1" si="43"/>
        <v>-0.41999999999999993</v>
      </c>
    </row>
    <row r="314" spans="1:10">
      <c r="A314" s="443">
        <f t="shared" si="39"/>
        <v>309</v>
      </c>
      <c r="B314" s="443" t="str">
        <f t="shared" si="42"/>
        <v>55 (56)</v>
      </c>
      <c r="C314" s="300" t="s">
        <v>906</v>
      </c>
      <c r="D314" s="443" t="s">
        <v>835</v>
      </c>
      <c r="E314" s="297">
        <f t="shared" si="44"/>
        <v>41456</v>
      </c>
      <c r="F314" s="296">
        <v>9.74</v>
      </c>
      <c r="G314" s="296">
        <f ca="1">+'Exhibit No.__(JAP-LIGHT RD) '!G393</f>
        <v>11.88</v>
      </c>
      <c r="I314" s="298">
        <f>+'[2]Tariff Summary Lights'!G314</f>
        <v>12.3</v>
      </c>
      <c r="J314" s="298">
        <f t="shared" ca="1" si="43"/>
        <v>-0.41999999999999993</v>
      </c>
    </row>
    <row r="315" spans="1:10">
      <c r="A315" s="443">
        <f t="shared" si="39"/>
        <v>310</v>
      </c>
      <c r="B315" s="443" t="str">
        <f t="shared" si="42"/>
        <v>55 (56)</v>
      </c>
      <c r="C315" s="300" t="s">
        <v>906</v>
      </c>
      <c r="D315" s="443" t="s">
        <v>836</v>
      </c>
      <c r="E315" s="297">
        <f t="shared" si="44"/>
        <v>41456</v>
      </c>
      <c r="F315" s="296">
        <v>9.91</v>
      </c>
      <c r="G315" s="296">
        <f ca="1">+'Exhibit No.__(JAP-LIGHT RD) '!G394</f>
        <v>11.88</v>
      </c>
      <c r="I315" s="298">
        <f>+'[2]Tariff Summary Lights'!G315</f>
        <v>12.3</v>
      </c>
      <c r="J315" s="298">
        <f t="shared" ca="1" si="43"/>
        <v>-0.41999999999999993</v>
      </c>
    </row>
    <row r="316" spans="1:10">
      <c r="A316" s="443">
        <f t="shared" si="39"/>
        <v>311</v>
      </c>
      <c r="B316" s="443" t="str">
        <f t="shared" si="42"/>
        <v>55 (56)</v>
      </c>
      <c r="C316" s="300" t="s">
        <v>906</v>
      </c>
      <c r="D316" s="443" t="s">
        <v>837</v>
      </c>
      <c r="E316" s="297">
        <f t="shared" si="44"/>
        <v>41456</v>
      </c>
      <c r="F316" s="296">
        <v>10.09</v>
      </c>
      <c r="G316" s="296">
        <f ca="1">+'Exhibit No.__(JAP-LIGHT RD) '!G395</f>
        <v>11.88</v>
      </c>
      <c r="I316" s="298">
        <f>+'[2]Tariff Summary Lights'!G316</f>
        <v>12.3</v>
      </c>
      <c r="J316" s="298">
        <f t="shared" ca="1" si="43"/>
        <v>-0.41999999999999993</v>
      </c>
    </row>
    <row r="317" spans="1:10">
      <c r="A317" s="443">
        <f t="shared" si="39"/>
        <v>312</v>
      </c>
      <c r="B317" s="443" t="str">
        <f t="shared" si="42"/>
        <v>55 (56)</v>
      </c>
      <c r="C317" s="300" t="s">
        <v>906</v>
      </c>
      <c r="D317" s="443" t="s">
        <v>838</v>
      </c>
      <c r="E317" s="297">
        <f t="shared" si="44"/>
        <v>41456</v>
      </c>
      <c r="F317" s="296">
        <v>10.27</v>
      </c>
      <c r="G317" s="296">
        <f ca="1">+'Exhibit No.__(JAP-LIGHT RD) '!G396</f>
        <v>12.99</v>
      </c>
      <c r="I317" s="298">
        <f>+'[2]Tariff Summary Lights'!G317</f>
        <v>13.46</v>
      </c>
      <c r="J317" s="298">
        <f t="shared" ca="1" si="43"/>
        <v>-0.47000000000000064</v>
      </c>
    </row>
    <row r="318" spans="1:10">
      <c r="A318" s="443">
        <f t="shared" si="39"/>
        <v>313</v>
      </c>
      <c r="B318" s="443" t="str">
        <f t="shared" si="42"/>
        <v>55 (56)</v>
      </c>
      <c r="C318" s="300" t="s">
        <v>906</v>
      </c>
      <c r="D318" s="443" t="s">
        <v>839</v>
      </c>
      <c r="E318" s="297">
        <f t="shared" si="44"/>
        <v>41456</v>
      </c>
      <c r="F318" s="296">
        <v>10.44</v>
      </c>
      <c r="G318" s="296">
        <f ca="1">+'Exhibit No.__(JAP-LIGHT RD) '!G397</f>
        <v>12.99</v>
      </c>
      <c r="I318" s="298">
        <f>+'[2]Tariff Summary Lights'!G318</f>
        <v>13.46</v>
      </c>
      <c r="J318" s="298">
        <f t="shared" ca="1" si="43"/>
        <v>-0.47000000000000064</v>
      </c>
    </row>
    <row r="319" spans="1:10">
      <c r="A319" s="443">
        <f t="shared" si="39"/>
        <v>314</v>
      </c>
      <c r="B319" s="443" t="str">
        <f t="shared" si="42"/>
        <v>55 (56)</v>
      </c>
      <c r="C319" s="300" t="s">
        <v>906</v>
      </c>
      <c r="D319" s="443" t="s">
        <v>840</v>
      </c>
      <c r="E319" s="297">
        <f t="shared" si="44"/>
        <v>41456</v>
      </c>
      <c r="F319" s="296">
        <v>10.62</v>
      </c>
      <c r="G319" s="296">
        <f ca="1">+'Exhibit No.__(JAP-LIGHT RD) '!G398</f>
        <v>12.99</v>
      </c>
      <c r="I319" s="298">
        <f>+'[2]Tariff Summary Lights'!G319</f>
        <v>13.46</v>
      </c>
      <c r="J319" s="298">
        <f t="shared" ca="1" si="43"/>
        <v>-0.47000000000000064</v>
      </c>
    </row>
    <row r="320" spans="1:10">
      <c r="A320" s="443">
        <f t="shared" si="39"/>
        <v>315</v>
      </c>
      <c r="B320" s="443" t="str">
        <f t="shared" si="42"/>
        <v>55 (56)</v>
      </c>
      <c r="C320" s="300" t="s">
        <v>906</v>
      </c>
      <c r="D320" s="443" t="s">
        <v>841</v>
      </c>
      <c r="E320" s="297">
        <f t="shared" si="44"/>
        <v>41456</v>
      </c>
      <c r="F320" s="296">
        <v>10.79</v>
      </c>
      <c r="G320" s="296">
        <f ca="1">+'Exhibit No.__(JAP-LIGHT RD) '!G399</f>
        <v>12.99</v>
      </c>
      <c r="I320" s="298">
        <f>+'[2]Tariff Summary Lights'!G320</f>
        <v>13.46</v>
      </c>
      <c r="J320" s="298">
        <f t="shared" ca="1" si="43"/>
        <v>-0.47000000000000064</v>
      </c>
    </row>
    <row r="321" spans="1:10">
      <c r="A321" s="443">
        <f t="shared" si="39"/>
        <v>316</v>
      </c>
      <c r="B321" s="443" t="str">
        <f t="shared" si="42"/>
        <v>55 (56)</v>
      </c>
      <c r="C321" s="300" t="s">
        <v>906</v>
      </c>
      <c r="D321" s="443" t="s">
        <v>842</v>
      </c>
      <c r="E321" s="297">
        <f t="shared" si="44"/>
        <v>41456</v>
      </c>
      <c r="F321" s="296">
        <v>10.97</v>
      </c>
      <c r="G321" s="296">
        <f ca="1">+'Exhibit No.__(JAP-LIGHT RD) '!G400</f>
        <v>12.99</v>
      </c>
      <c r="I321" s="298">
        <f>+'[2]Tariff Summary Lights'!G321</f>
        <v>13.46</v>
      </c>
      <c r="J321" s="298">
        <f t="shared" ca="1" si="43"/>
        <v>-0.47000000000000064</v>
      </c>
    </row>
    <row r="322" spans="1:10">
      <c r="A322" s="443">
        <f t="shared" si="39"/>
        <v>317</v>
      </c>
      <c r="B322" s="443" t="str">
        <f t="shared" si="42"/>
        <v>55 (56)</v>
      </c>
      <c r="C322" s="300" t="s">
        <v>906</v>
      </c>
      <c r="D322" s="443" t="s">
        <v>843</v>
      </c>
      <c r="E322" s="297">
        <f t="shared" si="44"/>
        <v>41456</v>
      </c>
      <c r="F322" s="296">
        <v>11.14</v>
      </c>
      <c r="G322" s="296">
        <f ca="1">+'Exhibit No.__(JAP-LIGHT RD) '!G401</f>
        <v>12.99</v>
      </c>
      <c r="I322" s="298">
        <f>+'[2]Tariff Summary Lights'!G322</f>
        <v>13.46</v>
      </c>
      <c r="J322" s="298">
        <f t="shared" ca="1" si="43"/>
        <v>-0.47000000000000064</v>
      </c>
    </row>
    <row r="323" spans="1:10">
      <c r="A323" s="443">
        <f t="shared" si="39"/>
        <v>318</v>
      </c>
      <c r="B323" s="443" t="str">
        <f t="shared" si="42"/>
        <v>55 (56)</v>
      </c>
      <c r="C323" s="300" t="s">
        <v>906</v>
      </c>
      <c r="D323" s="443" t="s">
        <v>844</v>
      </c>
      <c r="E323" s="297">
        <f t="shared" si="44"/>
        <v>41456</v>
      </c>
      <c r="F323" s="296">
        <v>11.33</v>
      </c>
      <c r="G323" s="296">
        <f ca="1">+'Exhibit No.__(JAP-LIGHT RD) '!G402</f>
        <v>14.1</v>
      </c>
      <c r="I323" s="298">
        <f>+'[2]Tariff Summary Lights'!G323</f>
        <v>14.62</v>
      </c>
      <c r="J323" s="298">
        <f t="shared" ca="1" si="43"/>
        <v>-0.51999999999999957</v>
      </c>
    </row>
    <row r="324" spans="1:10">
      <c r="A324" s="443">
        <f t="shared" si="39"/>
        <v>319</v>
      </c>
      <c r="B324" s="443" t="str">
        <f t="shared" si="42"/>
        <v>55 (56)</v>
      </c>
      <c r="C324" s="300" t="s">
        <v>906</v>
      </c>
      <c r="D324" s="443" t="s">
        <v>845</v>
      </c>
      <c r="E324" s="297">
        <f t="shared" si="44"/>
        <v>41456</v>
      </c>
      <c r="F324" s="296">
        <v>11.5</v>
      </c>
      <c r="G324" s="296">
        <f ca="1">+'Exhibit No.__(JAP-LIGHT RD) '!G403</f>
        <v>14.1</v>
      </c>
      <c r="I324" s="298">
        <f>+'[2]Tariff Summary Lights'!G324</f>
        <v>14.62</v>
      </c>
      <c r="J324" s="298">
        <f t="shared" ca="1" si="43"/>
        <v>-0.51999999999999957</v>
      </c>
    </row>
    <row r="325" spans="1:10">
      <c r="A325" s="443">
        <f t="shared" si="39"/>
        <v>320</v>
      </c>
      <c r="B325" s="443" t="str">
        <f t="shared" si="42"/>
        <v>55 (56)</v>
      </c>
      <c r="C325" s="300" t="s">
        <v>906</v>
      </c>
      <c r="D325" s="443" t="s">
        <v>907</v>
      </c>
      <c r="E325" s="297" t="s">
        <v>908</v>
      </c>
      <c r="F325" s="297" t="s">
        <v>908</v>
      </c>
      <c r="G325" s="296">
        <f ca="1">+'Exhibit No.__(JAP-LIGHT RD) '!G404</f>
        <v>14.1</v>
      </c>
      <c r="I325" s="298">
        <f>+'[2]Tariff Summary Lights'!G325</f>
        <v>14.62</v>
      </c>
      <c r="J325" s="298">
        <f t="shared" ca="1" si="43"/>
        <v>-0.51999999999999957</v>
      </c>
    </row>
    <row r="326" spans="1:10">
      <c r="A326" s="443">
        <f t="shared" si="39"/>
        <v>321</v>
      </c>
      <c r="B326" s="443" t="str">
        <f t="shared" si="42"/>
        <v>55 (56)</v>
      </c>
      <c r="C326" s="300" t="s">
        <v>906</v>
      </c>
      <c r="D326" s="443" t="s">
        <v>909</v>
      </c>
      <c r="E326" s="297" t="s">
        <v>908</v>
      </c>
      <c r="F326" s="297" t="s">
        <v>908</v>
      </c>
      <c r="G326" s="296">
        <f ca="1">+'Exhibit No.__(JAP-LIGHT RD) '!G405</f>
        <v>15.21</v>
      </c>
      <c r="I326" s="298">
        <f>+'[2]Tariff Summary Lights'!G326</f>
        <v>15.78</v>
      </c>
      <c r="J326" s="298">
        <f t="shared" ca="1" si="43"/>
        <v>-0.56999999999999851</v>
      </c>
    </row>
    <row r="327" spans="1:10">
      <c r="A327" s="443">
        <f t="shared" si="39"/>
        <v>322</v>
      </c>
      <c r="B327" s="443" t="str">
        <f t="shared" si="42"/>
        <v>55 (56)</v>
      </c>
      <c r="C327" s="300" t="s">
        <v>906</v>
      </c>
      <c r="D327" s="443" t="s">
        <v>910</v>
      </c>
      <c r="E327" s="297" t="s">
        <v>908</v>
      </c>
      <c r="F327" s="297" t="s">
        <v>908</v>
      </c>
      <c r="G327" s="296">
        <f ca="1">+'Exhibit No.__(JAP-LIGHT RD) '!G406</f>
        <v>16.32</v>
      </c>
      <c r="I327" s="298">
        <f>+'[2]Tariff Summary Lights'!G327</f>
        <v>16.940000000000001</v>
      </c>
      <c r="J327" s="298">
        <f t="shared" ca="1" si="43"/>
        <v>-0.62000000000000099</v>
      </c>
    </row>
    <row r="328" spans="1:10">
      <c r="A328" s="443">
        <f t="shared" ref="A328:A391" si="45">+A327+1</f>
        <v>323</v>
      </c>
      <c r="B328" s="443" t="str">
        <f t="shared" si="42"/>
        <v>55 (56)</v>
      </c>
      <c r="C328" s="300" t="s">
        <v>906</v>
      </c>
      <c r="D328" s="443" t="s">
        <v>911</v>
      </c>
      <c r="E328" s="297" t="s">
        <v>908</v>
      </c>
      <c r="F328" s="297" t="s">
        <v>908</v>
      </c>
      <c r="G328" s="296">
        <f ca="1">+'Exhibit No.__(JAP-LIGHT RD) '!G407</f>
        <v>17.420000000000002</v>
      </c>
      <c r="I328" s="298">
        <f>+'[2]Tariff Summary Lights'!G328</f>
        <v>18.100000000000001</v>
      </c>
      <c r="J328" s="298">
        <f t="shared" ca="1" si="43"/>
        <v>-0.67999999999999972</v>
      </c>
    </row>
    <row r="329" spans="1:10">
      <c r="A329" s="443">
        <f t="shared" si="45"/>
        <v>324</v>
      </c>
      <c r="B329" s="443" t="str">
        <f t="shared" si="42"/>
        <v>55 (56)</v>
      </c>
      <c r="C329" s="300" t="s">
        <v>906</v>
      </c>
      <c r="D329" s="443" t="s">
        <v>912</v>
      </c>
      <c r="E329" s="297" t="s">
        <v>908</v>
      </c>
      <c r="F329" s="297" t="s">
        <v>908</v>
      </c>
      <c r="G329" s="296">
        <f ca="1">+'Exhibit No.__(JAP-LIGHT RD) '!G408</f>
        <v>18.53</v>
      </c>
      <c r="I329" s="298">
        <f>+'[2]Tariff Summary Lights'!G329</f>
        <v>19.260000000000002</v>
      </c>
      <c r="J329" s="298">
        <f t="shared" ca="1" si="43"/>
        <v>-0.73000000000000043</v>
      </c>
    </row>
    <row r="330" spans="1:10">
      <c r="A330" s="443">
        <f t="shared" si="45"/>
        <v>325</v>
      </c>
      <c r="B330" s="443" t="str">
        <f t="shared" si="42"/>
        <v>55 (56)</v>
      </c>
      <c r="C330" s="300" t="s">
        <v>906</v>
      </c>
      <c r="D330" s="443" t="s">
        <v>913</v>
      </c>
      <c r="E330" s="297" t="s">
        <v>908</v>
      </c>
      <c r="F330" s="297" t="s">
        <v>908</v>
      </c>
      <c r="G330" s="296">
        <f ca="1">+'Exhibit No.__(JAP-LIGHT RD) '!G409</f>
        <v>19.64</v>
      </c>
      <c r="I330" s="298">
        <f>+'[2]Tariff Summary Lights'!G330</f>
        <v>20.420000000000002</v>
      </c>
      <c r="J330" s="298">
        <f t="shared" ca="1" si="43"/>
        <v>-0.78000000000000114</v>
      </c>
    </row>
    <row r="331" spans="1:10">
      <c r="A331" s="443">
        <f t="shared" si="45"/>
        <v>326</v>
      </c>
      <c r="B331" s="443" t="str">
        <f t="shared" si="42"/>
        <v>55 (56)</v>
      </c>
      <c r="C331" s="300" t="s">
        <v>906</v>
      </c>
      <c r="D331" s="443" t="s">
        <v>914</v>
      </c>
      <c r="E331" s="297" t="s">
        <v>908</v>
      </c>
      <c r="F331" s="297" t="s">
        <v>908</v>
      </c>
      <c r="G331" s="296">
        <f ca="1">+'Exhibit No.__(JAP-LIGHT RD) '!G410</f>
        <v>20.75</v>
      </c>
      <c r="I331" s="298">
        <f>+'[2]Tariff Summary Lights'!G331</f>
        <v>21.58</v>
      </c>
      <c r="J331" s="298">
        <f t="shared" ca="1" si="43"/>
        <v>-0.82999999999999829</v>
      </c>
    </row>
    <row r="332" spans="1:10">
      <c r="A332" s="443">
        <f t="shared" si="45"/>
        <v>327</v>
      </c>
      <c r="B332" s="443"/>
      <c r="C332" s="289"/>
      <c r="D332" s="443"/>
      <c r="E332" s="297"/>
      <c r="F332" s="289"/>
      <c r="G332" s="296"/>
      <c r="I332" s="298"/>
      <c r="J332" s="298"/>
    </row>
    <row r="333" spans="1:10">
      <c r="A333" s="443">
        <f t="shared" si="45"/>
        <v>328</v>
      </c>
      <c r="B333" s="443" t="str">
        <f>+$B$302</f>
        <v>55 (56)</v>
      </c>
      <c r="C333" s="317" t="s">
        <v>915</v>
      </c>
      <c r="D333" s="443" t="s">
        <v>916</v>
      </c>
      <c r="E333" s="297">
        <f>+$E$6</f>
        <v>41456</v>
      </c>
      <c r="F333" s="296">
        <v>2.08</v>
      </c>
      <c r="G333" s="296">
        <f ca="1">+'Exhibit No.__(JAP-LIGHT RD) '!G412</f>
        <v>5.93</v>
      </c>
      <c r="I333" s="298">
        <f>+'[2]Tariff Summary Lights'!G333</f>
        <v>6.24</v>
      </c>
      <c r="J333" s="298">
        <f t="shared" ref="J333:J334" ca="1" si="46">+G333-I333</f>
        <v>-0.3100000000000005</v>
      </c>
    </row>
    <row r="334" spans="1:10">
      <c r="A334" s="443">
        <f t="shared" si="45"/>
        <v>329</v>
      </c>
      <c r="B334" s="443" t="str">
        <f>+$B$302</f>
        <v>55 (56)</v>
      </c>
      <c r="C334" s="317" t="s">
        <v>915</v>
      </c>
      <c r="D334" s="443" t="s">
        <v>917</v>
      </c>
      <c r="E334" s="297">
        <f>+$E$6</f>
        <v>41456</v>
      </c>
      <c r="F334" s="296">
        <v>8.18</v>
      </c>
      <c r="G334" s="296">
        <f ca="1">+'Exhibit No.__(JAP-LIGHT RD) '!G413</f>
        <v>9.75</v>
      </c>
      <c r="I334" s="298">
        <f>+'[2]Tariff Summary Lights'!G334</f>
        <v>10.16</v>
      </c>
      <c r="J334" s="298">
        <f t="shared" ca="1" si="46"/>
        <v>-0.41000000000000014</v>
      </c>
    </row>
    <row r="335" spans="1:10">
      <c r="A335" s="443">
        <f t="shared" si="45"/>
        <v>330</v>
      </c>
      <c r="B335" s="443"/>
      <c r="C335" s="289"/>
      <c r="D335" s="443"/>
      <c r="E335" s="289"/>
      <c r="F335" s="289"/>
      <c r="G335" s="296"/>
      <c r="I335" s="298"/>
      <c r="J335" s="298"/>
    </row>
    <row r="336" spans="1:10">
      <c r="A336" s="443">
        <f t="shared" si="45"/>
        <v>331</v>
      </c>
      <c r="B336" s="443">
        <v>57</v>
      </c>
      <c r="C336" s="289" t="s">
        <v>918</v>
      </c>
      <c r="D336" s="301" t="s">
        <v>919</v>
      </c>
      <c r="E336" s="297">
        <f>+$E$6</f>
        <v>41456</v>
      </c>
      <c r="F336" s="303">
        <v>2.4980000000000002E-2</v>
      </c>
      <c r="G336" s="303">
        <f ca="1">+'Exhibit No.__(JAP-LIGHT RD) '!G426</f>
        <v>3.9269999999999999E-2</v>
      </c>
      <c r="I336" s="303">
        <f>+'[2]Tariff Summary Lights'!G336</f>
        <v>4.1309999999999999E-2</v>
      </c>
      <c r="J336" s="303">
        <f t="shared" ref="J336:J337" ca="1" si="47">+G336-I336</f>
        <v>-2.0400000000000001E-3</v>
      </c>
    </row>
    <row r="337" spans="1:10">
      <c r="A337" s="443">
        <f t="shared" si="45"/>
        <v>332</v>
      </c>
      <c r="B337" s="443">
        <f>+$B$336</f>
        <v>57</v>
      </c>
      <c r="C337" s="289" t="s">
        <v>918</v>
      </c>
      <c r="D337" s="443" t="s">
        <v>746</v>
      </c>
      <c r="E337" s="297">
        <f>+$E$6</f>
        <v>41456</v>
      </c>
      <c r="F337" s="296">
        <v>4.08</v>
      </c>
      <c r="G337" s="451" t="s">
        <v>908</v>
      </c>
      <c r="I337" s="451" t="str">
        <f>+'[2]Tariff Summary Lights'!G337</f>
        <v>n/a</v>
      </c>
      <c r="J337" s="451" t="e">
        <f t="shared" si="47"/>
        <v>#VALUE!</v>
      </c>
    </row>
    <row r="338" spans="1:10">
      <c r="A338" s="443">
        <f t="shared" si="45"/>
        <v>333</v>
      </c>
      <c r="B338" s="443"/>
      <c r="C338" s="289"/>
      <c r="D338" s="443"/>
      <c r="E338" s="289"/>
      <c r="F338" s="289"/>
      <c r="G338" s="296"/>
      <c r="I338" s="298"/>
      <c r="J338" s="298"/>
    </row>
    <row r="339" spans="1:10">
      <c r="A339" s="443">
        <f t="shared" si="45"/>
        <v>334</v>
      </c>
      <c r="B339" s="443" t="s">
        <v>920</v>
      </c>
      <c r="C339" s="289" t="s">
        <v>921</v>
      </c>
      <c r="D339" s="443" t="s">
        <v>888</v>
      </c>
      <c r="E339" s="297">
        <f t="shared" ref="E339:E344" si="48">+$E$6</f>
        <v>41456</v>
      </c>
      <c r="F339" s="296">
        <v>12.44</v>
      </c>
      <c r="G339" s="296">
        <f ca="1">+'Exhibit No.__(JAP-LIGHT RD) '!G440</f>
        <v>11.24</v>
      </c>
      <c r="I339" s="298">
        <f>+'[2]Tariff Summary Lights'!G339</f>
        <v>11.77</v>
      </c>
      <c r="J339" s="298">
        <f t="shared" ref="J339:J344" ca="1" si="49">+G339-I339</f>
        <v>-0.52999999999999936</v>
      </c>
    </row>
    <row r="340" spans="1:10">
      <c r="A340" s="443">
        <f t="shared" si="45"/>
        <v>335</v>
      </c>
      <c r="B340" s="443" t="str">
        <f>+$B$339</f>
        <v>58 (59)</v>
      </c>
      <c r="C340" s="289" t="s">
        <v>921</v>
      </c>
      <c r="D340" s="443" t="s">
        <v>823</v>
      </c>
      <c r="E340" s="297">
        <f t="shared" si="48"/>
        <v>41456</v>
      </c>
      <c r="F340" s="296">
        <v>13.65</v>
      </c>
      <c r="G340" s="296">
        <f ca="1">+'Exhibit No.__(JAP-LIGHT RD) '!G441</f>
        <v>12.42</v>
      </c>
      <c r="I340" s="298">
        <f>+'[2]Tariff Summary Lights'!G340</f>
        <v>13</v>
      </c>
      <c r="J340" s="298">
        <f t="shared" ca="1" si="49"/>
        <v>-0.58000000000000007</v>
      </c>
    </row>
    <row r="341" spans="1:10">
      <c r="A341" s="443">
        <f t="shared" si="45"/>
        <v>336</v>
      </c>
      <c r="B341" s="443" t="str">
        <f>+$B$339</f>
        <v>58 (59)</v>
      </c>
      <c r="C341" s="289" t="s">
        <v>921</v>
      </c>
      <c r="D341" s="443" t="s">
        <v>889</v>
      </c>
      <c r="E341" s="297">
        <f t="shared" si="48"/>
        <v>41456</v>
      </c>
      <c r="F341" s="296">
        <v>15.58</v>
      </c>
      <c r="G341" s="296">
        <f ca="1">+'Exhibit No.__(JAP-LIGHT RD) '!G442</f>
        <v>14.38</v>
      </c>
      <c r="I341" s="298">
        <f>+'[2]Tariff Summary Lights'!G341</f>
        <v>15.06</v>
      </c>
      <c r="J341" s="298">
        <f t="shared" ca="1" si="49"/>
        <v>-0.67999999999999972</v>
      </c>
    </row>
    <row r="342" spans="1:10">
      <c r="A342" s="443">
        <f t="shared" si="45"/>
        <v>337</v>
      </c>
      <c r="B342" s="443" t="str">
        <f>+$B$339</f>
        <v>58 (59)</v>
      </c>
      <c r="C342" s="289" t="s">
        <v>921</v>
      </c>
      <c r="D342" s="443" t="s">
        <v>890</v>
      </c>
      <c r="E342" s="297">
        <f t="shared" si="48"/>
        <v>41456</v>
      </c>
      <c r="F342" s="296">
        <v>18.190000000000001</v>
      </c>
      <c r="G342" s="296">
        <f ca="1">+'Exhibit No.__(JAP-LIGHT RD) '!G443</f>
        <v>16.350000000000001</v>
      </c>
      <c r="I342" s="298">
        <f>+'[2]Tariff Summary Lights'!G342</f>
        <v>17.11</v>
      </c>
      <c r="J342" s="298">
        <f t="shared" ca="1" si="49"/>
        <v>-0.75999999999999801</v>
      </c>
    </row>
    <row r="343" spans="1:10">
      <c r="A343" s="443">
        <f t="shared" si="45"/>
        <v>338</v>
      </c>
      <c r="B343" s="443" t="str">
        <f>+$B$339</f>
        <v>58 (59)</v>
      </c>
      <c r="C343" s="289" t="s">
        <v>921</v>
      </c>
      <c r="D343" s="443" t="s">
        <v>891</v>
      </c>
      <c r="E343" s="297">
        <f t="shared" si="48"/>
        <v>41456</v>
      </c>
      <c r="F343" s="296">
        <v>20.25</v>
      </c>
      <c r="G343" s="296">
        <f ca="1">+'Exhibit No.__(JAP-LIGHT RD) '!G444</f>
        <v>18.32</v>
      </c>
      <c r="I343" s="298">
        <f>+'[2]Tariff Summary Lights'!G343</f>
        <v>19.170000000000002</v>
      </c>
      <c r="J343" s="298">
        <f t="shared" ca="1" si="49"/>
        <v>-0.85000000000000142</v>
      </c>
    </row>
    <row r="344" spans="1:10">
      <c r="A344" s="443">
        <f t="shared" si="45"/>
        <v>339</v>
      </c>
      <c r="B344" s="443" t="str">
        <f>+$B$339</f>
        <v>58 (59)</v>
      </c>
      <c r="C344" s="289" t="s">
        <v>921</v>
      </c>
      <c r="D344" s="443" t="s">
        <v>825</v>
      </c>
      <c r="E344" s="297">
        <f t="shared" si="48"/>
        <v>41456</v>
      </c>
      <c r="F344" s="296">
        <v>25.72</v>
      </c>
      <c r="G344" s="296">
        <f ca="1">+'Exhibit No.__(JAP-LIGHT RD) '!G445</f>
        <v>24.22</v>
      </c>
      <c r="I344" s="298">
        <f>+'[2]Tariff Summary Lights'!G344</f>
        <v>25.34</v>
      </c>
      <c r="J344" s="298">
        <f t="shared" ca="1" si="49"/>
        <v>-1.120000000000001</v>
      </c>
    </row>
    <row r="345" spans="1:10">
      <c r="A345" s="443">
        <f t="shared" si="45"/>
        <v>340</v>
      </c>
      <c r="B345" s="443"/>
      <c r="C345" s="289"/>
      <c r="D345" s="443"/>
      <c r="E345" s="297"/>
      <c r="F345" s="296"/>
      <c r="G345" s="296"/>
      <c r="I345" s="298"/>
      <c r="J345" s="298"/>
    </row>
    <row r="346" spans="1:10">
      <c r="A346" s="443">
        <f t="shared" si="45"/>
        <v>341</v>
      </c>
      <c r="B346" s="443" t="str">
        <f>+$B$339</f>
        <v>58 (59)</v>
      </c>
      <c r="C346" s="289" t="s">
        <v>922</v>
      </c>
      <c r="D346" s="443" t="s">
        <v>824</v>
      </c>
      <c r="E346" s="297">
        <f>+$E$6</f>
        <v>41456</v>
      </c>
      <c r="F346" s="296">
        <v>17.77</v>
      </c>
      <c r="G346" s="296">
        <f ca="1">+'Exhibit No.__(JAP-LIGHT RD) '!G447</f>
        <v>18.27</v>
      </c>
      <c r="I346" s="298">
        <f>+'[2]Tariff Summary Lights'!G346</f>
        <v>19.23</v>
      </c>
      <c r="J346" s="298">
        <f t="shared" ref="J346:J349" ca="1" si="50">+G346-I346</f>
        <v>-0.96000000000000085</v>
      </c>
    </row>
    <row r="347" spans="1:10">
      <c r="A347" s="443">
        <f t="shared" si="45"/>
        <v>342</v>
      </c>
      <c r="B347" s="443" t="str">
        <f>+$B$339</f>
        <v>58 (59)</v>
      </c>
      <c r="C347" s="289" t="s">
        <v>922</v>
      </c>
      <c r="D347" s="443" t="s">
        <v>891</v>
      </c>
      <c r="E347" s="297">
        <f>+$E$6</f>
        <v>41456</v>
      </c>
      <c r="F347" s="296">
        <v>20.810000000000002</v>
      </c>
      <c r="G347" s="296">
        <f ca="1">+'Exhibit No.__(JAP-LIGHT RD) '!G448</f>
        <v>21.4</v>
      </c>
      <c r="I347" s="298">
        <f>+'[2]Tariff Summary Lights'!G347</f>
        <v>22.49</v>
      </c>
      <c r="J347" s="298">
        <f t="shared" ca="1" si="50"/>
        <v>-1.0899999999999999</v>
      </c>
    </row>
    <row r="348" spans="1:10">
      <c r="A348" s="443">
        <f t="shared" si="45"/>
        <v>343</v>
      </c>
      <c r="B348" s="443" t="str">
        <f>+$B$339</f>
        <v>58 (59)</v>
      </c>
      <c r="C348" s="289" t="s">
        <v>922</v>
      </c>
      <c r="D348" s="443" t="s">
        <v>825</v>
      </c>
      <c r="E348" s="297">
        <f>+$E$6</f>
        <v>41456</v>
      </c>
      <c r="F348" s="296">
        <v>25.880000000000003</v>
      </c>
      <c r="G348" s="296">
        <f ca="1">+'Exhibit No.__(JAP-LIGHT RD) '!G449</f>
        <v>27.65</v>
      </c>
      <c r="I348" s="298">
        <f>+'[2]Tariff Summary Lights'!G348</f>
        <v>29.02</v>
      </c>
      <c r="J348" s="298">
        <f t="shared" ca="1" si="50"/>
        <v>-1.370000000000001</v>
      </c>
    </row>
    <row r="349" spans="1:10">
      <c r="A349" s="443">
        <f t="shared" si="45"/>
        <v>344</v>
      </c>
      <c r="B349" s="443" t="str">
        <f>+$B$339</f>
        <v>58 (59)</v>
      </c>
      <c r="C349" s="289" t="s">
        <v>922</v>
      </c>
      <c r="D349" s="443" t="s">
        <v>894</v>
      </c>
      <c r="E349" s="297">
        <f>+$E$6</f>
        <v>41456</v>
      </c>
      <c r="F349" s="296">
        <v>47.91</v>
      </c>
      <c r="G349" s="296">
        <f ca="1">+'Exhibit No.__(JAP-LIGHT RD) '!G450</f>
        <v>52.67</v>
      </c>
      <c r="I349" s="298">
        <f>+'[2]Tariff Summary Lights'!G349</f>
        <v>55.14</v>
      </c>
      <c r="J349" s="298">
        <f t="shared" ca="1" si="50"/>
        <v>-2.4699999999999989</v>
      </c>
    </row>
    <row r="350" spans="1:10">
      <c r="A350" s="443">
        <f t="shared" si="45"/>
        <v>345</v>
      </c>
      <c r="B350" s="443"/>
      <c r="C350" s="289"/>
      <c r="D350" s="443"/>
      <c r="E350" s="297"/>
      <c r="F350" s="296"/>
      <c r="G350" s="296"/>
      <c r="I350" s="298"/>
      <c r="J350" s="298"/>
    </row>
    <row r="351" spans="1:10">
      <c r="A351" s="443">
        <f t="shared" si="45"/>
        <v>346</v>
      </c>
      <c r="B351" s="443" t="str">
        <f>+$B$339</f>
        <v>58 (59)</v>
      </c>
      <c r="C351" s="289" t="s">
        <v>923</v>
      </c>
      <c r="D351" s="443" t="s">
        <v>823</v>
      </c>
      <c r="E351" s="297">
        <f>+$E$6</f>
        <v>41456</v>
      </c>
      <c r="F351" s="296">
        <v>15.579999999999998</v>
      </c>
      <c r="G351" s="296">
        <f ca="1">+'Exhibit No.__(JAP-LIGHT RD) '!G452</f>
        <v>12.42</v>
      </c>
      <c r="I351" s="298">
        <f>+'[2]Tariff Summary Lights'!G351</f>
        <v>13</v>
      </c>
      <c r="J351" s="298">
        <f t="shared" ref="J351:J355" ca="1" si="51">+G351-I351</f>
        <v>-0.58000000000000007</v>
      </c>
    </row>
    <row r="352" spans="1:10">
      <c r="A352" s="443">
        <f t="shared" si="45"/>
        <v>347</v>
      </c>
      <c r="B352" s="443" t="str">
        <f>+$B$339</f>
        <v>58 (59)</v>
      </c>
      <c r="C352" s="289" t="s">
        <v>923</v>
      </c>
      <c r="D352" s="443" t="s">
        <v>889</v>
      </c>
      <c r="E352" s="297">
        <f>+$E$6</f>
        <v>41456</v>
      </c>
      <c r="F352" s="296">
        <v>17.43</v>
      </c>
      <c r="G352" s="296">
        <f ca="1">+'Exhibit No.__(JAP-LIGHT RD) '!G453</f>
        <v>14.38</v>
      </c>
      <c r="I352" s="298">
        <f>+'[2]Tariff Summary Lights'!G352</f>
        <v>15.06</v>
      </c>
      <c r="J352" s="298">
        <f t="shared" ca="1" si="51"/>
        <v>-0.67999999999999972</v>
      </c>
    </row>
    <row r="353" spans="1:10">
      <c r="A353" s="443">
        <f t="shared" si="45"/>
        <v>348</v>
      </c>
      <c r="B353" s="443" t="str">
        <f>+$B$339</f>
        <v>58 (59)</v>
      </c>
      <c r="C353" s="289" t="s">
        <v>923</v>
      </c>
      <c r="D353" s="443" t="s">
        <v>890</v>
      </c>
      <c r="E353" s="297">
        <f>+$E$6</f>
        <v>41456</v>
      </c>
      <c r="F353" s="296">
        <v>20.260000000000002</v>
      </c>
      <c r="G353" s="296">
        <f ca="1">+'Exhibit No.__(JAP-LIGHT RD) '!G454</f>
        <v>16.350000000000001</v>
      </c>
      <c r="I353" s="298">
        <f>+'[2]Tariff Summary Lights'!G353</f>
        <v>17.11</v>
      </c>
      <c r="J353" s="298">
        <f t="shared" ca="1" si="51"/>
        <v>-0.75999999999999801</v>
      </c>
    </row>
    <row r="354" spans="1:10">
      <c r="A354" s="443">
        <f t="shared" si="45"/>
        <v>349</v>
      </c>
      <c r="B354" s="443" t="str">
        <f>+$B$339</f>
        <v>58 (59)</v>
      </c>
      <c r="C354" s="289" t="s">
        <v>923</v>
      </c>
      <c r="D354" s="443" t="s">
        <v>891</v>
      </c>
      <c r="E354" s="297">
        <f>+$E$6</f>
        <v>41456</v>
      </c>
      <c r="F354" s="296">
        <v>21.08</v>
      </c>
      <c r="G354" s="296">
        <f ca="1">+'Exhibit No.__(JAP-LIGHT RD) '!G455</f>
        <v>18.32</v>
      </c>
      <c r="I354" s="298">
        <f>+'[2]Tariff Summary Lights'!G354</f>
        <v>19.170000000000002</v>
      </c>
      <c r="J354" s="298">
        <f t="shared" ca="1" si="51"/>
        <v>-0.85000000000000142</v>
      </c>
    </row>
    <row r="355" spans="1:10">
      <c r="A355" s="443">
        <f t="shared" si="45"/>
        <v>350</v>
      </c>
      <c r="B355" s="443" t="str">
        <f>+$B$339</f>
        <v>58 (59)</v>
      </c>
      <c r="C355" s="289" t="s">
        <v>923</v>
      </c>
      <c r="D355" s="443" t="s">
        <v>825</v>
      </c>
      <c r="E355" s="297">
        <f>+$E$6</f>
        <v>41456</v>
      </c>
      <c r="F355" s="296">
        <v>27.560000000000002</v>
      </c>
      <c r="G355" s="296">
        <f ca="1">+'Exhibit No.__(JAP-LIGHT RD) '!G456</f>
        <v>24.22</v>
      </c>
      <c r="I355" s="298">
        <f>+'[2]Tariff Summary Lights'!G355</f>
        <v>25.34</v>
      </c>
      <c r="J355" s="298">
        <f t="shared" ca="1" si="51"/>
        <v>-1.120000000000001</v>
      </c>
    </row>
    <row r="356" spans="1:10">
      <c r="A356" s="443">
        <f t="shared" si="45"/>
        <v>351</v>
      </c>
      <c r="B356" s="443"/>
      <c r="C356" s="289"/>
      <c r="D356" s="443"/>
      <c r="E356" s="297"/>
      <c r="F356" s="296"/>
      <c r="G356" s="296"/>
      <c r="I356" s="298"/>
      <c r="J356" s="298"/>
    </row>
    <row r="357" spans="1:10">
      <c r="A357" s="443">
        <f t="shared" si="45"/>
        <v>352</v>
      </c>
      <c r="B357" s="443" t="str">
        <f>+$B$339</f>
        <v>58 (59)</v>
      </c>
      <c r="C357" s="289" t="s">
        <v>924</v>
      </c>
      <c r="D357" s="443" t="s">
        <v>891</v>
      </c>
      <c r="E357" s="297">
        <f>+$E$6</f>
        <v>41456</v>
      </c>
      <c r="F357" s="296">
        <v>24.75</v>
      </c>
      <c r="G357" s="296">
        <f ca="1">+'Exhibit No.__(JAP-LIGHT RD) '!G458</f>
        <v>21.4</v>
      </c>
      <c r="I357" s="298">
        <f>+'[2]Tariff Summary Lights'!G357</f>
        <v>22.49</v>
      </c>
      <c r="J357" s="298">
        <f t="shared" ref="J357:J358" ca="1" si="52">+G357-I357</f>
        <v>-1.0899999999999999</v>
      </c>
    </row>
    <row r="358" spans="1:10">
      <c r="A358" s="443">
        <f t="shared" si="45"/>
        <v>353</v>
      </c>
      <c r="B358" s="443" t="str">
        <f>+$B$339</f>
        <v>58 (59)</v>
      </c>
      <c r="C358" s="289" t="s">
        <v>924</v>
      </c>
      <c r="D358" s="443" t="s">
        <v>825</v>
      </c>
      <c r="E358" s="297">
        <f>+$E$6</f>
        <v>41456</v>
      </c>
      <c r="F358" s="296">
        <v>31.29</v>
      </c>
      <c r="G358" s="296">
        <f ca="1">+'Exhibit No.__(JAP-LIGHT RD) '!G459</f>
        <v>27.65</v>
      </c>
      <c r="I358" s="298">
        <f>+'[2]Tariff Summary Lights'!G358</f>
        <v>29.02</v>
      </c>
      <c r="J358" s="298">
        <f t="shared" ca="1" si="52"/>
        <v>-1.370000000000001</v>
      </c>
    </row>
    <row r="359" spans="1:10">
      <c r="A359" s="443">
        <f t="shared" si="45"/>
        <v>354</v>
      </c>
      <c r="B359" s="443"/>
      <c r="C359" s="289"/>
      <c r="D359" s="443"/>
      <c r="E359" s="297"/>
      <c r="F359" s="296"/>
      <c r="G359" s="296"/>
      <c r="I359" s="298"/>
      <c r="J359" s="298"/>
    </row>
    <row r="360" spans="1:10">
      <c r="A360" s="443">
        <f t="shared" si="45"/>
        <v>355</v>
      </c>
      <c r="B360" s="443" t="str">
        <f t="shared" ref="B360:B422" si="53">+$B$339</f>
        <v>58 (59)</v>
      </c>
      <c r="C360" s="300" t="s">
        <v>925</v>
      </c>
      <c r="D360" s="443" t="s">
        <v>926</v>
      </c>
      <c r="E360" s="297" t="s">
        <v>908</v>
      </c>
      <c r="F360" s="297" t="s">
        <v>908</v>
      </c>
      <c r="G360" s="296">
        <f ca="1">+'Exhibit No.__(JAP-LIGHT RD) '!G461</f>
        <v>11.88</v>
      </c>
      <c r="I360" s="298">
        <f>+'[2]Tariff Summary Lights'!G360</f>
        <v>12.3</v>
      </c>
      <c r="J360" s="298">
        <f t="shared" ref="J360:J422" ca="1" si="54">+G360-I360</f>
        <v>-0.41999999999999993</v>
      </c>
    </row>
    <row r="361" spans="1:10">
      <c r="A361" s="443">
        <f t="shared" si="45"/>
        <v>356</v>
      </c>
      <c r="B361" s="443" t="str">
        <f t="shared" si="53"/>
        <v>58 (59)</v>
      </c>
      <c r="C361" s="300" t="s">
        <v>925</v>
      </c>
      <c r="D361" s="443" t="s">
        <v>836</v>
      </c>
      <c r="E361" s="297">
        <f>+E358</f>
        <v>41456</v>
      </c>
      <c r="F361" s="296">
        <v>10.09</v>
      </c>
      <c r="G361" s="296">
        <f ca="1">+'Exhibit No.__(JAP-LIGHT RD) '!G462</f>
        <v>11.88</v>
      </c>
      <c r="I361" s="298">
        <f>+'[2]Tariff Summary Lights'!G361</f>
        <v>12.3</v>
      </c>
      <c r="J361" s="298">
        <f t="shared" ca="1" si="54"/>
        <v>-0.41999999999999993</v>
      </c>
    </row>
    <row r="362" spans="1:10">
      <c r="A362" s="443">
        <f t="shared" si="45"/>
        <v>357</v>
      </c>
      <c r="B362" s="443" t="str">
        <f t="shared" si="53"/>
        <v>58 (59)</v>
      </c>
      <c r="C362" s="300" t="s">
        <v>925</v>
      </c>
      <c r="D362" s="443" t="s">
        <v>837</v>
      </c>
      <c r="E362" s="297">
        <f t="shared" ref="E362:E421" si="55">+E361</f>
        <v>41456</v>
      </c>
      <c r="F362" s="296">
        <v>10.26</v>
      </c>
      <c r="G362" s="296">
        <f ca="1">+'Exhibit No.__(JAP-LIGHT RD) '!G463</f>
        <v>11.88</v>
      </c>
      <c r="I362" s="298">
        <f>+'[2]Tariff Summary Lights'!G362</f>
        <v>12.3</v>
      </c>
      <c r="J362" s="298">
        <f t="shared" ca="1" si="54"/>
        <v>-0.41999999999999993</v>
      </c>
    </row>
    <row r="363" spans="1:10">
      <c r="A363" s="443">
        <f t="shared" si="45"/>
        <v>358</v>
      </c>
      <c r="B363" s="443" t="str">
        <f t="shared" si="53"/>
        <v>58 (59)</v>
      </c>
      <c r="C363" s="300" t="s">
        <v>925</v>
      </c>
      <c r="D363" s="443" t="s">
        <v>838</v>
      </c>
      <c r="E363" s="297">
        <f t="shared" si="55"/>
        <v>41456</v>
      </c>
      <c r="F363" s="296">
        <v>10.44</v>
      </c>
      <c r="G363" s="296">
        <f ca="1">+'Exhibit No.__(JAP-LIGHT RD) '!G464</f>
        <v>12.99</v>
      </c>
      <c r="I363" s="298">
        <f>+'[2]Tariff Summary Lights'!G363</f>
        <v>13.46</v>
      </c>
      <c r="J363" s="298">
        <f t="shared" ca="1" si="54"/>
        <v>-0.47000000000000064</v>
      </c>
    </row>
    <row r="364" spans="1:10">
      <c r="A364" s="443">
        <f t="shared" si="45"/>
        <v>359</v>
      </c>
      <c r="B364" s="443" t="str">
        <f t="shared" si="53"/>
        <v>58 (59)</v>
      </c>
      <c r="C364" s="300" t="s">
        <v>925</v>
      </c>
      <c r="D364" s="443" t="s">
        <v>839</v>
      </c>
      <c r="E364" s="297">
        <f t="shared" si="55"/>
        <v>41456</v>
      </c>
      <c r="F364" s="296">
        <v>10.62</v>
      </c>
      <c r="G364" s="296">
        <f ca="1">+'Exhibit No.__(JAP-LIGHT RD) '!G465</f>
        <v>12.99</v>
      </c>
      <c r="I364" s="298">
        <f>+'[2]Tariff Summary Lights'!G364</f>
        <v>13.46</v>
      </c>
      <c r="J364" s="298">
        <f t="shared" ca="1" si="54"/>
        <v>-0.47000000000000064</v>
      </c>
    </row>
    <row r="365" spans="1:10">
      <c r="A365" s="443">
        <f t="shared" si="45"/>
        <v>360</v>
      </c>
      <c r="B365" s="443" t="str">
        <f t="shared" si="53"/>
        <v>58 (59)</v>
      </c>
      <c r="C365" s="300" t="s">
        <v>925</v>
      </c>
      <c r="D365" s="443" t="s">
        <v>840</v>
      </c>
      <c r="E365" s="297">
        <f t="shared" si="55"/>
        <v>41456</v>
      </c>
      <c r="F365" s="296">
        <v>10.79</v>
      </c>
      <c r="G365" s="296">
        <f ca="1">+'Exhibit No.__(JAP-LIGHT RD) '!G466</f>
        <v>12.99</v>
      </c>
      <c r="I365" s="298">
        <f>+'[2]Tariff Summary Lights'!G365</f>
        <v>13.46</v>
      </c>
      <c r="J365" s="298">
        <f t="shared" ca="1" si="54"/>
        <v>-0.47000000000000064</v>
      </c>
    </row>
    <row r="366" spans="1:10">
      <c r="A366" s="443">
        <f t="shared" si="45"/>
        <v>361</v>
      </c>
      <c r="B366" s="443" t="str">
        <f t="shared" si="53"/>
        <v>58 (59)</v>
      </c>
      <c r="C366" s="300" t="s">
        <v>925</v>
      </c>
      <c r="D366" s="443" t="s">
        <v>841</v>
      </c>
      <c r="E366" s="297">
        <f t="shared" si="55"/>
        <v>41456</v>
      </c>
      <c r="F366" s="296">
        <v>10.97</v>
      </c>
      <c r="G366" s="296">
        <f ca="1">+'Exhibit No.__(JAP-LIGHT RD) '!G467</f>
        <v>12.99</v>
      </c>
      <c r="I366" s="298">
        <f>+'[2]Tariff Summary Lights'!G366</f>
        <v>13.46</v>
      </c>
      <c r="J366" s="298">
        <f t="shared" ca="1" si="54"/>
        <v>-0.47000000000000064</v>
      </c>
    </row>
    <row r="367" spans="1:10">
      <c r="A367" s="443">
        <f t="shared" si="45"/>
        <v>362</v>
      </c>
      <c r="B367" s="443" t="str">
        <f t="shared" si="53"/>
        <v>58 (59)</v>
      </c>
      <c r="C367" s="300" t="s">
        <v>925</v>
      </c>
      <c r="D367" s="443" t="s">
        <v>842</v>
      </c>
      <c r="E367" s="297">
        <f t="shared" si="55"/>
        <v>41456</v>
      </c>
      <c r="F367" s="296">
        <v>11.14</v>
      </c>
      <c r="G367" s="296">
        <f ca="1">+'Exhibit No.__(JAP-LIGHT RD) '!G468</f>
        <v>12.99</v>
      </c>
      <c r="I367" s="298">
        <f>+'[2]Tariff Summary Lights'!G367</f>
        <v>13.46</v>
      </c>
      <c r="J367" s="298">
        <f t="shared" ca="1" si="54"/>
        <v>-0.47000000000000064</v>
      </c>
    </row>
    <row r="368" spans="1:10">
      <c r="A368" s="443">
        <f t="shared" si="45"/>
        <v>363</v>
      </c>
      <c r="B368" s="443" t="str">
        <f t="shared" si="53"/>
        <v>58 (59)</v>
      </c>
      <c r="C368" s="300" t="s">
        <v>925</v>
      </c>
      <c r="D368" s="301" t="s">
        <v>843</v>
      </c>
      <c r="E368" s="297" t="s">
        <v>908</v>
      </c>
      <c r="F368" s="297" t="s">
        <v>908</v>
      </c>
      <c r="G368" s="296">
        <f ca="1">+'Exhibit No.__(JAP-LIGHT RD) '!G469</f>
        <v>12.99</v>
      </c>
      <c r="I368" s="298">
        <f>+'[2]Tariff Summary Lights'!G368</f>
        <v>13.46</v>
      </c>
      <c r="J368" s="298">
        <f t="shared" ca="1" si="54"/>
        <v>-0.47000000000000064</v>
      </c>
    </row>
    <row r="369" spans="1:10">
      <c r="A369" s="443">
        <f t="shared" si="45"/>
        <v>364</v>
      </c>
      <c r="B369" s="443" t="str">
        <f t="shared" si="53"/>
        <v>58 (59)</v>
      </c>
      <c r="C369" s="300" t="s">
        <v>925</v>
      </c>
      <c r="D369" s="301" t="s">
        <v>927</v>
      </c>
      <c r="E369" s="297" t="s">
        <v>908</v>
      </c>
      <c r="F369" s="297" t="s">
        <v>908</v>
      </c>
      <c r="G369" s="296">
        <f ca="1">+'Exhibit No.__(JAP-LIGHT RD) '!G470</f>
        <v>14.1</v>
      </c>
      <c r="I369" s="298">
        <f>+'[2]Tariff Summary Lights'!G369</f>
        <v>14.62</v>
      </c>
      <c r="J369" s="298">
        <f t="shared" ca="1" si="54"/>
        <v>-0.51999999999999957</v>
      </c>
    </row>
    <row r="370" spans="1:10">
      <c r="A370" s="443">
        <f t="shared" si="45"/>
        <v>365</v>
      </c>
      <c r="B370" s="443" t="str">
        <f t="shared" si="53"/>
        <v>58 (59)</v>
      </c>
      <c r="C370" s="300" t="s">
        <v>925</v>
      </c>
      <c r="D370" s="443" t="s">
        <v>846</v>
      </c>
      <c r="E370" s="297">
        <f>+E367</f>
        <v>41456</v>
      </c>
      <c r="F370" s="296">
        <v>13.13</v>
      </c>
      <c r="G370" s="296">
        <f ca="1">+'Exhibit No.__(JAP-LIGHT RD) '!G471</f>
        <v>14.1</v>
      </c>
      <c r="I370" s="298">
        <f>+'[2]Tariff Summary Lights'!G370</f>
        <v>14.62</v>
      </c>
      <c r="J370" s="298">
        <f t="shared" ca="1" si="54"/>
        <v>-0.51999999999999957</v>
      </c>
    </row>
    <row r="371" spans="1:10">
      <c r="A371" s="443">
        <f t="shared" si="45"/>
        <v>366</v>
      </c>
      <c r="B371" s="443" t="str">
        <f t="shared" si="53"/>
        <v>58 (59)</v>
      </c>
      <c r="C371" s="300" t="s">
        <v>925</v>
      </c>
      <c r="D371" s="443" t="s">
        <v>847</v>
      </c>
      <c r="E371" s="297">
        <f t="shared" si="55"/>
        <v>41456</v>
      </c>
      <c r="F371" s="296">
        <v>13.3</v>
      </c>
      <c r="G371" s="296">
        <f ca="1">+'Exhibit No.__(JAP-LIGHT RD) '!G472</f>
        <v>14.1</v>
      </c>
      <c r="I371" s="298">
        <f>+'[2]Tariff Summary Lights'!G371</f>
        <v>14.62</v>
      </c>
      <c r="J371" s="298">
        <f t="shared" ca="1" si="54"/>
        <v>-0.51999999999999957</v>
      </c>
    </row>
    <row r="372" spans="1:10">
      <c r="A372" s="443">
        <f t="shared" si="45"/>
        <v>367</v>
      </c>
      <c r="B372" s="443" t="str">
        <f t="shared" si="53"/>
        <v>58 (59)</v>
      </c>
      <c r="C372" s="300" t="s">
        <v>925</v>
      </c>
      <c r="D372" s="443" t="s">
        <v>848</v>
      </c>
      <c r="E372" s="297">
        <f t="shared" si="55"/>
        <v>41456</v>
      </c>
      <c r="F372" s="296">
        <v>13.48</v>
      </c>
      <c r="G372" s="296">
        <f ca="1">+'Exhibit No.__(JAP-LIGHT RD) '!G473</f>
        <v>14.1</v>
      </c>
      <c r="I372" s="298">
        <f>+'[2]Tariff Summary Lights'!G372</f>
        <v>14.62</v>
      </c>
      <c r="J372" s="298">
        <f t="shared" ca="1" si="54"/>
        <v>-0.51999999999999957</v>
      </c>
    </row>
    <row r="373" spans="1:10">
      <c r="A373" s="443">
        <f t="shared" si="45"/>
        <v>368</v>
      </c>
      <c r="B373" s="443" t="str">
        <f t="shared" si="53"/>
        <v>58 (59)</v>
      </c>
      <c r="C373" s="300" t="s">
        <v>925</v>
      </c>
      <c r="D373" s="443" t="s">
        <v>849</v>
      </c>
      <c r="E373" s="297">
        <f t="shared" si="55"/>
        <v>41456</v>
      </c>
      <c r="F373" s="296">
        <v>13.66</v>
      </c>
      <c r="G373" s="296">
        <f ca="1">+'Exhibit No.__(JAP-LIGHT RD) '!G474</f>
        <v>14.1</v>
      </c>
      <c r="I373" s="298">
        <f>+'[2]Tariff Summary Lights'!G373</f>
        <v>14.62</v>
      </c>
      <c r="J373" s="298">
        <f t="shared" ca="1" si="54"/>
        <v>-0.51999999999999957</v>
      </c>
    </row>
    <row r="374" spans="1:10">
      <c r="A374" s="443">
        <f t="shared" si="45"/>
        <v>369</v>
      </c>
      <c r="B374" s="443" t="str">
        <f t="shared" si="53"/>
        <v>58 (59)</v>
      </c>
      <c r="C374" s="300" t="s">
        <v>925</v>
      </c>
      <c r="D374" s="443" t="s">
        <v>850</v>
      </c>
      <c r="E374" s="297">
        <f t="shared" si="55"/>
        <v>41456</v>
      </c>
      <c r="F374" s="296">
        <v>13.83</v>
      </c>
      <c r="G374" s="296">
        <f ca="1">+'Exhibit No.__(JAP-LIGHT RD) '!G475</f>
        <v>15.21</v>
      </c>
      <c r="I374" s="298">
        <f>+'[2]Tariff Summary Lights'!G374</f>
        <v>15.78</v>
      </c>
      <c r="J374" s="298">
        <f t="shared" ca="1" si="54"/>
        <v>-0.56999999999999851</v>
      </c>
    </row>
    <row r="375" spans="1:10">
      <c r="A375" s="443">
        <f t="shared" si="45"/>
        <v>370</v>
      </c>
      <c r="B375" s="443" t="str">
        <f t="shared" si="53"/>
        <v>58 (59)</v>
      </c>
      <c r="C375" s="300" t="s">
        <v>925</v>
      </c>
      <c r="D375" s="301" t="s">
        <v>851</v>
      </c>
      <c r="E375" s="297">
        <f t="shared" si="55"/>
        <v>41456</v>
      </c>
      <c r="F375" s="296">
        <v>14.01</v>
      </c>
      <c r="G375" s="296">
        <f ca="1">+'Exhibit No.__(JAP-LIGHT RD) '!G476</f>
        <v>15.21</v>
      </c>
      <c r="I375" s="298">
        <f>+'[2]Tariff Summary Lights'!G375</f>
        <v>15.78</v>
      </c>
      <c r="J375" s="298">
        <f t="shared" ca="1" si="54"/>
        <v>-0.56999999999999851</v>
      </c>
    </row>
    <row r="376" spans="1:10">
      <c r="A376" s="443">
        <f t="shared" si="45"/>
        <v>371</v>
      </c>
      <c r="B376" s="443" t="str">
        <f t="shared" si="53"/>
        <v>58 (59)</v>
      </c>
      <c r="C376" s="300" t="s">
        <v>925</v>
      </c>
      <c r="D376" s="301" t="s">
        <v>928</v>
      </c>
      <c r="E376" s="297" t="s">
        <v>908</v>
      </c>
      <c r="F376" s="297" t="s">
        <v>908</v>
      </c>
      <c r="G376" s="296">
        <f ca="1">+'Exhibit No.__(JAP-LIGHT RD) '!G477</f>
        <v>15.21</v>
      </c>
      <c r="I376" s="298">
        <f>+'[2]Tariff Summary Lights'!G376</f>
        <v>15.78</v>
      </c>
      <c r="J376" s="298">
        <f t="shared" ca="1" si="54"/>
        <v>-0.56999999999999851</v>
      </c>
    </row>
    <row r="377" spans="1:10">
      <c r="A377" s="443">
        <f t="shared" si="45"/>
        <v>372</v>
      </c>
      <c r="B377" s="443" t="str">
        <f t="shared" si="53"/>
        <v>58 (59)</v>
      </c>
      <c r="C377" s="300" t="s">
        <v>925</v>
      </c>
      <c r="D377" s="301" t="s">
        <v>856</v>
      </c>
      <c r="E377" s="297" t="s">
        <v>908</v>
      </c>
      <c r="F377" s="297" t="s">
        <v>908</v>
      </c>
      <c r="G377" s="296">
        <f ca="1">+'Exhibit No.__(JAP-LIGHT RD) '!G478</f>
        <v>16.32</v>
      </c>
      <c r="I377" s="298">
        <f>+'[2]Tariff Summary Lights'!G377</f>
        <v>16.940000000000001</v>
      </c>
      <c r="J377" s="298">
        <f t="shared" ca="1" si="54"/>
        <v>-0.62000000000000099</v>
      </c>
    </row>
    <row r="378" spans="1:10">
      <c r="A378" s="443">
        <f t="shared" si="45"/>
        <v>373</v>
      </c>
      <c r="B378" s="443" t="str">
        <f t="shared" si="53"/>
        <v>58 (59)</v>
      </c>
      <c r="C378" s="300" t="s">
        <v>925</v>
      </c>
      <c r="D378" s="301" t="s">
        <v>857</v>
      </c>
      <c r="E378" s="297">
        <v>42610</v>
      </c>
      <c r="F378" s="296">
        <v>15.28</v>
      </c>
      <c r="G378" s="296">
        <f ca="1">+'Exhibit No.__(JAP-LIGHT RD) '!G479</f>
        <v>16.32</v>
      </c>
      <c r="I378" s="298">
        <f>+'[2]Tariff Summary Lights'!G378</f>
        <v>16.940000000000001</v>
      </c>
      <c r="J378" s="298">
        <f t="shared" ca="1" si="54"/>
        <v>-0.62000000000000099</v>
      </c>
    </row>
    <row r="379" spans="1:10">
      <c r="A379" s="443">
        <f t="shared" si="45"/>
        <v>374</v>
      </c>
      <c r="B379" s="443" t="str">
        <f t="shared" si="53"/>
        <v>58 (59)</v>
      </c>
      <c r="C379" s="300" t="s">
        <v>925</v>
      </c>
      <c r="D379" s="301" t="s">
        <v>929</v>
      </c>
      <c r="E379" s="297" t="s">
        <v>908</v>
      </c>
      <c r="F379" s="297" t="s">
        <v>908</v>
      </c>
      <c r="G379" s="296">
        <f ca="1">+'Exhibit No.__(JAP-LIGHT RD) '!G480</f>
        <v>16.32</v>
      </c>
      <c r="I379" s="298">
        <f>+'[2]Tariff Summary Lights'!G379</f>
        <v>16.940000000000001</v>
      </c>
      <c r="J379" s="298">
        <f t="shared" ca="1" si="54"/>
        <v>-0.62000000000000099</v>
      </c>
    </row>
    <row r="380" spans="1:10">
      <c r="A380" s="443">
        <f t="shared" si="45"/>
        <v>375</v>
      </c>
      <c r="B380" s="443" t="str">
        <f t="shared" si="53"/>
        <v>58 (59)</v>
      </c>
      <c r="C380" s="300" t="s">
        <v>925</v>
      </c>
      <c r="D380" s="301" t="s">
        <v>930</v>
      </c>
      <c r="E380" s="297" t="s">
        <v>908</v>
      </c>
      <c r="F380" s="297" t="s">
        <v>908</v>
      </c>
      <c r="G380" s="296">
        <f ca="1">+'Exhibit No.__(JAP-LIGHT RD) '!G481</f>
        <v>17.420000000000002</v>
      </c>
      <c r="I380" s="298">
        <f>+'[2]Tariff Summary Lights'!G380</f>
        <v>18.100000000000001</v>
      </c>
      <c r="J380" s="298">
        <f t="shared" ca="1" si="54"/>
        <v>-0.67999999999999972</v>
      </c>
    </row>
    <row r="381" spans="1:10">
      <c r="A381" s="443">
        <f t="shared" si="45"/>
        <v>376</v>
      </c>
      <c r="B381" s="443" t="str">
        <f t="shared" si="53"/>
        <v>58 (59)</v>
      </c>
      <c r="C381" s="300" t="s">
        <v>925</v>
      </c>
      <c r="D381" s="301" t="s">
        <v>864</v>
      </c>
      <c r="E381" s="297">
        <v>42610</v>
      </c>
      <c r="F381" s="296">
        <v>18.41</v>
      </c>
      <c r="G381" s="296">
        <f ca="1">+'Exhibit No.__(JAP-LIGHT RD) '!G482</f>
        <v>17.420000000000002</v>
      </c>
      <c r="I381" s="298">
        <f>+'[2]Tariff Summary Lights'!G381</f>
        <v>18.100000000000001</v>
      </c>
      <c r="J381" s="298">
        <f t="shared" ca="1" si="54"/>
        <v>-0.67999999999999972</v>
      </c>
    </row>
    <row r="382" spans="1:10">
      <c r="A382" s="443">
        <f t="shared" si="45"/>
        <v>377</v>
      </c>
      <c r="B382" s="443" t="str">
        <f t="shared" si="53"/>
        <v>58 (59)</v>
      </c>
      <c r="C382" s="300" t="s">
        <v>925</v>
      </c>
      <c r="D382" s="301" t="s">
        <v>865</v>
      </c>
      <c r="E382" s="297">
        <v>42610</v>
      </c>
      <c r="F382" s="296">
        <v>18.59</v>
      </c>
      <c r="G382" s="296">
        <f ca="1">+'Exhibit No.__(JAP-LIGHT RD) '!G483</f>
        <v>17.420000000000002</v>
      </c>
      <c r="I382" s="298">
        <f>+'[2]Tariff Summary Lights'!G382</f>
        <v>18.100000000000001</v>
      </c>
      <c r="J382" s="298">
        <f t="shared" ca="1" si="54"/>
        <v>-0.67999999999999972</v>
      </c>
    </row>
    <row r="383" spans="1:10">
      <c r="A383" s="443">
        <f t="shared" si="45"/>
        <v>378</v>
      </c>
      <c r="B383" s="443" t="str">
        <f t="shared" si="53"/>
        <v>58 (59)</v>
      </c>
      <c r="C383" s="300" t="s">
        <v>925</v>
      </c>
      <c r="D383" s="301" t="s">
        <v>866</v>
      </c>
      <c r="E383" s="297">
        <v>42610</v>
      </c>
      <c r="F383" s="296">
        <v>18.77</v>
      </c>
      <c r="G383" s="296">
        <f ca="1">+'Exhibit No.__(JAP-LIGHT RD) '!G484</f>
        <v>17.420000000000002</v>
      </c>
      <c r="I383" s="298">
        <f>+'[2]Tariff Summary Lights'!G383</f>
        <v>18.100000000000001</v>
      </c>
      <c r="J383" s="298">
        <f t="shared" ca="1" si="54"/>
        <v>-0.67999999999999972</v>
      </c>
    </row>
    <row r="384" spans="1:10">
      <c r="A384" s="443">
        <f t="shared" si="45"/>
        <v>379</v>
      </c>
      <c r="B384" s="443" t="str">
        <f t="shared" si="53"/>
        <v>58 (59)</v>
      </c>
      <c r="C384" s="300" t="s">
        <v>925</v>
      </c>
      <c r="D384" s="301" t="s">
        <v>931</v>
      </c>
      <c r="E384" s="297">
        <v>42610</v>
      </c>
      <c r="F384" s="296">
        <v>18.940000000000001</v>
      </c>
      <c r="G384" s="296">
        <f ca="1">+'Exhibit No.__(JAP-LIGHT RD) '!G485</f>
        <v>17.420000000000002</v>
      </c>
      <c r="I384" s="298">
        <f>+'[2]Tariff Summary Lights'!G384</f>
        <v>18.100000000000001</v>
      </c>
      <c r="J384" s="298">
        <f t="shared" ca="1" si="54"/>
        <v>-0.67999999999999972</v>
      </c>
    </row>
    <row r="385" spans="1:10">
      <c r="A385" s="443">
        <f t="shared" si="45"/>
        <v>380</v>
      </c>
      <c r="B385" s="443" t="str">
        <f t="shared" si="53"/>
        <v>58 (59)</v>
      </c>
      <c r="C385" s="300" t="s">
        <v>925</v>
      </c>
      <c r="D385" s="301" t="s">
        <v>868</v>
      </c>
      <c r="E385" s="297">
        <v>42610</v>
      </c>
      <c r="F385" s="296">
        <v>19.12</v>
      </c>
      <c r="G385" s="296">
        <f ca="1">+'Exhibit No.__(JAP-LIGHT RD) '!G486</f>
        <v>18.53</v>
      </c>
      <c r="I385" s="298">
        <f>+'[2]Tariff Summary Lights'!G385</f>
        <v>19.260000000000002</v>
      </c>
      <c r="J385" s="298">
        <f t="shared" ca="1" si="54"/>
        <v>-0.73000000000000043</v>
      </c>
    </row>
    <row r="386" spans="1:10">
      <c r="A386" s="443">
        <f t="shared" si="45"/>
        <v>381</v>
      </c>
      <c r="B386" s="443" t="str">
        <f t="shared" si="53"/>
        <v>58 (59)</v>
      </c>
      <c r="C386" s="300" t="s">
        <v>925</v>
      </c>
      <c r="D386" s="301" t="s">
        <v>869</v>
      </c>
      <c r="E386" s="297">
        <v>42610</v>
      </c>
      <c r="F386" s="296">
        <v>19.29</v>
      </c>
      <c r="G386" s="296">
        <f ca="1">+'Exhibit No.__(JAP-LIGHT RD) '!G487</f>
        <v>18.53</v>
      </c>
      <c r="I386" s="298">
        <f>+'[2]Tariff Summary Lights'!G386</f>
        <v>19.260000000000002</v>
      </c>
      <c r="J386" s="298">
        <f t="shared" ca="1" si="54"/>
        <v>-0.73000000000000043</v>
      </c>
    </row>
    <row r="387" spans="1:10">
      <c r="A387" s="443">
        <f t="shared" si="45"/>
        <v>382</v>
      </c>
      <c r="B387" s="443" t="str">
        <f t="shared" si="53"/>
        <v>58 (59)</v>
      </c>
      <c r="C387" s="300" t="s">
        <v>925</v>
      </c>
      <c r="D387" s="301" t="s">
        <v>932</v>
      </c>
      <c r="E387" s="297" t="s">
        <v>908</v>
      </c>
      <c r="F387" s="297" t="s">
        <v>908</v>
      </c>
      <c r="G387" s="296">
        <f ca="1">+'Exhibit No.__(JAP-LIGHT RD) '!G488</f>
        <v>18.53</v>
      </c>
      <c r="I387" s="298">
        <f>+'[2]Tariff Summary Lights'!G387</f>
        <v>19.260000000000002</v>
      </c>
      <c r="J387" s="298">
        <f t="shared" ca="1" si="54"/>
        <v>-0.73000000000000043</v>
      </c>
    </row>
    <row r="388" spans="1:10">
      <c r="A388" s="443">
        <f t="shared" si="45"/>
        <v>383</v>
      </c>
      <c r="B388" s="443" t="str">
        <f t="shared" si="53"/>
        <v>58 (59)</v>
      </c>
      <c r="C388" s="300" t="s">
        <v>925</v>
      </c>
      <c r="D388" s="301" t="s">
        <v>874</v>
      </c>
      <c r="E388" s="297">
        <v>42610</v>
      </c>
      <c r="F388" s="296">
        <v>24.38</v>
      </c>
      <c r="G388" s="296">
        <f ca="1">+'Exhibit No.__(JAP-LIGHT RD) '!G489</f>
        <v>19.64</v>
      </c>
      <c r="I388" s="298">
        <f>+'[2]Tariff Summary Lights'!G388</f>
        <v>20.420000000000002</v>
      </c>
      <c r="J388" s="298">
        <f t="shared" ca="1" si="54"/>
        <v>-0.78000000000000114</v>
      </c>
    </row>
    <row r="389" spans="1:10">
      <c r="A389" s="443">
        <f t="shared" si="45"/>
        <v>384</v>
      </c>
      <c r="B389" s="443" t="str">
        <f t="shared" si="53"/>
        <v>58 (59)</v>
      </c>
      <c r="C389" s="300" t="s">
        <v>925</v>
      </c>
      <c r="D389" s="301" t="s">
        <v>875</v>
      </c>
      <c r="E389" s="297">
        <v>42610</v>
      </c>
      <c r="F389" s="296">
        <v>24.56</v>
      </c>
      <c r="G389" s="296">
        <f ca="1">+'Exhibit No.__(JAP-LIGHT RD) '!G490</f>
        <v>19.64</v>
      </c>
      <c r="I389" s="298">
        <f>+'[2]Tariff Summary Lights'!G389</f>
        <v>20.420000000000002</v>
      </c>
      <c r="J389" s="298">
        <f t="shared" ca="1" si="54"/>
        <v>-0.78000000000000114</v>
      </c>
    </row>
    <row r="390" spans="1:10">
      <c r="A390" s="443">
        <f t="shared" si="45"/>
        <v>385</v>
      </c>
      <c r="B390" s="443" t="str">
        <f t="shared" si="53"/>
        <v>58 (59)</v>
      </c>
      <c r="C390" s="300" t="s">
        <v>925</v>
      </c>
      <c r="D390" s="301" t="s">
        <v>876</v>
      </c>
      <c r="E390" s="297">
        <v>42610</v>
      </c>
      <c r="F390" s="296">
        <v>24.73</v>
      </c>
      <c r="G390" s="296">
        <f ca="1">+'Exhibit No.__(JAP-LIGHT RD) '!G491</f>
        <v>19.64</v>
      </c>
      <c r="I390" s="298">
        <f>+'[2]Tariff Summary Lights'!G390</f>
        <v>20.420000000000002</v>
      </c>
      <c r="J390" s="298">
        <f t="shared" ca="1" si="54"/>
        <v>-0.78000000000000114</v>
      </c>
    </row>
    <row r="391" spans="1:10">
      <c r="A391" s="443">
        <f t="shared" si="45"/>
        <v>386</v>
      </c>
      <c r="B391" s="443" t="str">
        <f t="shared" si="53"/>
        <v>58 (59)</v>
      </c>
      <c r="C391" s="300" t="s">
        <v>925</v>
      </c>
      <c r="D391" s="301" t="s">
        <v>877</v>
      </c>
      <c r="E391" s="297">
        <v>42610</v>
      </c>
      <c r="F391" s="296">
        <v>24.91</v>
      </c>
      <c r="G391" s="296">
        <f ca="1">+'Exhibit No.__(JAP-LIGHT RD) '!G492</f>
        <v>19.64</v>
      </c>
      <c r="I391" s="298">
        <f>+'[2]Tariff Summary Lights'!G391</f>
        <v>20.420000000000002</v>
      </c>
      <c r="J391" s="298">
        <f t="shared" ca="1" si="54"/>
        <v>-0.78000000000000114</v>
      </c>
    </row>
    <row r="392" spans="1:10">
      <c r="A392" s="443">
        <f t="shared" ref="A392:A424" si="56">+A391+1</f>
        <v>387</v>
      </c>
      <c r="B392" s="443" t="str">
        <f t="shared" si="53"/>
        <v>58 (59)</v>
      </c>
      <c r="C392" s="300" t="s">
        <v>925</v>
      </c>
      <c r="D392" s="301" t="s">
        <v>878</v>
      </c>
      <c r="E392" s="297">
        <v>42610</v>
      </c>
      <c r="F392" s="296">
        <v>25.08</v>
      </c>
      <c r="G392" s="296">
        <f ca="1">+'Exhibit No.__(JAP-LIGHT RD) '!G493</f>
        <v>19.64</v>
      </c>
      <c r="I392" s="298">
        <f>+'[2]Tariff Summary Lights'!G392</f>
        <v>20.420000000000002</v>
      </c>
      <c r="J392" s="298">
        <f t="shared" ca="1" si="54"/>
        <v>-0.78000000000000114</v>
      </c>
    </row>
    <row r="393" spans="1:10">
      <c r="A393" s="443">
        <f t="shared" si="56"/>
        <v>388</v>
      </c>
      <c r="B393" s="443" t="str">
        <f t="shared" si="53"/>
        <v>58 (59)</v>
      </c>
      <c r="C393" s="300" t="s">
        <v>925</v>
      </c>
      <c r="D393" s="301" t="s">
        <v>879</v>
      </c>
      <c r="E393" s="297">
        <v>42610</v>
      </c>
      <c r="F393" s="296">
        <v>25.27</v>
      </c>
      <c r="G393" s="296">
        <f ca="1">+'Exhibit No.__(JAP-LIGHT RD) '!G494</f>
        <v>19.64</v>
      </c>
      <c r="I393" s="298">
        <f>+'[2]Tariff Summary Lights'!G393</f>
        <v>20.420000000000002</v>
      </c>
      <c r="J393" s="298">
        <f t="shared" ca="1" si="54"/>
        <v>-0.78000000000000114</v>
      </c>
    </row>
    <row r="394" spans="1:10">
      <c r="A394" s="443">
        <f t="shared" si="56"/>
        <v>389</v>
      </c>
      <c r="B394" s="443" t="str">
        <f t="shared" si="53"/>
        <v>58 (59)</v>
      </c>
      <c r="C394" s="300" t="s">
        <v>925</v>
      </c>
      <c r="D394" s="301" t="s">
        <v>914</v>
      </c>
      <c r="E394" s="297" t="s">
        <v>908</v>
      </c>
      <c r="F394" s="297" t="s">
        <v>908</v>
      </c>
      <c r="G394" s="296">
        <f ca="1">+'Exhibit No.__(JAP-LIGHT RD) '!G495</f>
        <v>20.75</v>
      </c>
      <c r="I394" s="298">
        <f>+'[2]Tariff Summary Lights'!G394</f>
        <v>21.58</v>
      </c>
      <c r="J394" s="298">
        <f t="shared" ca="1" si="54"/>
        <v>-0.82999999999999829</v>
      </c>
    </row>
    <row r="395" spans="1:10">
      <c r="A395" s="443">
        <f t="shared" si="56"/>
        <v>390</v>
      </c>
      <c r="B395" s="443" t="str">
        <f t="shared" si="53"/>
        <v>58 (59)</v>
      </c>
      <c r="C395" s="300" t="s">
        <v>925</v>
      </c>
      <c r="D395" s="301" t="s">
        <v>933</v>
      </c>
      <c r="E395" s="297">
        <f>+E375</f>
        <v>41456</v>
      </c>
      <c r="F395" s="296">
        <v>30.11</v>
      </c>
      <c r="G395" s="296">
        <f ca="1">+'Exhibit No.__(JAP-LIGHT RD) '!G496</f>
        <v>23.16</v>
      </c>
      <c r="I395" s="298">
        <f>+'[2]Tariff Summary Lights'!G395</f>
        <v>24.09</v>
      </c>
      <c r="J395" s="298">
        <f t="shared" ca="1" si="54"/>
        <v>-0.92999999999999972</v>
      </c>
    </row>
    <row r="396" spans="1:10">
      <c r="A396" s="443">
        <f t="shared" si="56"/>
        <v>391</v>
      </c>
      <c r="B396" s="443" t="str">
        <f t="shared" si="53"/>
        <v>58 (59)</v>
      </c>
      <c r="C396" s="300" t="s">
        <v>925</v>
      </c>
      <c r="D396" s="301" t="s">
        <v>934</v>
      </c>
      <c r="E396" s="297">
        <f>+E395</f>
        <v>41456</v>
      </c>
      <c r="F396" s="296">
        <v>30.29</v>
      </c>
      <c r="G396" s="296">
        <f ca="1">+'Exhibit No.__(JAP-LIGHT RD) '!G497</f>
        <v>23.16</v>
      </c>
      <c r="I396" s="298">
        <f>+'[2]Tariff Summary Lights'!G396</f>
        <v>24.09</v>
      </c>
      <c r="J396" s="298">
        <f t="shared" ca="1" si="54"/>
        <v>-0.92999999999999972</v>
      </c>
    </row>
    <row r="397" spans="1:10">
      <c r="A397" s="443">
        <f t="shared" si="56"/>
        <v>392</v>
      </c>
      <c r="B397" s="443" t="str">
        <f t="shared" si="53"/>
        <v>58 (59)</v>
      </c>
      <c r="C397" s="300" t="s">
        <v>925</v>
      </c>
      <c r="D397" s="301" t="s">
        <v>935</v>
      </c>
      <c r="E397" s="297">
        <f t="shared" si="55"/>
        <v>41456</v>
      </c>
      <c r="F397" s="296">
        <v>30.47</v>
      </c>
      <c r="G397" s="296">
        <f ca="1">+'Exhibit No.__(JAP-LIGHT RD) '!G498</f>
        <v>23.16</v>
      </c>
      <c r="I397" s="298">
        <f>+'[2]Tariff Summary Lights'!G397</f>
        <v>24.09</v>
      </c>
      <c r="J397" s="298">
        <f t="shared" ca="1" si="54"/>
        <v>-0.92999999999999972</v>
      </c>
    </row>
    <row r="398" spans="1:10">
      <c r="A398" s="443">
        <f t="shared" si="56"/>
        <v>393</v>
      </c>
      <c r="B398" s="443" t="str">
        <f t="shared" si="53"/>
        <v>58 (59)</v>
      </c>
      <c r="C398" s="300" t="s">
        <v>925</v>
      </c>
      <c r="D398" s="301" t="s">
        <v>936</v>
      </c>
      <c r="E398" s="297">
        <f t="shared" si="55"/>
        <v>41456</v>
      </c>
      <c r="F398" s="296">
        <v>30.64</v>
      </c>
      <c r="G398" s="296">
        <f ca="1">+'Exhibit No.__(JAP-LIGHT RD) '!G499</f>
        <v>23.16</v>
      </c>
      <c r="I398" s="298">
        <f>+'[2]Tariff Summary Lights'!G398</f>
        <v>24.09</v>
      </c>
      <c r="J398" s="298">
        <f t="shared" ca="1" si="54"/>
        <v>-0.92999999999999972</v>
      </c>
    </row>
    <row r="399" spans="1:10">
      <c r="A399" s="443">
        <f t="shared" si="56"/>
        <v>394</v>
      </c>
      <c r="B399" s="443" t="str">
        <f t="shared" si="53"/>
        <v>58 (59)</v>
      </c>
      <c r="C399" s="300" t="s">
        <v>925</v>
      </c>
      <c r="D399" s="301" t="s">
        <v>937</v>
      </c>
      <c r="E399" s="297">
        <f t="shared" si="55"/>
        <v>41456</v>
      </c>
      <c r="F399" s="296">
        <v>30.82</v>
      </c>
      <c r="G399" s="296">
        <f ca="1">+'Exhibit No.__(JAP-LIGHT RD) '!G500</f>
        <v>23.16</v>
      </c>
      <c r="I399" s="298">
        <f>+'[2]Tariff Summary Lights'!G399</f>
        <v>24.09</v>
      </c>
      <c r="J399" s="298">
        <f t="shared" ca="1" si="54"/>
        <v>-0.92999999999999972</v>
      </c>
    </row>
    <row r="400" spans="1:10">
      <c r="A400" s="443">
        <f t="shared" si="56"/>
        <v>395</v>
      </c>
      <c r="B400" s="443" t="str">
        <f t="shared" si="53"/>
        <v>58 (59)</v>
      </c>
      <c r="C400" s="300" t="s">
        <v>925</v>
      </c>
      <c r="D400" s="301" t="s">
        <v>938</v>
      </c>
      <c r="E400" s="297" t="s">
        <v>908</v>
      </c>
      <c r="F400" s="297" t="s">
        <v>908</v>
      </c>
      <c r="G400" s="296">
        <f ca="1">+'Exhibit No.__(JAP-LIGHT RD) '!G501</f>
        <v>23.16</v>
      </c>
      <c r="I400" s="298">
        <f>+'[2]Tariff Summary Lights'!G400</f>
        <v>24.09</v>
      </c>
      <c r="J400" s="298">
        <f t="shared" ca="1" si="54"/>
        <v>-0.92999999999999972</v>
      </c>
    </row>
    <row r="401" spans="1:10">
      <c r="A401" s="443">
        <f t="shared" si="56"/>
        <v>396</v>
      </c>
      <c r="B401" s="443" t="str">
        <f t="shared" si="53"/>
        <v>58 (59)</v>
      </c>
      <c r="C401" s="300" t="s">
        <v>925</v>
      </c>
      <c r="D401" s="301" t="s">
        <v>939</v>
      </c>
      <c r="E401" s="297" t="s">
        <v>908</v>
      </c>
      <c r="F401" s="297" t="s">
        <v>908</v>
      </c>
      <c r="G401" s="296">
        <f ca="1">+'Exhibit No.__(JAP-LIGHT RD) '!G502</f>
        <v>26.85</v>
      </c>
      <c r="I401" s="298">
        <f>+'[2]Tariff Summary Lights'!G401</f>
        <v>27.96</v>
      </c>
      <c r="J401" s="298">
        <f t="shared" ca="1" si="54"/>
        <v>-1.1099999999999994</v>
      </c>
    </row>
    <row r="402" spans="1:10">
      <c r="A402" s="443">
        <f t="shared" si="56"/>
        <v>397</v>
      </c>
      <c r="B402" s="443" t="str">
        <f t="shared" si="53"/>
        <v>58 (59)</v>
      </c>
      <c r="C402" s="300" t="s">
        <v>925</v>
      </c>
      <c r="D402" s="301" t="s">
        <v>940</v>
      </c>
      <c r="E402" s="297">
        <f>+E399</f>
        <v>41456</v>
      </c>
      <c r="F402" s="296">
        <v>52.24</v>
      </c>
      <c r="G402" s="296">
        <f ca="1">+'Exhibit No.__(JAP-LIGHT RD) '!G503</f>
        <v>30.55</v>
      </c>
      <c r="I402" s="298">
        <f>+'[2]Tariff Summary Lights'!G402</f>
        <v>31.82</v>
      </c>
      <c r="J402" s="298">
        <f t="shared" ca="1" si="54"/>
        <v>-1.2699999999999996</v>
      </c>
    </row>
    <row r="403" spans="1:10">
      <c r="A403" s="443">
        <f t="shared" si="56"/>
        <v>398</v>
      </c>
      <c r="B403" s="443" t="str">
        <f t="shared" si="53"/>
        <v>58 (59)</v>
      </c>
      <c r="C403" s="300" t="s">
        <v>925</v>
      </c>
      <c r="D403" s="301" t="s">
        <v>941</v>
      </c>
      <c r="E403" s="297">
        <f t="shared" si="55"/>
        <v>41456</v>
      </c>
      <c r="F403" s="296">
        <v>52.41</v>
      </c>
      <c r="G403" s="296">
        <f ca="1">+'Exhibit No.__(JAP-LIGHT RD) '!G504</f>
        <v>30.55</v>
      </c>
      <c r="I403" s="298">
        <f>+'[2]Tariff Summary Lights'!G403</f>
        <v>31.82</v>
      </c>
      <c r="J403" s="298">
        <f t="shared" ca="1" si="54"/>
        <v>-1.2699999999999996</v>
      </c>
    </row>
    <row r="404" spans="1:10">
      <c r="A404" s="443">
        <f t="shared" si="56"/>
        <v>399</v>
      </c>
      <c r="B404" s="443" t="str">
        <f t="shared" si="53"/>
        <v>58 (59)</v>
      </c>
      <c r="C404" s="300" t="s">
        <v>925</v>
      </c>
      <c r="D404" s="301" t="s">
        <v>942</v>
      </c>
      <c r="E404" s="297">
        <f t="shared" si="55"/>
        <v>41456</v>
      </c>
      <c r="F404" s="296">
        <v>52.59</v>
      </c>
      <c r="G404" s="296">
        <f ca="1">+'Exhibit No.__(JAP-LIGHT RD) '!G505</f>
        <v>30.55</v>
      </c>
      <c r="I404" s="298">
        <f>+'[2]Tariff Summary Lights'!G404</f>
        <v>31.82</v>
      </c>
      <c r="J404" s="298">
        <f t="shared" ca="1" si="54"/>
        <v>-1.2699999999999996</v>
      </c>
    </row>
    <row r="405" spans="1:10">
      <c r="A405" s="443">
        <f t="shared" si="56"/>
        <v>400</v>
      </c>
      <c r="B405" s="443" t="str">
        <f t="shared" si="53"/>
        <v>58 (59)</v>
      </c>
      <c r="C405" s="300" t="s">
        <v>925</v>
      </c>
      <c r="D405" s="301" t="s">
        <v>943</v>
      </c>
      <c r="E405" s="297">
        <f t="shared" si="55"/>
        <v>41456</v>
      </c>
      <c r="F405" s="296">
        <v>52.76</v>
      </c>
      <c r="G405" s="296">
        <f ca="1">+'Exhibit No.__(JAP-LIGHT RD) '!G506</f>
        <v>30.55</v>
      </c>
      <c r="I405" s="298">
        <f>+'[2]Tariff Summary Lights'!G405</f>
        <v>31.82</v>
      </c>
      <c r="J405" s="298">
        <f t="shared" ca="1" si="54"/>
        <v>-1.2699999999999996</v>
      </c>
    </row>
    <row r="406" spans="1:10">
      <c r="A406" s="443">
        <f t="shared" si="56"/>
        <v>401</v>
      </c>
      <c r="B406" s="443" t="str">
        <f t="shared" si="53"/>
        <v>58 (59)</v>
      </c>
      <c r="C406" s="300" t="s">
        <v>925</v>
      </c>
      <c r="D406" s="301" t="s">
        <v>944</v>
      </c>
      <c r="E406" s="297">
        <f t="shared" si="55"/>
        <v>41456</v>
      </c>
      <c r="F406" s="296">
        <v>52.94</v>
      </c>
      <c r="G406" s="296">
        <f ca="1">+'Exhibit No.__(JAP-LIGHT RD) '!G507</f>
        <v>30.55</v>
      </c>
      <c r="I406" s="298">
        <f>+'[2]Tariff Summary Lights'!G406</f>
        <v>31.82</v>
      </c>
      <c r="J406" s="298">
        <f t="shared" ca="1" si="54"/>
        <v>-1.2699999999999996</v>
      </c>
    </row>
    <row r="407" spans="1:10">
      <c r="A407" s="443">
        <f t="shared" si="56"/>
        <v>402</v>
      </c>
      <c r="B407" s="443" t="str">
        <f t="shared" si="53"/>
        <v>58 (59)</v>
      </c>
      <c r="C407" s="300" t="s">
        <v>925</v>
      </c>
      <c r="D407" s="301" t="s">
        <v>945</v>
      </c>
      <c r="E407" s="297">
        <f t="shared" si="55"/>
        <v>41456</v>
      </c>
      <c r="F407" s="296">
        <v>53.12</v>
      </c>
      <c r="G407" s="296">
        <f ca="1">+'Exhibit No.__(JAP-LIGHT RD) '!G508</f>
        <v>30.55</v>
      </c>
      <c r="I407" s="298">
        <f>+'[2]Tariff Summary Lights'!G407</f>
        <v>31.82</v>
      </c>
      <c r="J407" s="298">
        <f t="shared" ca="1" si="54"/>
        <v>-1.2699999999999996</v>
      </c>
    </row>
    <row r="408" spans="1:10">
      <c r="A408" s="443">
        <f t="shared" si="56"/>
        <v>403</v>
      </c>
      <c r="B408" s="443" t="str">
        <f t="shared" si="53"/>
        <v>58 (59)</v>
      </c>
      <c r="C408" s="300" t="s">
        <v>925</v>
      </c>
      <c r="D408" s="301" t="s">
        <v>946</v>
      </c>
      <c r="E408" s="297" t="s">
        <v>908</v>
      </c>
      <c r="F408" s="297" t="s">
        <v>908</v>
      </c>
      <c r="G408" s="296">
        <f ca="1">+'Exhibit No.__(JAP-LIGHT RD) '!G509</f>
        <v>30.55</v>
      </c>
      <c r="I408" s="298">
        <f>+'[2]Tariff Summary Lights'!G408</f>
        <v>31.82</v>
      </c>
      <c r="J408" s="298">
        <f t="shared" ca="1" si="54"/>
        <v>-1.2699999999999996</v>
      </c>
    </row>
    <row r="409" spans="1:10">
      <c r="A409" s="443">
        <f t="shared" si="56"/>
        <v>404</v>
      </c>
      <c r="B409" s="443" t="str">
        <f t="shared" si="53"/>
        <v>58 (59)</v>
      </c>
      <c r="C409" s="300" t="s">
        <v>925</v>
      </c>
      <c r="D409" s="301" t="s">
        <v>947</v>
      </c>
      <c r="E409" s="297" t="s">
        <v>908</v>
      </c>
      <c r="F409" s="297" t="s">
        <v>908</v>
      </c>
      <c r="G409" s="296">
        <f ca="1">+'Exhibit No.__(JAP-LIGHT RD) '!G510</f>
        <v>34.25</v>
      </c>
      <c r="I409" s="298">
        <f>+'[2]Tariff Summary Lights'!G409</f>
        <v>35.69</v>
      </c>
      <c r="J409" s="298">
        <f t="shared" ca="1" si="54"/>
        <v>-1.4399999999999977</v>
      </c>
    </row>
    <row r="410" spans="1:10">
      <c r="A410" s="443">
        <f t="shared" si="56"/>
        <v>405</v>
      </c>
      <c r="B410" s="443" t="str">
        <f t="shared" si="53"/>
        <v>58 (59)</v>
      </c>
      <c r="C410" s="300" t="s">
        <v>925</v>
      </c>
      <c r="D410" s="301" t="s">
        <v>948</v>
      </c>
      <c r="E410" s="297" t="s">
        <v>908</v>
      </c>
      <c r="F410" s="297" t="s">
        <v>908</v>
      </c>
      <c r="G410" s="296">
        <f ca="1">+'Exhibit No.__(JAP-LIGHT RD) '!G511</f>
        <v>37.950000000000003</v>
      </c>
      <c r="I410" s="298">
        <f>+'[2]Tariff Summary Lights'!G410</f>
        <v>39.549999999999997</v>
      </c>
      <c r="J410" s="298">
        <f t="shared" ca="1" si="54"/>
        <v>-1.5999999999999943</v>
      </c>
    </row>
    <row r="411" spans="1:10">
      <c r="A411" s="443">
        <f t="shared" si="56"/>
        <v>406</v>
      </c>
      <c r="B411" s="443" t="str">
        <f t="shared" si="53"/>
        <v>58 (59)</v>
      </c>
      <c r="C411" s="300" t="s">
        <v>925</v>
      </c>
      <c r="D411" s="301" t="s">
        <v>949</v>
      </c>
      <c r="E411" s="297" t="s">
        <v>908</v>
      </c>
      <c r="F411" s="297" t="s">
        <v>908</v>
      </c>
      <c r="G411" s="296">
        <f ca="1">+'Exhibit No.__(JAP-LIGHT RD) '!G512</f>
        <v>41.64</v>
      </c>
      <c r="I411" s="298">
        <f>+'[2]Tariff Summary Lights'!G411</f>
        <v>43.42</v>
      </c>
      <c r="J411" s="298">
        <f t="shared" ca="1" si="54"/>
        <v>-1.7800000000000011</v>
      </c>
    </row>
    <row r="412" spans="1:10">
      <c r="A412" s="443">
        <f t="shared" si="56"/>
        <v>407</v>
      </c>
      <c r="B412" s="443" t="str">
        <f t="shared" si="53"/>
        <v>58 (59)</v>
      </c>
      <c r="C412" s="300" t="s">
        <v>925</v>
      </c>
      <c r="D412" s="301" t="s">
        <v>950</v>
      </c>
      <c r="E412" s="297">
        <f>+E407</f>
        <v>41456</v>
      </c>
      <c r="F412" s="296">
        <v>63.32</v>
      </c>
      <c r="G412" s="296">
        <f ca="1">+'Exhibit No.__(JAP-LIGHT RD) '!G513</f>
        <v>41.64</v>
      </c>
      <c r="I412" s="298">
        <f>+'[2]Tariff Summary Lights'!G412</f>
        <v>43.42</v>
      </c>
      <c r="J412" s="298">
        <f t="shared" ca="1" si="54"/>
        <v>-1.7800000000000011</v>
      </c>
    </row>
    <row r="413" spans="1:10">
      <c r="A413" s="443">
        <f t="shared" si="56"/>
        <v>408</v>
      </c>
      <c r="B413" s="443" t="str">
        <f t="shared" si="53"/>
        <v>58 (59)</v>
      </c>
      <c r="C413" s="300" t="s">
        <v>925</v>
      </c>
      <c r="D413" s="301" t="s">
        <v>951</v>
      </c>
      <c r="E413" s="297">
        <f t="shared" si="55"/>
        <v>41456</v>
      </c>
      <c r="F413" s="296">
        <v>63.49</v>
      </c>
      <c r="G413" s="296">
        <f ca="1">+'Exhibit No.__(JAP-LIGHT RD) '!G514</f>
        <v>41.64</v>
      </c>
      <c r="I413" s="298">
        <f>+'[2]Tariff Summary Lights'!G413</f>
        <v>43.42</v>
      </c>
      <c r="J413" s="298">
        <f t="shared" ca="1" si="54"/>
        <v>-1.7800000000000011</v>
      </c>
    </row>
    <row r="414" spans="1:10">
      <c r="A414" s="443">
        <f t="shared" si="56"/>
        <v>409</v>
      </c>
      <c r="B414" s="443" t="str">
        <f t="shared" si="53"/>
        <v>58 (59)</v>
      </c>
      <c r="C414" s="300" t="s">
        <v>925</v>
      </c>
      <c r="D414" s="301" t="s">
        <v>952</v>
      </c>
      <c r="E414" s="297">
        <f t="shared" si="55"/>
        <v>41456</v>
      </c>
      <c r="F414" s="296">
        <v>63.67</v>
      </c>
      <c r="G414" s="296">
        <f ca="1">+'Exhibit No.__(JAP-LIGHT RD) '!G515</f>
        <v>41.64</v>
      </c>
      <c r="I414" s="298">
        <f>+'[2]Tariff Summary Lights'!G414</f>
        <v>43.42</v>
      </c>
      <c r="J414" s="298">
        <f t="shared" ca="1" si="54"/>
        <v>-1.7800000000000011</v>
      </c>
    </row>
    <row r="415" spans="1:10">
      <c r="A415" s="443">
        <f t="shared" si="56"/>
        <v>410</v>
      </c>
      <c r="B415" s="443" t="str">
        <f t="shared" si="53"/>
        <v>58 (59)</v>
      </c>
      <c r="C415" s="300" t="s">
        <v>925</v>
      </c>
      <c r="D415" s="301" t="s">
        <v>953</v>
      </c>
      <c r="E415" s="297">
        <f t="shared" si="55"/>
        <v>41456</v>
      </c>
      <c r="F415" s="296">
        <v>63.84</v>
      </c>
      <c r="G415" s="296">
        <f ca="1">+'Exhibit No.__(JAP-LIGHT RD) '!G516</f>
        <v>41.64</v>
      </c>
      <c r="I415" s="298">
        <f>+'[2]Tariff Summary Lights'!G415</f>
        <v>43.42</v>
      </c>
      <c r="J415" s="298">
        <f t="shared" ca="1" si="54"/>
        <v>-1.7800000000000011</v>
      </c>
    </row>
    <row r="416" spans="1:10">
      <c r="A416" s="443">
        <f t="shared" si="56"/>
        <v>411</v>
      </c>
      <c r="B416" s="443" t="str">
        <f t="shared" si="53"/>
        <v>58 (59)</v>
      </c>
      <c r="C416" s="300" t="s">
        <v>925</v>
      </c>
      <c r="D416" s="301" t="s">
        <v>954</v>
      </c>
      <c r="E416" s="297">
        <f t="shared" si="55"/>
        <v>41456</v>
      </c>
      <c r="F416" s="296">
        <v>64.02</v>
      </c>
      <c r="G416" s="296">
        <f ca="1">+'Exhibit No.__(JAP-LIGHT RD) '!G517</f>
        <v>41.64</v>
      </c>
      <c r="I416" s="298">
        <f>+'[2]Tariff Summary Lights'!G416</f>
        <v>43.42</v>
      </c>
      <c r="J416" s="298">
        <f t="shared" ca="1" si="54"/>
        <v>-1.7800000000000011</v>
      </c>
    </row>
    <row r="417" spans="1:10">
      <c r="A417" s="443">
        <f t="shared" si="56"/>
        <v>412</v>
      </c>
      <c r="B417" s="443" t="str">
        <f t="shared" si="53"/>
        <v>58 (59)</v>
      </c>
      <c r="C417" s="300" t="s">
        <v>925</v>
      </c>
      <c r="D417" s="301" t="s">
        <v>955</v>
      </c>
      <c r="E417" s="297">
        <f t="shared" si="55"/>
        <v>41456</v>
      </c>
      <c r="F417" s="296">
        <v>64.2</v>
      </c>
      <c r="G417" s="296">
        <f ca="1">+'Exhibit No.__(JAP-LIGHT RD) '!G518</f>
        <v>41.64</v>
      </c>
      <c r="I417" s="298">
        <f>+'[2]Tariff Summary Lights'!G417</f>
        <v>43.42</v>
      </c>
      <c r="J417" s="298">
        <f t="shared" ca="1" si="54"/>
        <v>-1.7800000000000011</v>
      </c>
    </row>
    <row r="418" spans="1:10">
      <c r="A418" s="443">
        <f t="shared" si="56"/>
        <v>413</v>
      </c>
      <c r="B418" s="443" t="str">
        <f t="shared" si="53"/>
        <v>58 (59)</v>
      </c>
      <c r="C418" s="300" t="s">
        <v>925</v>
      </c>
      <c r="D418" s="301" t="s">
        <v>956</v>
      </c>
      <c r="E418" s="297">
        <f t="shared" si="55"/>
        <v>41456</v>
      </c>
      <c r="F418" s="296">
        <v>64.37</v>
      </c>
      <c r="G418" s="296">
        <f ca="1">+'Exhibit No.__(JAP-LIGHT RD) '!G519</f>
        <v>41.64</v>
      </c>
      <c r="I418" s="298">
        <f>+'[2]Tariff Summary Lights'!G418</f>
        <v>43.42</v>
      </c>
      <c r="J418" s="298">
        <f t="shared" ca="1" si="54"/>
        <v>-1.7800000000000011</v>
      </c>
    </row>
    <row r="419" spans="1:10">
      <c r="A419" s="443">
        <f t="shared" si="56"/>
        <v>414</v>
      </c>
      <c r="B419" s="443" t="str">
        <f t="shared" si="53"/>
        <v>58 (59)</v>
      </c>
      <c r="C419" s="300" t="s">
        <v>925</v>
      </c>
      <c r="D419" s="301" t="s">
        <v>957</v>
      </c>
      <c r="E419" s="297">
        <f t="shared" si="55"/>
        <v>41456</v>
      </c>
      <c r="F419" s="296">
        <v>64.55</v>
      </c>
      <c r="G419" s="296">
        <f ca="1">+'Exhibit No.__(JAP-LIGHT RD) '!G520</f>
        <v>41.64</v>
      </c>
      <c r="I419" s="298">
        <f>+'[2]Tariff Summary Lights'!G419</f>
        <v>43.42</v>
      </c>
      <c r="J419" s="298">
        <f t="shared" ca="1" si="54"/>
        <v>-1.7800000000000011</v>
      </c>
    </row>
    <row r="420" spans="1:10">
      <c r="A420" s="443">
        <f t="shared" si="56"/>
        <v>415</v>
      </c>
      <c r="B420" s="443" t="str">
        <f t="shared" si="53"/>
        <v>58 (59)</v>
      </c>
      <c r="C420" s="300" t="s">
        <v>925</v>
      </c>
      <c r="D420" s="301" t="s">
        <v>958</v>
      </c>
      <c r="E420" s="297">
        <f t="shared" si="55"/>
        <v>41456</v>
      </c>
      <c r="F420" s="296">
        <v>64.72</v>
      </c>
      <c r="G420" s="296">
        <f ca="1">+'Exhibit No.__(JAP-LIGHT RD) '!G521</f>
        <v>41.64</v>
      </c>
      <c r="I420" s="298">
        <f>+'[2]Tariff Summary Lights'!G420</f>
        <v>43.42</v>
      </c>
      <c r="J420" s="298">
        <f t="shared" ca="1" si="54"/>
        <v>-1.7800000000000011</v>
      </c>
    </row>
    <row r="421" spans="1:10">
      <c r="A421" s="443">
        <f t="shared" si="56"/>
        <v>416</v>
      </c>
      <c r="B421" s="443" t="str">
        <f t="shared" si="53"/>
        <v>58 (59)</v>
      </c>
      <c r="C421" s="300" t="s">
        <v>925</v>
      </c>
      <c r="D421" s="301" t="s">
        <v>959</v>
      </c>
      <c r="E421" s="297">
        <f t="shared" si="55"/>
        <v>41456</v>
      </c>
      <c r="F421" s="296">
        <v>64.900000000000006</v>
      </c>
      <c r="G421" s="296">
        <f ca="1">+'Exhibit No.__(JAP-LIGHT RD) '!G522</f>
        <v>41.64</v>
      </c>
      <c r="I421" s="298">
        <f>+'[2]Tariff Summary Lights'!G421</f>
        <v>43.42</v>
      </c>
      <c r="J421" s="298">
        <f t="shared" ca="1" si="54"/>
        <v>-1.7800000000000011</v>
      </c>
    </row>
    <row r="422" spans="1:10">
      <c r="A422" s="443">
        <f t="shared" si="56"/>
        <v>417</v>
      </c>
      <c r="B422" s="443" t="str">
        <f t="shared" si="53"/>
        <v>58 (59)</v>
      </c>
      <c r="C422" s="300" t="s">
        <v>925</v>
      </c>
      <c r="D422" s="301" t="s">
        <v>960</v>
      </c>
      <c r="E422" s="297" t="s">
        <v>908</v>
      </c>
      <c r="F422" s="297" t="s">
        <v>908</v>
      </c>
      <c r="G422" s="296">
        <f ca="1">+'Exhibit No.__(JAP-LIGHT RD) '!G523</f>
        <v>41.64</v>
      </c>
      <c r="I422" s="298">
        <f>+'[2]Tariff Summary Lights'!G422</f>
        <v>43.42</v>
      </c>
      <c r="J422" s="298">
        <f t="shared" ca="1" si="54"/>
        <v>-1.7800000000000011</v>
      </c>
    </row>
    <row r="423" spans="1:10">
      <c r="A423" s="443">
        <f t="shared" si="56"/>
        <v>418</v>
      </c>
      <c r="B423" s="443"/>
      <c r="C423" s="289"/>
      <c r="D423" s="443"/>
      <c r="E423" s="297"/>
      <c r="F423" s="289"/>
      <c r="G423" s="296"/>
      <c r="I423" s="298"/>
      <c r="J423" s="298"/>
    </row>
    <row r="424" spans="1:10">
      <c r="A424" s="443">
        <f t="shared" si="56"/>
        <v>419</v>
      </c>
      <c r="B424" s="443" t="str">
        <f>+$B$339</f>
        <v>58 (59)</v>
      </c>
      <c r="C424" s="289" t="s">
        <v>961</v>
      </c>
      <c r="D424" s="443" t="s">
        <v>917</v>
      </c>
      <c r="E424" s="297">
        <f>+$E$6</f>
        <v>41456</v>
      </c>
      <c r="F424" s="296">
        <v>8.18</v>
      </c>
      <c r="G424" s="296">
        <f ca="1">+'Exhibit No.__(JAP-LIGHT RD) '!G525</f>
        <v>9.75</v>
      </c>
      <c r="I424" s="298">
        <f>+'[2]Tariff Summary Lights'!G424</f>
        <v>10.16</v>
      </c>
      <c r="J424" s="298">
        <f ca="1">+G424-I424</f>
        <v>-0.41000000000000014</v>
      </c>
    </row>
  </sheetData>
  <printOptions horizontalCentered="1"/>
  <pageMargins left="0.7" right="0.7" top="0.75" bottom="1.02" header="0.3" footer="0.3"/>
  <pageSetup scale="96" fitToHeight="0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/>
  </sheetViews>
  <sheetFormatPr defaultRowHeight="15.6"/>
  <cols>
    <col min="1" max="16384" width="8.796875" style="326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2"/>
  <sheetViews>
    <sheetView topLeftCell="A10" zoomScaleNormal="100" workbookViewId="0">
      <selection activeCell="J32" sqref="J32"/>
    </sheetView>
  </sheetViews>
  <sheetFormatPr defaultRowHeight="12"/>
  <cols>
    <col min="1" max="1" width="4.59765625" style="194" customWidth="1"/>
    <col min="2" max="2" width="27" style="194" bestFit="1" customWidth="1"/>
    <col min="3" max="3" width="11.796875" style="194" bestFit="1" customWidth="1"/>
    <col min="4" max="5" width="10.09765625" style="194" bestFit="1" customWidth="1"/>
    <col min="6" max="6" width="11" style="194" bestFit="1" customWidth="1"/>
    <col min="7" max="7" width="9.19921875" style="194" bestFit="1" customWidth="1"/>
    <col min="8" max="8" width="8.09765625" style="194" bestFit="1" customWidth="1"/>
    <col min="9" max="9" width="10.796875" style="194" bestFit="1" customWidth="1"/>
    <col min="10" max="10" width="8" style="194" bestFit="1" customWidth="1"/>
    <col min="11" max="11" width="10.09765625" style="194" bestFit="1" customWidth="1"/>
    <col min="12" max="12" width="3.5" style="194" customWidth="1"/>
    <col min="13" max="13" width="10.5" style="194" bestFit="1" customWidth="1"/>
    <col min="14" max="14" width="10" style="194" bestFit="1" customWidth="1"/>
    <col min="15" max="16384" width="8.796875" style="194"/>
  </cols>
  <sheetData>
    <row r="1" spans="1:13">
      <c r="A1" s="484" t="s">
        <v>88</v>
      </c>
      <c r="B1" s="485" t="s">
        <v>216</v>
      </c>
      <c r="C1" s="485"/>
      <c r="D1" s="485"/>
      <c r="E1" s="485"/>
      <c r="F1" s="485"/>
      <c r="G1" s="485"/>
      <c r="H1" s="485"/>
      <c r="I1" s="485"/>
      <c r="J1" s="485"/>
      <c r="K1" s="485"/>
    </row>
    <row r="2" spans="1:13">
      <c r="A2" s="484" t="s">
        <v>337</v>
      </c>
      <c r="B2" s="485" t="s">
        <v>216</v>
      </c>
      <c r="C2" s="485"/>
      <c r="D2" s="485"/>
      <c r="E2" s="485"/>
      <c r="F2" s="485"/>
      <c r="G2" s="485"/>
      <c r="H2" s="485"/>
      <c r="I2" s="485"/>
      <c r="J2" s="485"/>
      <c r="K2" s="485"/>
    </row>
    <row r="3" spans="1:13">
      <c r="A3" s="485" t="s">
        <v>217</v>
      </c>
      <c r="B3" s="485" t="s">
        <v>217</v>
      </c>
      <c r="C3" s="485"/>
      <c r="D3" s="485"/>
      <c r="E3" s="485"/>
      <c r="F3" s="485"/>
      <c r="G3" s="485"/>
      <c r="H3" s="485"/>
      <c r="I3" s="485"/>
      <c r="J3" s="485"/>
      <c r="K3" s="485"/>
    </row>
    <row r="4" spans="1:13"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3" ht="60">
      <c r="A5" s="196" t="s">
        <v>218</v>
      </c>
      <c r="B5" s="196" t="s">
        <v>219</v>
      </c>
      <c r="C5" s="196" t="s">
        <v>220</v>
      </c>
      <c r="D5" s="197" t="s">
        <v>253</v>
      </c>
      <c r="E5" s="197" t="s">
        <v>259</v>
      </c>
      <c r="F5" s="197" t="s">
        <v>257</v>
      </c>
      <c r="G5" s="197" t="s">
        <v>254</v>
      </c>
      <c r="H5" s="197" t="s">
        <v>221</v>
      </c>
      <c r="I5" s="197" t="s">
        <v>222</v>
      </c>
      <c r="J5" s="197" t="s">
        <v>256</v>
      </c>
      <c r="K5" s="197" t="s">
        <v>255</v>
      </c>
      <c r="M5" s="197" t="s">
        <v>392</v>
      </c>
    </row>
    <row r="6" spans="1:13">
      <c r="A6" s="198"/>
      <c r="B6" s="199"/>
      <c r="C6" s="200"/>
      <c r="D6" s="200" t="s">
        <v>223</v>
      </c>
      <c r="E6" s="200" t="s">
        <v>224</v>
      </c>
      <c r="F6" s="198" t="s">
        <v>225</v>
      </c>
      <c r="G6" s="200" t="s">
        <v>226</v>
      </c>
      <c r="H6" s="198" t="s">
        <v>227</v>
      </c>
      <c r="I6" s="198" t="s">
        <v>228</v>
      </c>
      <c r="J6" s="201" t="s">
        <v>229</v>
      </c>
      <c r="K6" s="201" t="s">
        <v>230</v>
      </c>
    </row>
    <row r="7" spans="1:13">
      <c r="A7" s="198"/>
      <c r="B7" s="199"/>
      <c r="C7" s="200"/>
      <c r="D7" s="200"/>
      <c r="E7" s="200"/>
      <c r="F7" s="198"/>
      <c r="G7" s="200"/>
      <c r="H7" s="198"/>
      <c r="I7" s="198"/>
      <c r="J7" s="198"/>
      <c r="K7" s="198"/>
    </row>
    <row r="8" spans="1:13">
      <c r="A8" s="202">
        <v>1</v>
      </c>
      <c r="B8" s="203" t="s">
        <v>231</v>
      </c>
      <c r="C8" s="204">
        <v>7</v>
      </c>
      <c r="D8" s="205">
        <f>+'Exhibit No.__(JAP-Prof-Prop)'!J17</f>
        <v>10442426</v>
      </c>
      <c r="E8" s="206">
        <f>+'Exhibit No.__(JAP-Prof-Prop)'!L17</f>
        <v>1066627</v>
      </c>
      <c r="G8" s="207">
        <f ca="1">E8/(E$34-E$22-E$32-$E$26)</f>
        <v>0.5578244642663629</v>
      </c>
      <c r="H8" s="208">
        <v>1</v>
      </c>
      <c r="I8" s="209">
        <f ca="1">+$I$40*H8</f>
        <v>1.8815167015235074E-2</v>
      </c>
      <c r="J8" s="206">
        <f ca="1">+E8*I8</f>
        <v>20068.76514795914</v>
      </c>
      <c r="K8" s="206">
        <f ca="1">+E8+J8</f>
        <v>1086695.7651479591</v>
      </c>
      <c r="M8" s="221">
        <f ca="1">+J8*1000</f>
        <v>20068765.147959139</v>
      </c>
    </row>
    <row r="9" spans="1:13">
      <c r="A9" s="202">
        <f>+A8+1</f>
        <v>2</v>
      </c>
      <c r="C9" s="204"/>
      <c r="D9" s="210"/>
      <c r="E9" s="211"/>
      <c r="G9" s="212"/>
      <c r="J9" s="211"/>
      <c r="K9" s="211"/>
      <c r="M9" s="221">
        <f t="shared" ref="M9:M34" si="0">+J9*1000</f>
        <v>0</v>
      </c>
    </row>
    <row r="10" spans="1:13">
      <c r="A10" s="202">
        <f t="shared" ref="A10:A40" si="1">+A9+1</f>
        <v>3</v>
      </c>
      <c r="B10" s="194" t="s">
        <v>151</v>
      </c>
      <c r="C10" s="204"/>
      <c r="D10" s="210"/>
      <c r="E10" s="211"/>
      <c r="G10" s="212"/>
      <c r="J10" s="211"/>
      <c r="K10" s="211"/>
      <c r="M10" s="221">
        <f t="shared" si="0"/>
        <v>0</v>
      </c>
    </row>
    <row r="11" spans="1:13">
      <c r="A11" s="202">
        <f t="shared" si="1"/>
        <v>4</v>
      </c>
      <c r="B11" s="213" t="s">
        <v>232</v>
      </c>
      <c r="C11" s="214" t="s">
        <v>233</v>
      </c>
      <c r="D11" s="215">
        <f>SUM('Exhibit No.__(JAP-Prof-Prop)'!J21)</f>
        <v>2787584</v>
      </c>
      <c r="E11" s="211">
        <f>SUM('Exhibit No.__(JAP-Prof-Prop)'!L21)</f>
        <v>266957</v>
      </c>
      <c r="G11" s="207">
        <f ca="1">E11/(E$34-E$22-E$32-$E$26)</f>
        <v>0.13961314077663084</v>
      </c>
      <c r="H11" s="208">
        <v>0.75</v>
      </c>
      <c r="I11" s="209">
        <f t="shared" ref="I11:I13" ca="1" si="2">+$I$40*H11</f>
        <v>1.4111375261426307E-2</v>
      </c>
      <c r="J11" s="211">
        <f ca="1">+E11*I11</f>
        <v>3767.1304056645827</v>
      </c>
      <c r="K11" s="211">
        <f ca="1">+E11+J11</f>
        <v>270724.13040566456</v>
      </c>
      <c r="M11" s="221">
        <f t="shared" ca="1" si="0"/>
        <v>3767130.4056645827</v>
      </c>
    </row>
    <row r="12" spans="1:13">
      <c r="A12" s="202">
        <f t="shared" si="1"/>
        <v>5</v>
      </c>
      <c r="B12" s="213" t="s">
        <v>234</v>
      </c>
      <c r="C12" s="214" t="s">
        <v>235</v>
      </c>
      <c r="D12" s="215">
        <f>SUM('Exhibit No.__(JAP-Prof-Prop)'!J22,'Exhibit No.__(JAP-Prof-Prop)'!J24)</f>
        <v>2853786</v>
      </c>
      <c r="E12" s="211">
        <f>SUM('Exhibit No.__(JAP-Prof-Prop)'!L22,'Exhibit No.__(JAP-Prof-Prop)'!L24)</f>
        <v>253666.74600000001</v>
      </c>
      <c r="G12" s="207">
        <f ca="1">E12/(E$34-E$22-E$32-$E$26)</f>
        <v>0.13266260528717308</v>
      </c>
      <c r="H12" s="208">
        <v>0.65</v>
      </c>
      <c r="I12" s="209">
        <f t="shared" ca="1" si="2"/>
        <v>1.2229858559902799E-2</v>
      </c>
      <c r="J12" s="211">
        <f ca="1">+E12*I12</f>
        <v>3102.3084249307894</v>
      </c>
      <c r="K12" s="211">
        <f ca="1">+E12+J12</f>
        <v>256769.0544249308</v>
      </c>
      <c r="M12" s="221">
        <f t="shared" ca="1" si="0"/>
        <v>3102308.4249307895</v>
      </c>
    </row>
    <row r="13" spans="1:13">
      <c r="A13" s="202">
        <f t="shared" si="1"/>
        <v>6</v>
      </c>
      <c r="B13" s="213" t="s">
        <v>236</v>
      </c>
      <c r="C13" s="214" t="s">
        <v>237</v>
      </c>
      <c r="D13" s="215">
        <f>SUM('Exhibit No.__(JAP-Prof-Prop)'!J23)</f>
        <v>1892054.7443816457</v>
      </c>
      <c r="E13" s="211">
        <f>SUM('Exhibit No.__(JAP-Prof-Prop)'!L23)</f>
        <v>153864.55600000001</v>
      </c>
      <c r="G13" s="207">
        <f ca="1">E13/(E$34-E$22-E$32-$E$26)</f>
        <v>8.0468067581527372E-2</v>
      </c>
      <c r="H13" s="208">
        <v>0.65</v>
      </c>
      <c r="I13" s="209">
        <f t="shared" ca="1" si="2"/>
        <v>1.2229858559902799E-2</v>
      </c>
      <c r="J13" s="211">
        <f ca="1">+E13*I13</f>
        <v>1881.7417572622437</v>
      </c>
      <c r="K13" s="211">
        <f ca="1">+E13+J13</f>
        <v>155746.29775726225</v>
      </c>
      <c r="M13" s="221">
        <f t="shared" ca="1" si="0"/>
        <v>1881741.7572622437</v>
      </c>
    </row>
    <row r="14" spans="1:13">
      <c r="A14" s="202">
        <f t="shared" si="1"/>
        <v>7</v>
      </c>
      <c r="B14" s="216" t="s">
        <v>238</v>
      </c>
      <c r="C14" s="204"/>
      <c r="D14" s="217">
        <f>SUM(D11:D13)</f>
        <v>7533424.7443816457</v>
      </c>
      <c r="E14" s="206">
        <f>SUM(E11:E13)</f>
        <v>674488.30200000003</v>
      </c>
      <c r="G14" s="212"/>
      <c r="J14" s="206">
        <f ca="1">SUM(J11:J13)</f>
        <v>8751.180587857616</v>
      </c>
      <c r="K14" s="206">
        <f ca="1">SUM(K11:K13)</f>
        <v>683239.48258785764</v>
      </c>
      <c r="M14" s="221">
        <f t="shared" ca="1" si="0"/>
        <v>8751180.5878576152</v>
      </c>
    </row>
    <row r="15" spans="1:13">
      <c r="A15" s="202">
        <f t="shared" si="1"/>
        <v>8</v>
      </c>
      <c r="C15" s="204"/>
      <c r="D15" s="218"/>
      <c r="E15" s="211"/>
      <c r="G15" s="212"/>
      <c r="J15" s="211"/>
      <c r="K15" s="211"/>
      <c r="M15" s="221">
        <f t="shared" si="0"/>
        <v>0</v>
      </c>
    </row>
    <row r="16" spans="1:13">
      <c r="A16" s="202">
        <f t="shared" si="1"/>
        <v>9</v>
      </c>
      <c r="B16" s="194" t="s">
        <v>147</v>
      </c>
      <c r="C16" s="204"/>
      <c r="D16" s="218"/>
      <c r="E16" s="211"/>
      <c r="G16" s="212"/>
      <c r="J16" s="211"/>
      <c r="K16" s="211"/>
      <c r="M16" s="221">
        <f t="shared" si="0"/>
        <v>0</v>
      </c>
    </row>
    <row r="17" spans="1:15">
      <c r="A17" s="202">
        <f t="shared" si="1"/>
        <v>10</v>
      </c>
      <c r="B17" s="213" t="s">
        <v>381</v>
      </c>
      <c r="C17" s="214" t="s">
        <v>383</v>
      </c>
      <c r="D17" s="215">
        <f>SUM('Exhibit No.__(JAP-Prof-Prop)'!J28)</f>
        <v>1284401.5744586966</v>
      </c>
      <c r="E17" s="211">
        <f>SUM('Exhibit No.__(JAP-Prof-Prop)'!L28)</f>
        <v>102890.712</v>
      </c>
      <c r="G17" s="207">
        <f ca="1">E17/(E$34-E$22-E$32-$E$26)</f>
        <v>5.3809772581590969E-2</v>
      </c>
      <c r="H17" s="208">
        <v>0.65</v>
      </c>
      <c r="I17" s="209">
        <f t="shared" ref="I17:I19" ca="1" si="3">+$I$40*H17</f>
        <v>1.2229858559902799E-2</v>
      </c>
      <c r="J17" s="211">
        <f ca="1">+E17*I17</f>
        <v>1258.3388548876937</v>
      </c>
      <c r="K17" s="211">
        <f ca="1">+E17+J17</f>
        <v>104149.0508548877</v>
      </c>
      <c r="M17" s="221">
        <f t="shared" ca="1" si="0"/>
        <v>1258338.8548876937</v>
      </c>
    </row>
    <row r="18" spans="1:15">
      <c r="A18" s="202">
        <f t="shared" si="1"/>
        <v>11</v>
      </c>
      <c r="B18" s="213" t="s">
        <v>382</v>
      </c>
      <c r="C18" s="214">
        <v>35</v>
      </c>
      <c r="D18" s="215">
        <f>SUM('Exhibit No.__(JAP-Prof-Prop)'!J29)</f>
        <v>4452.6000000000004</v>
      </c>
      <c r="E18" s="211">
        <f>SUM('Exhibit No.__(JAP-Prof-Prop)'!L29)</f>
        <v>248.215</v>
      </c>
      <c r="G18" s="207">
        <f ca="1">E18/(E$34-E$22-E$32-$E$26)</f>
        <v>1.2981145179887183E-4</v>
      </c>
      <c r="H18" s="208">
        <v>1.5</v>
      </c>
      <c r="I18" s="209">
        <f t="shared" ref="I18" ca="1" si="4">+$I$40*H18</f>
        <v>2.8222750522852613E-2</v>
      </c>
      <c r="J18" s="211">
        <f ca="1">+E18*I18</f>
        <v>7.0053100210298611</v>
      </c>
      <c r="K18" s="211">
        <f ca="1">+E18+J18</f>
        <v>255.22031002102986</v>
      </c>
      <c r="M18" s="221">
        <f t="shared" ref="M18" ca="1" si="5">+J18*1000</f>
        <v>7005.3100210298608</v>
      </c>
    </row>
    <row r="19" spans="1:15">
      <c r="A19" s="202">
        <f t="shared" si="1"/>
        <v>12</v>
      </c>
      <c r="B19" s="219" t="s">
        <v>239</v>
      </c>
      <c r="C19" s="204">
        <v>43</v>
      </c>
      <c r="D19" s="215">
        <f>SUM('Exhibit No.__(JAP-Prof-Prop)'!J30)</f>
        <v>119660.40146477679</v>
      </c>
      <c r="E19" s="211">
        <f>SUM('Exhibit No.__(JAP-Prof-Prop)'!L30)</f>
        <v>10337.824000000001</v>
      </c>
      <c r="G19" s="207">
        <f ca="1">E19/(E$34-E$22-E$32-$E$26)</f>
        <v>5.406473991826523E-3</v>
      </c>
      <c r="H19" s="208">
        <v>1</v>
      </c>
      <c r="I19" s="209">
        <f t="shared" ca="1" si="3"/>
        <v>1.8815167015235074E-2</v>
      </c>
      <c r="J19" s="211">
        <f ca="1">+E19*I19</f>
        <v>194.50788513410552</v>
      </c>
      <c r="K19" s="211">
        <f ca="1">+E19+J19</f>
        <v>10532.331885134106</v>
      </c>
      <c r="M19" s="221">
        <f t="shared" ca="1" si="0"/>
        <v>194507.88513410551</v>
      </c>
    </row>
    <row r="20" spans="1:15">
      <c r="A20" s="202">
        <f t="shared" si="1"/>
        <v>13</v>
      </c>
      <c r="B20" s="203" t="s">
        <v>240</v>
      </c>
      <c r="C20" s="204"/>
      <c r="D20" s="217">
        <f>SUM(D17:D19)</f>
        <v>1408514.5759234736</v>
      </c>
      <c r="E20" s="206">
        <f>SUM(E17:E19)</f>
        <v>113476.75099999999</v>
      </c>
      <c r="G20" s="212"/>
      <c r="J20" s="206">
        <f ca="1">SUM(J17:J19)</f>
        <v>1459.852050042829</v>
      </c>
      <c r="K20" s="206">
        <f ca="1">SUM(K17:K19)</f>
        <v>114936.60305004283</v>
      </c>
      <c r="M20" s="221">
        <f t="shared" ca="1" si="0"/>
        <v>1459852.050042829</v>
      </c>
    </row>
    <row r="21" spans="1:15">
      <c r="A21" s="202">
        <f t="shared" si="1"/>
        <v>14</v>
      </c>
      <c r="C21" s="204"/>
      <c r="D21" s="220"/>
      <c r="E21" s="221"/>
      <c r="G21" s="222"/>
      <c r="M21" s="221">
        <f t="shared" si="0"/>
        <v>0</v>
      </c>
    </row>
    <row r="22" spans="1:15">
      <c r="A22" s="202">
        <f t="shared" si="1"/>
        <v>15</v>
      </c>
      <c r="B22" s="203" t="s">
        <v>63</v>
      </c>
      <c r="C22" s="204">
        <v>40</v>
      </c>
      <c r="D22" s="223">
        <f>SUM('Exhibit No.__(JAP-Prof-Prop)'!J33)</f>
        <v>621678.72633913101</v>
      </c>
      <c r="E22" s="206">
        <f ca="1">SUM('Exhibit No.__(JAP-Prof-Prop)'!L33)</f>
        <v>43551.319801261998</v>
      </c>
      <c r="G22" s="212"/>
      <c r="I22" s="209">
        <f ca="1">((J22)/E22)</f>
        <v>3.5862649075357869E-2</v>
      </c>
      <c r="J22" s="206">
        <v>1561.8656988013433</v>
      </c>
      <c r="K22" s="206">
        <f ca="1">+E22+J22</f>
        <v>45113.185500063344</v>
      </c>
      <c r="M22" s="221">
        <f t="shared" si="0"/>
        <v>1561865.6988013433</v>
      </c>
    </row>
    <row r="23" spans="1:15">
      <c r="A23" s="202">
        <f t="shared" si="1"/>
        <v>16</v>
      </c>
      <c r="C23" s="204"/>
      <c r="D23" s="220"/>
      <c r="E23" s="221"/>
      <c r="G23" s="222"/>
      <c r="M23" s="221">
        <f t="shared" si="0"/>
        <v>0</v>
      </c>
    </row>
    <row r="24" spans="1:15">
      <c r="A24" s="202">
        <f t="shared" si="1"/>
        <v>17</v>
      </c>
      <c r="B24" s="216" t="s">
        <v>241</v>
      </c>
      <c r="C24" s="204" t="s">
        <v>242</v>
      </c>
      <c r="D24" s="223">
        <f>SUM('Exhibit No.__(JAP-Prof-Prop)'!J38)</f>
        <v>632259.21669800009</v>
      </c>
      <c r="E24" s="206">
        <f>SUM('Exhibit No.__(JAP-Prof-Prop)'!L38)</f>
        <v>40360.090000000004</v>
      </c>
      <c r="G24" s="207">
        <f ca="1">E24/(E$34-E$22-E$32-$E$26)</f>
        <v>2.110751516883802E-2</v>
      </c>
      <c r="H24" s="208">
        <v>0.65</v>
      </c>
      <c r="I24" s="209">
        <f ca="1">+$I$40*H24</f>
        <v>1.2229858559902799E-2</v>
      </c>
      <c r="J24" s="206">
        <f ca="1">+E24*I24</f>
        <v>493.59819216494742</v>
      </c>
      <c r="K24" s="206">
        <f ca="1">+E24+J24</f>
        <v>40853.688192164955</v>
      </c>
      <c r="M24" s="221">
        <f t="shared" ca="1" si="0"/>
        <v>493598.1921649474</v>
      </c>
    </row>
    <row r="25" spans="1:15">
      <c r="A25" s="202">
        <f t="shared" si="1"/>
        <v>18</v>
      </c>
      <c r="C25" s="204"/>
      <c r="D25" s="220"/>
      <c r="E25" s="221"/>
      <c r="G25" s="222"/>
      <c r="J25" s="224"/>
      <c r="K25" s="224"/>
      <c r="M25" s="221">
        <f t="shared" si="0"/>
        <v>0</v>
      </c>
    </row>
    <row r="26" spans="1:15">
      <c r="A26" s="202">
        <f t="shared" si="1"/>
        <v>19</v>
      </c>
      <c r="B26" s="203" t="s">
        <v>243</v>
      </c>
      <c r="C26" s="214" t="s">
        <v>244</v>
      </c>
      <c r="D26" s="223">
        <f>SUM('Exhibit No.__(JAP-Prof-Prop)'!J40)</f>
        <v>2098103.6366259996</v>
      </c>
      <c r="E26" s="206">
        <f>SUM('Exhibit No.__(JAP-Prof-Prop)'!L40)</f>
        <v>7513.2849999999999</v>
      </c>
      <c r="G26" s="207"/>
      <c r="H26" s="208"/>
      <c r="I26" s="209">
        <f ca="1">((J26)/E26)</f>
        <v>5.922509261927373E-2</v>
      </c>
      <c r="J26" s="206">
        <f ca="1">(+'Exhibit No.__(JAP-TRANSP RD)'!I27-'Exhibit No.__(JAP-TRANSP RD)'!F27)/1000</f>
        <v>444.97500000000002</v>
      </c>
      <c r="K26" s="206">
        <f ca="1">+E26+J26</f>
        <v>7958.26</v>
      </c>
      <c r="M26" s="221">
        <f t="shared" ca="1" si="0"/>
        <v>444975</v>
      </c>
    </row>
    <row r="27" spans="1:15">
      <c r="A27" s="202">
        <f t="shared" si="1"/>
        <v>20</v>
      </c>
      <c r="C27" s="204"/>
      <c r="D27" s="220"/>
      <c r="E27" s="221"/>
      <c r="G27" s="222"/>
      <c r="M27" s="221">
        <f t="shared" si="0"/>
        <v>0</v>
      </c>
    </row>
    <row r="28" spans="1:15">
      <c r="A28" s="202">
        <f t="shared" si="1"/>
        <v>21</v>
      </c>
      <c r="B28" s="194" t="s">
        <v>245</v>
      </c>
      <c r="C28" s="204" t="s">
        <v>80</v>
      </c>
      <c r="D28" s="223">
        <f>+'Exhibit No.__(JAP-LIGHT RD) '!J22</f>
        <v>77972349.305999994</v>
      </c>
      <c r="E28" s="206">
        <f>+'Exhibit No.__(JAP-LIGHT RD) '!F22/1000</f>
        <v>17167.293000000001</v>
      </c>
      <c r="G28" s="207">
        <f ca="1">E28/(E$34-E$22-E$32-$E$26)</f>
        <v>8.9781488942513935E-3</v>
      </c>
      <c r="H28" s="208">
        <v>1</v>
      </c>
      <c r="I28" s="209">
        <f ca="1">+$I$40*H28</f>
        <v>1.8815167015235074E-2</v>
      </c>
      <c r="J28" s="206">
        <f ca="1">+E28*I28</f>
        <v>323.00548499447603</v>
      </c>
      <c r="K28" s="206">
        <f ca="1">+E28+J28</f>
        <v>17490.298484994477</v>
      </c>
      <c r="M28" s="221">
        <f t="shared" ca="1" si="0"/>
        <v>323005.48499447602</v>
      </c>
      <c r="N28" s="221"/>
      <c r="O28" s="221"/>
    </row>
    <row r="29" spans="1:15">
      <c r="A29" s="202">
        <f t="shared" si="1"/>
        <v>22</v>
      </c>
      <c r="C29" s="204"/>
      <c r="D29" s="225"/>
      <c r="E29" s="221"/>
      <c r="G29" s="221"/>
      <c r="M29" s="221">
        <f t="shared" si="0"/>
        <v>0</v>
      </c>
    </row>
    <row r="30" spans="1:15" ht="12.6" thickBot="1">
      <c r="A30" s="202">
        <f t="shared" si="1"/>
        <v>23</v>
      </c>
      <c r="B30" s="216" t="s">
        <v>246</v>
      </c>
      <c r="C30" s="204"/>
      <c r="D30" s="226">
        <f>SUM(D28,D26,D22,D24,D20,D14,D8)</f>
        <v>100708756.20596826</v>
      </c>
      <c r="E30" s="227">
        <f ca="1">SUM(E28,E26,E22,E24,E20,E14,E8)</f>
        <v>1963184.040801262</v>
      </c>
      <c r="I30" s="209">
        <f ca="1">((J30)/E30)</f>
        <v>1.6862016741084274E-2</v>
      </c>
      <c r="J30" s="227">
        <f ca="1">SUM(J28,J26,J22,J24,J20,J14,J8)</f>
        <v>33103.242161820352</v>
      </c>
      <c r="K30" s="227">
        <f ca="1">SUM(K28,K26,K22,K24,K20,K14,K8)</f>
        <v>1996287.2829630824</v>
      </c>
      <c r="M30" s="221">
        <f t="shared" ca="1" si="0"/>
        <v>33103242.161820352</v>
      </c>
    </row>
    <row r="31" spans="1:15" ht="12.6" thickTop="1">
      <c r="A31" s="202">
        <f t="shared" si="1"/>
        <v>24</v>
      </c>
      <c r="C31" s="204"/>
      <c r="D31" s="220"/>
      <c r="E31" s="221"/>
      <c r="G31" s="222"/>
      <c r="J31" s="224"/>
      <c r="K31" s="224"/>
      <c r="M31" s="221">
        <f t="shared" si="0"/>
        <v>0</v>
      </c>
    </row>
    <row r="32" spans="1:15">
      <c r="A32" s="202">
        <f t="shared" si="1"/>
        <v>25</v>
      </c>
      <c r="B32" s="216" t="s">
        <v>247</v>
      </c>
      <c r="C32" s="214"/>
      <c r="D32" s="223">
        <f>SUM('Exhibit No.__(JAP-Prof-Prop)'!J46)</f>
        <v>6929.8034221808284</v>
      </c>
      <c r="E32" s="206">
        <f>SUM('Exhibit No.__(JAP-Prof-Prop)'!L46)</f>
        <v>316.39299999999997</v>
      </c>
      <c r="G32" s="207"/>
      <c r="H32" s="209"/>
      <c r="I32" s="209">
        <f ca="1">((J32)/E32)</f>
        <v>1.1632553127902472</v>
      </c>
      <c r="J32" s="206">
        <f ca="1">+'Exhibit No.__(JAP-TRANSP RD)'!I45/1000</f>
        <v>368.04583817964465</v>
      </c>
      <c r="K32" s="206">
        <f ca="1">+E32+J32</f>
        <v>684.43883817964456</v>
      </c>
      <c r="M32" s="221">
        <f t="shared" ca="1" si="0"/>
        <v>368045.83817964466</v>
      </c>
    </row>
    <row r="33" spans="1:13">
      <c r="A33" s="202">
        <f t="shared" si="1"/>
        <v>26</v>
      </c>
      <c r="C33" s="204"/>
      <c r="D33" s="225"/>
      <c r="E33" s="221"/>
      <c r="G33" s="221"/>
      <c r="M33" s="221">
        <f t="shared" si="0"/>
        <v>0</v>
      </c>
    </row>
    <row r="34" spans="1:13" ht="12.6" thickBot="1">
      <c r="A34" s="202">
        <f t="shared" si="1"/>
        <v>27</v>
      </c>
      <c r="B34" s="194" t="s">
        <v>248</v>
      </c>
      <c r="C34" s="204"/>
      <c r="D34" s="226">
        <f>SUM(D32,D30)</f>
        <v>100715686.00939044</v>
      </c>
      <c r="E34" s="227">
        <f ca="1">SUM(E32,E30)</f>
        <v>1963500.4338012619</v>
      </c>
      <c r="F34" s="227">
        <f ca="1">+'[4]KJB-3,11 Def'!$C$22</f>
        <v>33471288</v>
      </c>
      <c r="G34" s="228">
        <f ca="1">SUM(G8:G32)</f>
        <v>1</v>
      </c>
      <c r="I34" s="228">
        <f ca="1">(+F34/1000)/E34</f>
        <v>1.7046743369035507E-2</v>
      </c>
      <c r="J34" s="227">
        <f ca="1">SUM(J32,J30)</f>
        <v>33471.287999999993</v>
      </c>
      <c r="K34" s="227">
        <f ca="1">SUM(K32,K30)</f>
        <v>1996971.7218012621</v>
      </c>
      <c r="M34" s="221">
        <f t="shared" ca="1" si="0"/>
        <v>33471287.999999993</v>
      </c>
    </row>
    <row r="35" spans="1:13" ht="12.6" thickTop="1">
      <c r="A35" s="202">
        <f t="shared" si="1"/>
        <v>28</v>
      </c>
      <c r="C35" s="204"/>
      <c r="D35" s="210"/>
      <c r="E35" s="211"/>
      <c r="F35" s="211"/>
      <c r="G35" s="229"/>
      <c r="H35" s="211"/>
      <c r="I35" s="229"/>
      <c r="J35" s="230"/>
      <c r="K35" s="211"/>
    </row>
    <row r="36" spans="1:13" ht="12.6" thickBot="1">
      <c r="A36" s="202">
        <f t="shared" si="1"/>
        <v>29</v>
      </c>
      <c r="C36" s="204"/>
      <c r="D36" s="204"/>
      <c r="J36" s="231"/>
      <c r="K36" s="231"/>
    </row>
    <row r="37" spans="1:13">
      <c r="A37" s="202">
        <f t="shared" si="1"/>
        <v>30</v>
      </c>
      <c r="B37" s="486" t="s">
        <v>249</v>
      </c>
      <c r="C37" s="487"/>
      <c r="D37" s="487"/>
      <c r="E37" s="487"/>
      <c r="F37" s="232">
        <v>1</v>
      </c>
      <c r="G37" s="233"/>
      <c r="H37" s="232"/>
      <c r="I37" s="286">
        <f ca="1">(F34)/(E34*1000)</f>
        <v>1.7046743369035507E-2</v>
      </c>
    </row>
    <row r="38" spans="1:13">
      <c r="A38" s="202">
        <f t="shared" si="1"/>
        <v>31</v>
      </c>
      <c r="B38" s="488" t="s">
        <v>250</v>
      </c>
      <c r="C38" s="489"/>
      <c r="D38" s="489"/>
      <c r="E38" s="489"/>
      <c r="F38" s="224"/>
      <c r="G38" s="224"/>
      <c r="H38" s="224"/>
      <c r="I38" s="287">
        <f ca="1">((F34/1000)-(J22)-(J26)-(J32))/(E34-E22-E26-E32)</f>
        <v>1.6262792416393286E-2</v>
      </c>
      <c r="K38" s="231"/>
    </row>
    <row r="39" spans="1:13">
      <c r="A39" s="202">
        <f t="shared" si="1"/>
        <v>32</v>
      </c>
      <c r="B39" s="490" t="s">
        <v>251</v>
      </c>
      <c r="C39" s="491"/>
      <c r="D39" s="491"/>
      <c r="E39" s="491"/>
      <c r="F39" s="224"/>
      <c r="G39" s="224"/>
      <c r="H39" s="224"/>
      <c r="I39" s="234">
        <f ca="1">1/SUMPRODUCT($H$8:$H$32,$G$8:$G$32)</f>
        <v>1.1569456544417878</v>
      </c>
      <c r="K39" s="231"/>
    </row>
    <row r="40" spans="1:13" ht="12.6" thickBot="1">
      <c r="A40" s="202">
        <f t="shared" si="1"/>
        <v>33</v>
      </c>
      <c r="B40" s="482" t="s">
        <v>252</v>
      </c>
      <c r="C40" s="483"/>
      <c r="D40" s="483"/>
      <c r="E40" s="483"/>
      <c r="F40" s="235"/>
      <c r="G40" s="235"/>
      <c r="H40" s="235"/>
      <c r="I40" s="288">
        <f ca="1">I39*I38</f>
        <v>1.8815167015235074E-2</v>
      </c>
      <c r="K40" s="231"/>
    </row>
    <row r="41" spans="1:13">
      <c r="B41" s="236"/>
      <c r="C41" s="236"/>
      <c r="D41" s="236"/>
      <c r="E41" s="236"/>
      <c r="F41" s="236"/>
      <c r="G41" s="236"/>
    </row>
    <row r="50" spans="6:6">
      <c r="F50" s="221"/>
    </row>
    <row r="51" spans="6:6">
      <c r="F51" s="221"/>
    </row>
    <row r="52" spans="6:6">
      <c r="F52" s="221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
&amp;A&amp;RTax Reform Electric Rate Design Workpapers
Docket No. UE-170033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6" sqref="G6:G18"/>
    </sheetView>
  </sheetViews>
  <sheetFormatPr defaultColWidth="38.796875" defaultRowHeight="15.6"/>
  <cols>
    <col min="1" max="1" width="6.8984375" style="64" bestFit="1" customWidth="1"/>
    <col min="2" max="2" width="24.59765625" style="64" bestFit="1" customWidth="1"/>
    <col min="3" max="3" width="6.796875" style="64" bestFit="1" customWidth="1"/>
    <col min="4" max="4" width="16.296875" style="64" bestFit="1" customWidth="1"/>
    <col min="5" max="5" width="36.5" style="64" bestFit="1" customWidth="1"/>
    <col min="6" max="6" width="16.8984375" style="64" bestFit="1" customWidth="1"/>
    <col min="7" max="7" width="24.796875" style="64" bestFit="1" customWidth="1"/>
    <col min="8" max="8" width="16.69921875" style="64" bestFit="1" customWidth="1"/>
    <col min="9" max="16384" width="38.796875" style="64"/>
  </cols>
  <sheetData>
    <row r="1" spans="1:8">
      <c r="A1" s="492" t="s">
        <v>88</v>
      </c>
      <c r="B1" s="492"/>
      <c r="C1" s="492"/>
      <c r="D1" s="492"/>
      <c r="E1" s="492"/>
      <c r="F1" s="492"/>
      <c r="G1" s="492"/>
      <c r="H1" s="492"/>
    </row>
    <row r="2" spans="1:8">
      <c r="A2" s="492" t="s">
        <v>349</v>
      </c>
      <c r="B2" s="492"/>
      <c r="C2" s="492"/>
      <c r="D2" s="492"/>
      <c r="E2" s="492"/>
      <c r="F2" s="492"/>
      <c r="G2" s="492"/>
      <c r="H2" s="492"/>
    </row>
    <row r="3" spans="1:8">
      <c r="A3" s="493" t="s">
        <v>1014</v>
      </c>
      <c r="B3" s="492"/>
      <c r="C3" s="492"/>
      <c r="D3" s="492"/>
      <c r="E3" s="492"/>
      <c r="F3" s="492"/>
      <c r="G3" s="492"/>
      <c r="H3" s="492"/>
    </row>
    <row r="4" spans="1:8" ht="16.2" thickBot="1">
      <c r="A4" s="337"/>
      <c r="B4" s="337"/>
      <c r="C4" s="337"/>
      <c r="D4" s="337"/>
      <c r="E4" s="337"/>
      <c r="F4" s="337"/>
      <c r="G4" s="337"/>
      <c r="H4" s="337"/>
    </row>
    <row r="5" spans="1:8" ht="16.2" thickBot="1">
      <c r="A5" s="338" t="s">
        <v>218</v>
      </c>
      <c r="B5" s="339" t="s">
        <v>350</v>
      </c>
      <c r="C5" s="339" t="s">
        <v>351</v>
      </c>
      <c r="D5" s="339" t="s">
        <v>44</v>
      </c>
      <c r="E5" s="339" t="s">
        <v>202</v>
      </c>
      <c r="F5" s="339" t="s">
        <v>158</v>
      </c>
      <c r="G5" s="339" t="s">
        <v>91</v>
      </c>
      <c r="H5" s="340" t="s">
        <v>352</v>
      </c>
    </row>
    <row r="6" spans="1:8" ht="26.4">
      <c r="A6" s="341">
        <v>1</v>
      </c>
      <c r="B6" s="342" t="s">
        <v>231</v>
      </c>
      <c r="C6" s="343">
        <v>7</v>
      </c>
      <c r="D6" s="353" t="s">
        <v>385</v>
      </c>
      <c r="E6" s="343" t="s">
        <v>354</v>
      </c>
      <c r="F6" s="343" t="s">
        <v>354</v>
      </c>
      <c r="G6" s="345" t="s">
        <v>355</v>
      </c>
      <c r="H6" s="346" t="s">
        <v>354</v>
      </c>
    </row>
    <row r="7" spans="1:8" ht="26.4">
      <c r="A7" s="347">
        <f>+A6+1</f>
        <v>2</v>
      </c>
      <c r="B7" s="348" t="s">
        <v>356</v>
      </c>
      <c r="C7" s="344">
        <v>24</v>
      </c>
      <c r="D7" s="344" t="s">
        <v>353</v>
      </c>
      <c r="E7" s="344" t="s">
        <v>354</v>
      </c>
      <c r="F7" s="344" t="s">
        <v>354</v>
      </c>
      <c r="G7" s="345" t="s">
        <v>357</v>
      </c>
      <c r="H7" s="349" t="s">
        <v>354</v>
      </c>
    </row>
    <row r="8" spans="1:8" ht="39.6">
      <c r="A8" s="347">
        <f t="shared" ref="A8:A18" si="0">+A7+1</f>
        <v>3</v>
      </c>
      <c r="B8" s="348" t="s">
        <v>358</v>
      </c>
      <c r="C8" s="344">
        <v>25</v>
      </c>
      <c r="D8" s="344" t="s">
        <v>353</v>
      </c>
      <c r="E8" s="350" t="s">
        <v>983</v>
      </c>
      <c r="F8" s="350" t="s">
        <v>983</v>
      </c>
      <c r="G8" s="350" t="s">
        <v>982</v>
      </c>
      <c r="H8" s="349" t="s">
        <v>354</v>
      </c>
    </row>
    <row r="9" spans="1:8">
      <c r="A9" s="347">
        <f t="shared" si="0"/>
        <v>4</v>
      </c>
      <c r="B9" s="348" t="s">
        <v>360</v>
      </c>
      <c r="C9" s="344">
        <v>26</v>
      </c>
      <c r="D9" s="344" t="s">
        <v>353</v>
      </c>
      <c r="E9" s="350" t="s">
        <v>361</v>
      </c>
      <c r="F9" s="344" t="s">
        <v>359</v>
      </c>
      <c r="G9" s="350" t="s">
        <v>361</v>
      </c>
      <c r="H9" s="349" t="s">
        <v>354</v>
      </c>
    </row>
    <row r="10" spans="1:8" ht="26.4">
      <c r="A10" s="347">
        <f t="shared" si="0"/>
        <v>5</v>
      </c>
      <c r="B10" s="348" t="s">
        <v>362</v>
      </c>
      <c r="C10" s="344">
        <v>29</v>
      </c>
      <c r="D10" s="344" t="s">
        <v>353</v>
      </c>
      <c r="E10" s="344" t="s">
        <v>353</v>
      </c>
      <c r="F10" s="344" t="s">
        <v>359</v>
      </c>
      <c r="G10" s="350" t="s">
        <v>377</v>
      </c>
      <c r="H10" s="349" t="s">
        <v>354</v>
      </c>
    </row>
    <row r="11" spans="1:8" ht="26.4">
      <c r="A11" s="347">
        <f t="shared" si="0"/>
        <v>6</v>
      </c>
      <c r="B11" s="351" t="s">
        <v>363</v>
      </c>
      <c r="C11" s="344">
        <v>31</v>
      </c>
      <c r="D11" s="344" t="s">
        <v>353</v>
      </c>
      <c r="E11" s="344" t="s">
        <v>353</v>
      </c>
      <c r="F11" s="344" t="s">
        <v>359</v>
      </c>
      <c r="G11" s="352" t="s">
        <v>364</v>
      </c>
      <c r="H11" s="349" t="s">
        <v>354</v>
      </c>
    </row>
    <row r="12" spans="1:8">
      <c r="A12" s="347">
        <f t="shared" si="0"/>
        <v>7</v>
      </c>
      <c r="B12" s="348" t="s">
        <v>365</v>
      </c>
      <c r="C12" s="344">
        <v>35</v>
      </c>
      <c r="D12" s="353" t="s">
        <v>366</v>
      </c>
      <c r="E12" s="344" t="s">
        <v>353</v>
      </c>
      <c r="F12" s="344" t="s">
        <v>359</v>
      </c>
      <c r="G12" s="344" t="s">
        <v>367</v>
      </c>
      <c r="H12" s="349" t="s">
        <v>354</v>
      </c>
    </row>
    <row r="13" spans="1:8">
      <c r="A13" s="347">
        <f t="shared" si="0"/>
        <v>8</v>
      </c>
      <c r="B13" s="348" t="s">
        <v>368</v>
      </c>
      <c r="C13" s="344">
        <v>43</v>
      </c>
      <c r="D13" s="353" t="s">
        <v>366</v>
      </c>
      <c r="E13" s="344" t="s">
        <v>353</v>
      </c>
      <c r="F13" s="344" t="s">
        <v>359</v>
      </c>
      <c r="G13" s="344" t="s">
        <v>367</v>
      </c>
      <c r="H13" s="349" t="s">
        <v>354</v>
      </c>
    </row>
    <row r="14" spans="1:8">
      <c r="A14" s="347">
        <f t="shared" si="0"/>
        <v>9</v>
      </c>
      <c r="B14" s="348" t="s">
        <v>63</v>
      </c>
      <c r="C14" s="344">
        <v>40</v>
      </c>
      <c r="D14" s="350" t="s">
        <v>369</v>
      </c>
      <c r="E14" s="350" t="s">
        <v>370</v>
      </c>
      <c r="F14" s="350" t="s">
        <v>371</v>
      </c>
      <c r="G14" s="344" t="s">
        <v>372</v>
      </c>
      <c r="H14" s="349" t="s">
        <v>354</v>
      </c>
    </row>
    <row r="15" spans="1:8">
      <c r="A15" s="347">
        <f t="shared" si="0"/>
        <v>10</v>
      </c>
      <c r="B15" s="351" t="s">
        <v>373</v>
      </c>
      <c r="C15" s="344">
        <v>46</v>
      </c>
      <c r="D15" s="344" t="s">
        <v>354</v>
      </c>
      <c r="E15" s="344" t="s">
        <v>817</v>
      </c>
      <c r="F15" s="344" t="s">
        <v>354</v>
      </c>
      <c r="G15" s="344" t="s">
        <v>374</v>
      </c>
      <c r="H15" s="349" t="s">
        <v>354</v>
      </c>
    </row>
    <row r="16" spans="1:8" ht="26.4">
      <c r="A16" s="347">
        <f t="shared" si="0"/>
        <v>11</v>
      </c>
      <c r="B16" s="348" t="s">
        <v>375</v>
      </c>
      <c r="C16" s="344">
        <v>49</v>
      </c>
      <c r="D16" s="344" t="s">
        <v>354</v>
      </c>
      <c r="E16" s="344" t="s">
        <v>816</v>
      </c>
      <c r="F16" s="344" t="s">
        <v>354</v>
      </c>
      <c r="G16" s="344" t="s">
        <v>817</v>
      </c>
      <c r="H16" s="349" t="s">
        <v>354</v>
      </c>
    </row>
    <row r="17" spans="1:8">
      <c r="A17" s="347">
        <f t="shared" si="0"/>
        <v>12</v>
      </c>
      <c r="B17" s="351" t="s">
        <v>245</v>
      </c>
      <c r="C17" s="344" t="s">
        <v>80</v>
      </c>
      <c r="D17" s="344" t="s">
        <v>354</v>
      </c>
      <c r="E17" s="344" t="s">
        <v>354</v>
      </c>
      <c r="F17" s="344" t="s">
        <v>354</v>
      </c>
      <c r="G17" s="344" t="s">
        <v>354</v>
      </c>
      <c r="H17" s="349" t="s">
        <v>378</v>
      </c>
    </row>
    <row r="18" spans="1:8">
      <c r="A18" s="347">
        <f t="shared" si="0"/>
        <v>13</v>
      </c>
      <c r="B18" s="351" t="s">
        <v>243</v>
      </c>
      <c r="C18" s="344" t="s">
        <v>376</v>
      </c>
      <c r="D18" s="350" t="s">
        <v>194</v>
      </c>
      <c r="E18" s="344" t="s">
        <v>354</v>
      </c>
      <c r="F18" s="344" t="s">
        <v>354</v>
      </c>
      <c r="G18" s="344" t="s">
        <v>354</v>
      </c>
      <c r="H18" s="349" t="s">
        <v>354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B1:Y59"/>
  <sheetViews>
    <sheetView zoomScale="70" zoomScaleNormal="70" zoomScaleSheetLayoutView="70" workbookViewId="0">
      <pane xSplit="7" ySplit="14" topLeftCell="H15" activePane="bottomRight" state="frozen"/>
      <selection pane="topRight"/>
      <selection pane="bottomLeft"/>
      <selection pane="bottomRight" activeCell="I17" sqref="I17"/>
    </sheetView>
  </sheetViews>
  <sheetFormatPr defaultColWidth="10.19921875" defaultRowHeight="15.6"/>
  <cols>
    <col min="1" max="1" width="0" style="1" hidden="1" customWidth="1"/>
    <col min="2" max="2" width="4.59765625" style="1" customWidth="1"/>
    <col min="3" max="3" width="2.09765625" style="1" customWidth="1"/>
    <col min="4" max="4" width="35.8984375" style="4" customWidth="1"/>
    <col min="5" max="5" width="2.09765625" style="4" customWidth="1"/>
    <col min="6" max="6" width="11" style="4" bestFit="1" customWidth="1"/>
    <col min="7" max="7" width="2.09765625" style="4" customWidth="1"/>
    <col min="8" max="8" width="11.69921875" style="1" bestFit="1" customWidth="1"/>
    <col min="9" max="9" width="2" style="1" customWidth="1"/>
    <col min="10" max="10" width="13.8984375" style="1" bestFit="1" customWidth="1"/>
    <col min="11" max="11" width="2.8984375" style="1" customWidth="1"/>
    <col min="12" max="12" width="14" style="1" bestFit="1" customWidth="1"/>
    <col min="13" max="13" width="2.69921875" style="1" customWidth="1"/>
    <col min="14" max="14" width="12.3984375" style="1" bestFit="1" customWidth="1"/>
    <col min="15" max="15" width="2.59765625" style="1" customWidth="1"/>
    <col min="16" max="16" width="12.09765625" style="1" bestFit="1" customWidth="1"/>
    <col min="17" max="17" width="9.296875" style="1" bestFit="1" customWidth="1"/>
    <col min="18" max="18" width="1.8984375" style="1" customWidth="1"/>
    <col min="19" max="19" width="11.69921875" style="1" bestFit="1" customWidth="1"/>
    <col min="20" max="20" width="6.09765625" style="1" bestFit="1" customWidth="1"/>
    <col min="21" max="21" width="12.5" style="1" bestFit="1" customWidth="1"/>
    <col min="22" max="22" width="12" style="1" customWidth="1"/>
    <col min="23" max="23" width="10.19921875" style="1"/>
    <col min="24" max="24" width="11.09765625" style="1" bestFit="1" customWidth="1"/>
    <col min="25" max="25" width="13.796875" style="1" bestFit="1" customWidth="1"/>
    <col min="26" max="16384" width="10.19921875" style="1"/>
  </cols>
  <sheetData>
    <row r="1" spans="2:22" ht="17.399999999999999">
      <c r="C1" s="2"/>
      <c r="D1" s="3"/>
      <c r="N1" s="5" t="s">
        <v>0</v>
      </c>
    </row>
    <row r="2" spans="2:22">
      <c r="B2" s="504" t="s">
        <v>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6"/>
    </row>
    <row r="3" spans="2:22">
      <c r="B3" s="505" t="s">
        <v>55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7"/>
      <c r="T3" s="7"/>
    </row>
    <row r="4" spans="2:22">
      <c r="B4" s="505" t="s">
        <v>2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7"/>
      <c r="T4" s="7"/>
    </row>
    <row r="5" spans="2:22">
      <c r="B5" s="504" t="s">
        <v>97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7"/>
      <c r="T5" s="7"/>
    </row>
    <row r="6" spans="2:22">
      <c r="B6" s="504" t="s">
        <v>339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7"/>
      <c r="T6" s="7"/>
    </row>
    <row r="7" spans="2:22"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6"/>
      <c r="T7" s="6"/>
    </row>
    <row r="8" spans="2:2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/>
      <c r="S8" s="6"/>
      <c r="T8" s="6"/>
    </row>
    <row r="9" spans="2:22">
      <c r="K9" s="9"/>
      <c r="L9" s="10"/>
      <c r="M9" s="11"/>
      <c r="N9" s="496" t="s">
        <v>338</v>
      </c>
      <c r="O9" s="497"/>
      <c r="P9" s="497"/>
      <c r="Q9" s="498"/>
      <c r="R9" s="11"/>
      <c r="S9" s="12"/>
      <c r="T9" s="11"/>
    </row>
    <row r="10" spans="2:22">
      <c r="L10" s="13" t="s">
        <v>3</v>
      </c>
      <c r="M10" s="14"/>
      <c r="N10" s="499" t="s">
        <v>4</v>
      </c>
      <c r="O10" s="500"/>
      <c r="P10" s="500"/>
      <c r="Q10" s="501"/>
      <c r="R10" s="14"/>
      <c r="S10" s="15"/>
      <c r="T10" s="14"/>
    </row>
    <row r="11" spans="2:22">
      <c r="F11" s="33" t="s">
        <v>199</v>
      </c>
      <c r="G11" s="16"/>
      <c r="L11" s="15" t="s">
        <v>5</v>
      </c>
      <c r="M11" s="17"/>
      <c r="N11" s="15" t="s">
        <v>5</v>
      </c>
      <c r="O11" s="15"/>
      <c r="P11" s="18" t="s">
        <v>0</v>
      </c>
      <c r="Q11" s="18"/>
      <c r="R11" s="18"/>
      <c r="S11" s="15" t="s">
        <v>4</v>
      </c>
      <c r="T11" s="19"/>
      <c r="U11" s="494" t="s">
        <v>258</v>
      </c>
      <c r="V11" s="495" t="s">
        <v>40</v>
      </c>
    </row>
    <row r="12" spans="2:22">
      <c r="B12" s="19" t="s">
        <v>6</v>
      </c>
      <c r="F12" s="16" t="s">
        <v>7</v>
      </c>
      <c r="G12" s="16"/>
      <c r="H12" s="13" t="s">
        <v>8</v>
      </c>
      <c r="L12" s="13" t="s">
        <v>9</v>
      </c>
      <c r="M12" s="19"/>
      <c r="N12" s="20" t="s">
        <v>9</v>
      </c>
      <c r="O12" s="13"/>
      <c r="P12" s="21" t="s">
        <v>10</v>
      </c>
      <c r="Q12" s="13" t="s">
        <v>5</v>
      </c>
      <c r="R12" s="19"/>
      <c r="S12" s="13" t="s">
        <v>11</v>
      </c>
      <c r="T12" s="22"/>
      <c r="U12" s="495"/>
      <c r="V12" s="495"/>
    </row>
    <row r="13" spans="2:22">
      <c r="B13" s="23" t="s">
        <v>12</v>
      </c>
      <c r="D13" s="24" t="s">
        <v>13</v>
      </c>
      <c r="F13" s="24" t="s">
        <v>12</v>
      </c>
      <c r="G13" s="25"/>
      <c r="H13" s="26" t="s">
        <v>14</v>
      </c>
      <c r="J13" s="26" t="s">
        <v>15</v>
      </c>
      <c r="L13" s="27" t="s">
        <v>16</v>
      </c>
      <c r="M13" s="15"/>
      <c r="N13" s="28" t="s">
        <v>16</v>
      </c>
      <c r="O13" s="29"/>
      <c r="P13" s="30" t="s">
        <v>16</v>
      </c>
      <c r="Q13" s="26" t="s">
        <v>17</v>
      </c>
      <c r="R13" s="22"/>
      <c r="S13" s="27" t="s">
        <v>18</v>
      </c>
      <c r="T13" s="22"/>
      <c r="U13" s="495"/>
      <c r="V13" s="495"/>
    </row>
    <row r="14" spans="2:22">
      <c r="B14" s="31"/>
      <c r="D14" s="21" t="s">
        <v>19</v>
      </c>
      <c r="F14" s="21" t="s">
        <v>20</v>
      </c>
      <c r="G14" s="16"/>
      <c r="H14" s="21" t="s">
        <v>21</v>
      </c>
      <c r="J14" s="21" t="s">
        <v>22</v>
      </c>
      <c r="L14" s="21" t="s">
        <v>23</v>
      </c>
      <c r="M14" s="21"/>
      <c r="N14" s="21" t="s">
        <v>24</v>
      </c>
      <c r="O14" s="21"/>
      <c r="P14" s="21" t="s">
        <v>25</v>
      </c>
      <c r="Q14" s="21" t="s">
        <v>26</v>
      </c>
      <c r="R14" s="21"/>
      <c r="S14" s="21" t="s">
        <v>27</v>
      </c>
      <c r="T14" s="17"/>
    </row>
    <row r="15" spans="2:22">
      <c r="M15" s="21"/>
      <c r="N15" s="21" t="s">
        <v>0</v>
      </c>
      <c r="P15" s="21" t="s">
        <v>76</v>
      </c>
      <c r="Q15" s="21" t="s">
        <v>28</v>
      </c>
      <c r="S15" s="21" t="s">
        <v>29</v>
      </c>
      <c r="T15" s="9"/>
    </row>
    <row r="16" spans="2:22">
      <c r="D16" s="138" t="s">
        <v>30</v>
      </c>
      <c r="T16" s="9"/>
    </row>
    <row r="17" spans="2:25">
      <c r="B17" s="19">
        <v>1</v>
      </c>
      <c r="D17" s="4" t="s">
        <v>30</v>
      </c>
      <c r="F17" s="33">
        <v>7</v>
      </c>
      <c r="G17" s="33"/>
      <c r="H17" s="34">
        <f>ROUND('Exhibit No.__(JAP-Res RD)'!C16/12,0)</f>
        <v>999942</v>
      </c>
      <c r="I17" s="5"/>
      <c r="J17" s="34">
        <f>ROUND('Exhibit No.__(JAP-Res RD)'!C23/1000,0)</f>
        <v>10442426</v>
      </c>
      <c r="L17" s="187">
        <f>ROUND('Exhibit No.__(JAP-Res RD)'!F23/1000,0)</f>
        <v>1066627</v>
      </c>
      <c r="M17" s="188"/>
      <c r="N17" s="187">
        <f ca="1">ROUND('Exhibit No.__(JAP-Res RD)'!I23/1000,0)</f>
        <v>1086698</v>
      </c>
      <c r="O17" s="187"/>
      <c r="P17" s="187">
        <f ca="1">N17-L17</f>
        <v>20071</v>
      </c>
      <c r="Q17" s="370">
        <f ca="1">P17/L17</f>
        <v>1.8817262266940551E-2</v>
      </c>
      <c r="R17" s="35"/>
      <c r="S17" s="36">
        <f ca="1">N17/J17*100</f>
        <v>10.406566443468213</v>
      </c>
      <c r="T17" s="38"/>
      <c r="U17" s="187"/>
      <c r="V17" s="187"/>
      <c r="Y17" s="190"/>
    </row>
    <row r="18" spans="2:25">
      <c r="B18" s="41">
        <f>MAX(B$14:B17)+1</f>
        <v>2</v>
      </c>
      <c r="D18" s="136" t="s">
        <v>73</v>
      </c>
      <c r="H18" s="134">
        <f>SUM(H17:H17)</f>
        <v>999942</v>
      </c>
      <c r="J18" s="134">
        <f>SUM(J17:J17)</f>
        <v>10442426</v>
      </c>
      <c r="L18" s="189">
        <f>SUM(L17:L17)</f>
        <v>1066627</v>
      </c>
      <c r="M18" s="188"/>
      <c r="N18" s="189">
        <f ca="1">SUM(N17:N17)</f>
        <v>1086698</v>
      </c>
      <c r="O18" s="187"/>
      <c r="P18" s="189">
        <f ca="1">SUM(P17)</f>
        <v>20071</v>
      </c>
      <c r="Q18" s="371">
        <f ca="1">P18/L18</f>
        <v>1.8817262266940551E-2</v>
      </c>
      <c r="R18" s="35"/>
      <c r="S18" s="135">
        <f ca="1">N18/J18*100</f>
        <v>10.406566443468213</v>
      </c>
      <c r="T18" s="38"/>
      <c r="U18" s="373">
        <f ca="1">'Exhibit No.__(JAP-Rate Spread)'!J8</f>
        <v>20068.76514795914</v>
      </c>
      <c r="V18" s="373">
        <f ca="1">U18-P18</f>
        <v>-2.2348520408595505</v>
      </c>
      <c r="Y18" s="190"/>
    </row>
    <row r="19" spans="2:25">
      <c r="J19" s="5" t="s">
        <v>0</v>
      </c>
      <c r="L19" s="190"/>
      <c r="M19" s="190"/>
      <c r="N19" s="190"/>
      <c r="O19" s="190"/>
      <c r="P19" s="190"/>
      <c r="Q19" s="43"/>
      <c r="T19" s="9"/>
      <c r="U19" s="101"/>
      <c r="V19" s="101"/>
    </row>
    <row r="20" spans="2:25">
      <c r="D20" s="32" t="s">
        <v>66</v>
      </c>
      <c r="H20" s="42"/>
      <c r="L20" s="190"/>
      <c r="M20" s="190"/>
      <c r="N20" s="190"/>
      <c r="O20" s="190"/>
      <c r="P20" s="190"/>
      <c r="Q20" s="43"/>
      <c r="T20" s="9"/>
      <c r="U20" s="101"/>
      <c r="V20" s="101"/>
    </row>
    <row r="21" spans="2:25">
      <c r="B21" s="41">
        <f>MAX(B$14:B20)+1</f>
        <v>3</v>
      </c>
      <c r="D21" s="133" t="s">
        <v>57</v>
      </c>
      <c r="F21" s="33" t="s">
        <v>69</v>
      </c>
      <c r="G21" s="16"/>
      <c r="H21" s="34">
        <f>'Exhibit No.__(JAP-SV RD)'!C17/12</f>
        <v>126833.25</v>
      </c>
      <c r="J21" s="34">
        <f>ROUND('Exhibit No.__(JAP-SV RD)'!C25/1000,0)</f>
        <v>2787584</v>
      </c>
      <c r="L21" s="187">
        <f>ROUND('Exhibit No.__(JAP-SV RD)'!F25/1000,0)</f>
        <v>266957</v>
      </c>
      <c r="M21" s="188"/>
      <c r="N21" s="187">
        <f ca="1">ROUND('Exhibit No.__(JAP-SV RD)'!I25/1000,0)</f>
        <v>270724</v>
      </c>
      <c r="O21" s="187"/>
      <c r="P21" s="187">
        <f t="shared" ref="P21:P24" ca="1" si="0">N21-L21</f>
        <v>3767</v>
      </c>
      <c r="Q21" s="370">
        <f ca="1">P21/L21</f>
        <v>1.4110886772026956E-2</v>
      </c>
      <c r="R21" s="35"/>
      <c r="S21" s="36">
        <f ca="1">N21/J21*100</f>
        <v>9.7117790889888873</v>
      </c>
      <c r="T21" s="38"/>
      <c r="U21" s="454"/>
      <c r="V21" s="454"/>
      <c r="Y21" s="190"/>
    </row>
    <row r="22" spans="2:25">
      <c r="B22" s="41">
        <f>MAX(B$14:B21)+1</f>
        <v>4</v>
      </c>
      <c r="D22" s="133" t="s">
        <v>56</v>
      </c>
      <c r="E22" s="44"/>
      <c r="F22" s="33" t="s">
        <v>70</v>
      </c>
      <c r="G22" s="16"/>
      <c r="H22" s="34">
        <f>'Exhibit No.__(JAP-SV RD)'!C31/12</f>
        <v>7219.916666666667</v>
      </c>
      <c r="J22" s="34">
        <f>ROUND('Exhibit No.__(JAP-SV RD)'!C39/1000,0)</f>
        <v>2839459</v>
      </c>
      <c r="L22" s="187">
        <f>ROUND('Exhibit No.__(JAP-SV RD)'!F47/1000,0)</f>
        <v>252529</v>
      </c>
      <c r="M22" s="188"/>
      <c r="N22" s="187">
        <f ca="1">ROUND('Exhibit No.__(JAP-SV RD)'!I47/1000,0)</f>
        <v>255617</v>
      </c>
      <c r="O22" s="187"/>
      <c r="P22" s="187">
        <f t="shared" ca="1" si="0"/>
        <v>3088</v>
      </c>
      <c r="Q22" s="370">
        <f ca="1">P22/L22</f>
        <v>1.2228298532049785E-2</v>
      </c>
      <c r="R22" s="35"/>
      <c r="S22" s="36">
        <f ca="1">N22/J22*100</f>
        <v>9.0023134688685413</v>
      </c>
      <c r="T22" s="38"/>
      <c r="U22" s="454"/>
      <c r="V22" s="454"/>
      <c r="Y22" s="190"/>
    </row>
    <row r="23" spans="2:25">
      <c r="B23" s="41">
        <f>MAX(B$14:B22)+1</f>
        <v>5</v>
      </c>
      <c r="D23" s="133" t="s">
        <v>58</v>
      </c>
      <c r="F23" s="33" t="s">
        <v>71</v>
      </c>
      <c r="G23" s="16"/>
      <c r="H23" s="34">
        <f>SUM('Exhibit No.__(JAP-SV RD)'!C65,'Exhibit No.__(JAP-SV RD)'!C85)</f>
        <v>9711</v>
      </c>
      <c r="J23" s="34">
        <f>SUM('Exhibit No.__(JAP-SV RD)'!C71,'Exhibit No.__(JAP-SV RD)'!C94)/1000</f>
        <v>1892054.7443816457</v>
      </c>
      <c r="L23" s="187">
        <f>SUM('Exhibit No.__(JAP-SV RD)'!F79,'Exhibit No.__(JAP-SV RD)'!F105)/1000</f>
        <v>153864.55600000001</v>
      </c>
      <c r="M23" s="188"/>
      <c r="N23" s="187">
        <f ca="1">SUM('Exhibit No.__(JAP-SV RD)'!I79,'Exhibit No.__(JAP-SV RD)'!I105)/1000</f>
        <v>155745.5</v>
      </c>
      <c r="O23" s="187"/>
      <c r="P23" s="187">
        <f t="shared" ca="1" si="0"/>
        <v>1880.9439999999886</v>
      </c>
      <c r="Q23" s="370">
        <f t="shared" ref="Q23:Q31" ca="1" si="1">P23/L23</f>
        <v>1.2224673757873051E-2</v>
      </c>
      <c r="R23" s="35"/>
      <c r="S23" s="36">
        <f ca="1">N23/J23*100</f>
        <v>8.2315535775314039</v>
      </c>
      <c r="T23" s="38"/>
      <c r="U23" s="454"/>
      <c r="V23" s="454"/>
      <c r="Y23" s="190"/>
    </row>
    <row r="24" spans="2:25">
      <c r="B24" s="41">
        <f>MAX(B$14:B23)+1</f>
        <v>6</v>
      </c>
      <c r="D24" s="133" t="s">
        <v>60</v>
      </c>
      <c r="F24" s="16">
        <v>29</v>
      </c>
      <c r="G24" s="16"/>
      <c r="H24" s="34">
        <f>'Exhibit No.__(JAP-SV RD)'!C118/12</f>
        <v>607.5</v>
      </c>
      <c r="J24" s="34">
        <f>ROUND('Exhibit No.__(JAP-SV RD)'!C128/1000,0)</f>
        <v>14327</v>
      </c>
      <c r="L24" s="187">
        <f>SUM('Exhibit No.__(JAP-SV RD)'!F136/1000)</f>
        <v>1137.7460000000001</v>
      </c>
      <c r="M24" s="188"/>
      <c r="N24" s="187">
        <f ca="1">SUM('Exhibit No.__(JAP-SV RD)'!I136/1000)</f>
        <v>1151.671</v>
      </c>
      <c r="O24" s="187"/>
      <c r="P24" s="187">
        <f t="shared" ca="1" si="0"/>
        <v>13.924999999999955</v>
      </c>
      <c r="Q24" s="370">
        <f t="shared" ca="1" si="1"/>
        <v>1.2239111365805683E-2</v>
      </c>
      <c r="R24" s="35"/>
      <c r="S24" s="36">
        <f ca="1">N24/J24*100</f>
        <v>8.0384658337404904</v>
      </c>
      <c r="T24" s="38"/>
      <c r="U24" s="454"/>
      <c r="V24" s="454"/>
      <c r="Y24" s="190"/>
    </row>
    <row r="25" spans="2:25">
      <c r="B25" s="41">
        <f>MAX(B$14:B24)+1</f>
        <v>7</v>
      </c>
      <c r="D25" s="136" t="s">
        <v>74</v>
      </c>
      <c r="F25" s="16"/>
      <c r="G25" s="16"/>
      <c r="H25" s="134">
        <f>SUM(H21:H24)</f>
        <v>144371.66666666666</v>
      </c>
      <c r="J25" s="134">
        <f>SUM(J21:J24)</f>
        <v>7533424.7443816457</v>
      </c>
      <c r="L25" s="189">
        <f>SUM(L21:L24)</f>
        <v>674488.30200000003</v>
      </c>
      <c r="M25" s="188"/>
      <c r="N25" s="189">
        <f ca="1">SUM(N21:N24)</f>
        <v>683238.17099999997</v>
      </c>
      <c r="O25" s="187"/>
      <c r="P25" s="189">
        <f ca="1">SUM(P21:P24)</f>
        <v>8749.8689999999879</v>
      </c>
      <c r="Q25" s="371">
        <f t="shared" ref="Q25" ca="1" si="2">P25/L25</f>
        <v>1.2972603044492813E-2</v>
      </c>
      <c r="R25" s="35"/>
      <c r="S25" s="135">
        <f ca="1">N25/J25*100</f>
        <v>9.0694231930776539</v>
      </c>
      <c r="T25" s="38"/>
      <c r="U25" s="373">
        <f ca="1">'Exhibit No.__(JAP-Rate Spread)'!J14</f>
        <v>8751.180587857616</v>
      </c>
      <c r="V25" s="373">
        <f ca="1">U25-P25</f>
        <v>1.311587857628183</v>
      </c>
      <c r="Y25" s="190"/>
    </row>
    <row r="26" spans="2:25">
      <c r="B26" s="41"/>
      <c r="D26" s="133"/>
      <c r="F26" s="16"/>
      <c r="G26" s="16"/>
      <c r="H26" s="34"/>
      <c r="J26" s="34"/>
      <c r="L26" s="187"/>
      <c r="M26" s="188"/>
      <c r="N26" s="187"/>
      <c r="O26" s="187"/>
      <c r="P26" s="187"/>
      <c r="Q26" s="370"/>
      <c r="R26" s="35"/>
      <c r="S26" s="36"/>
      <c r="T26" s="38"/>
      <c r="U26" s="454"/>
      <c r="V26" s="454"/>
    </row>
    <row r="27" spans="2:25">
      <c r="B27" s="41"/>
      <c r="D27" s="32" t="s">
        <v>67</v>
      </c>
      <c r="F27" s="16"/>
      <c r="G27" s="16"/>
      <c r="H27" s="34"/>
      <c r="J27" s="34"/>
      <c r="L27" s="187"/>
      <c r="M27" s="188"/>
      <c r="N27" s="187"/>
      <c r="O27" s="187"/>
      <c r="P27" s="187"/>
      <c r="Q27" s="370"/>
      <c r="R27" s="35"/>
      <c r="S27" s="36"/>
      <c r="T27" s="38"/>
      <c r="U27" s="454"/>
      <c r="V27" s="454"/>
    </row>
    <row r="28" spans="2:25">
      <c r="B28" s="41">
        <f>MAX(B$14:B26)+1</f>
        <v>8</v>
      </c>
      <c r="D28" s="133" t="s">
        <v>59</v>
      </c>
      <c r="F28" s="33" t="s">
        <v>72</v>
      </c>
      <c r="G28" s="16"/>
      <c r="H28" s="34">
        <f>'Exhibit No.__(JAP-PV RD)'!C15/12</f>
        <v>487.83333333333331</v>
      </c>
      <c r="J28" s="34">
        <f>'Exhibit No.__(JAP-PV RD)'!C21/1000</f>
        <v>1284401.5744586966</v>
      </c>
      <c r="L28" s="187">
        <f>'Exhibit No.__(JAP-PV RD)'!F29/1000</f>
        <v>102890.712</v>
      </c>
      <c r="M28" s="188"/>
      <c r="N28" s="187">
        <f ca="1">'Exhibit No.__(JAP-PV RD)'!I29/1000</f>
        <v>104148.59600000001</v>
      </c>
      <c r="O28" s="187"/>
      <c r="P28" s="187">
        <f t="shared" ref="P28:P30" ca="1" si="3">N28-L28</f>
        <v>1257.8840000000055</v>
      </c>
      <c r="Q28" s="370">
        <f t="shared" ca="1" si="1"/>
        <v>1.2225437802393723E-2</v>
      </c>
      <c r="R28" s="35"/>
      <c r="S28" s="36">
        <f ca="1">N28/J28*100</f>
        <v>8.1087253450224708</v>
      </c>
      <c r="T28" s="38"/>
      <c r="U28" s="454"/>
      <c r="V28" s="454"/>
      <c r="Y28" s="190"/>
    </row>
    <row r="29" spans="2:25">
      <c r="B29" s="41">
        <f>MAX(B$14:B28)+1</f>
        <v>9</v>
      </c>
      <c r="D29" s="133" t="s">
        <v>61</v>
      </c>
      <c r="F29" s="16">
        <v>35</v>
      </c>
      <c r="G29" s="16"/>
      <c r="H29" s="34">
        <f>'Exhibit No.__(JAP-PV RD)'!C37/12</f>
        <v>1</v>
      </c>
      <c r="J29" s="34">
        <f>'Exhibit No.__(JAP-PV RD)'!C43/1000</f>
        <v>4452.6000000000004</v>
      </c>
      <c r="L29" s="187">
        <f>'Exhibit No.__(JAP-PV RD)'!F51/1000</f>
        <v>248.215</v>
      </c>
      <c r="M29" s="188"/>
      <c r="N29" s="187">
        <f ca="1">'Exhibit No.__(JAP-PV RD)'!I51/1000</f>
        <v>255.21899999999999</v>
      </c>
      <c r="O29" s="187"/>
      <c r="P29" s="187">
        <f t="shared" ca="1" si="3"/>
        <v>7.0039999999999907</v>
      </c>
      <c r="Q29" s="370">
        <f t="shared" ca="1" si="1"/>
        <v>2.8217472755474048E-2</v>
      </c>
      <c r="R29" s="35"/>
      <c r="S29" s="36">
        <f ca="1">N29/J29*100</f>
        <v>5.7319094461662843</v>
      </c>
      <c r="T29" s="38"/>
      <c r="U29" s="454"/>
      <c r="V29" s="454"/>
      <c r="Y29" s="190"/>
    </row>
    <row r="30" spans="2:25">
      <c r="B30" s="41">
        <f>MAX(B$14:B29)+1</f>
        <v>10</v>
      </c>
      <c r="D30" s="4" t="s">
        <v>62</v>
      </c>
      <c r="F30" s="33">
        <v>43</v>
      </c>
      <c r="G30" s="16"/>
      <c r="H30" s="34">
        <f>'Exhibit No.__(JAP-PV RD)'!C60/12</f>
        <v>158.66666666666666</v>
      </c>
      <c r="J30" s="34">
        <f>'Exhibit No.__(JAP-PV RD)'!C66/1000</f>
        <v>119660.40146477679</v>
      </c>
      <c r="L30" s="187">
        <f>'Exhibit No.__(JAP-PV RD)'!F75/1000</f>
        <v>10337.824000000001</v>
      </c>
      <c r="M30" s="188"/>
      <c r="N30" s="187">
        <f ca="1">'Exhibit No.__(JAP-PV RD)'!I75/1000</f>
        <v>10532.384</v>
      </c>
      <c r="O30" s="187"/>
      <c r="P30" s="187">
        <f t="shared" ca="1" si="3"/>
        <v>194.55999999999949</v>
      </c>
      <c r="Q30" s="370">
        <f t="shared" ca="1" si="1"/>
        <v>1.8820208198553148E-2</v>
      </c>
      <c r="R30" s="35"/>
      <c r="S30" s="36">
        <f ca="1">N30/J30*100</f>
        <v>8.8018959246934418</v>
      </c>
      <c r="T30" s="38"/>
      <c r="U30" s="454"/>
      <c r="V30" s="454"/>
      <c r="Y30" s="190"/>
    </row>
    <row r="31" spans="2:25">
      <c r="B31" s="41">
        <f>MAX(B$14:B30)+1</f>
        <v>11</v>
      </c>
      <c r="D31" s="136" t="s">
        <v>75</v>
      </c>
      <c r="F31" s="16"/>
      <c r="G31" s="16"/>
      <c r="H31" s="134">
        <f>SUM(H28:H30)</f>
        <v>647.5</v>
      </c>
      <c r="J31" s="134">
        <f>SUM(J28:J30)</f>
        <v>1408514.5759234736</v>
      </c>
      <c r="L31" s="189">
        <f>SUM(L28:L30)</f>
        <v>113476.75099999999</v>
      </c>
      <c r="M31" s="188"/>
      <c r="N31" s="189">
        <f ca="1">SUM(N28:N30)</f>
        <v>114936.19900000001</v>
      </c>
      <c r="O31" s="187"/>
      <c r="P31" s="189">
        <f ca="1">SUM(P28:P30)</f>
        <v>1459.4480000000049</v>
      </c>
      <c r="Q31" s="371">
        <f t="shared" ca="1" si="1"/>
        <v>1.2861207138367973E-2</v>
      </c>
      <c r="R31" s="35"/>
      <c r="S31" s="135">
        <f ca="1">N31/J31*100</f>
        <v>8.1601000773913626</v>
      </c>
      <c r="T31" s="38"/>
      <c r="U31" s="373">
        <f ca="1">'Exhibit No.__(JAP-Rate Spread)'!J20</f>
        <v>1459.852050042829</v>
      </c>
      <c r="V31" s="373">
        <f ca="1">U31-P31</f>
        <v>0.40405004282411028</v>
      </c>
      <c r="Y31" s="190"/>
    </row>
    <row r="32" spans="2:25">
      <c r="B32" s="41"/>
      <c r="F32" s="33"/>
      <c r="G32" s="16"/>
      <c r="H32" s="34"/>
      <c r="J32" s="34"/>
      <c r="L32" s="187"/>
      <c r="M32" s="188"/>
      <c r="N32" s="187"/>
      <c r="O32" s="187"/>
      <c r="P32" s="187"/>
      <c r="Q32" s="370"/>
      <c r="R32" s="35"/>
      <c r="S32" s="36"/>
      <c r="T32" s="38"/>
      <c r="U32" s="454"/>
      <c r="V32" s="454"/>
      <c r="Y32" s="190"/>
    </row>
    <row r="33" spans="2:25">
      <c r="B33" s="41">
        <f>MAX(B$14:B32)+1</f>
        <v>12</v>
      </c>
      <c r="D33" s="4" t="s">
        <v>63</v>
      </c>
      <c r="F33" s="33">
        <v>40</v>
      </c>
      <c r="G33" s="16"/>
      <c r="H33" s="134">
        <f>'Exhibit No.__(JAP-CAMP RD)'!C18/12</f>
        <v>142.25</v>
      </c>
      <c r="J33" s="134">
        <f>'Exhibit No.__(JAP-CAMP RD)'!C27/1000</f>
        <v>621678.72633913101</v>
      </c>
      <c r="L33" s="189">
        <f ca="1">'Exhibit No.__(JAP-CAMP RD)'!G41/1000</f>
        <v>43551.319801261998</v>
      </c>
      <c r="M33" s="188"/>
      <c r="N33" s="189">
        <f ca="1">'Exhibit No.__(JAP-CAMP RD)'!J41/1000</f>
        <v>45113.1855</v>
      </c>
      <c r="O33" s="187"/>
      <c r="P33" s="189">
        <f ca="1">N33-L33</f>
        <v>1561.8656987380018</v>
      </c>
      <c r="Q33" s="371">
        <f t="shared" ref="Q33" ca="1" si="4">P33/L33</f>
        <v>3.5862649073903456E-2</v>
      </c>
      <c r="R33" s="35"/>
      <c r="S33" s="135">
        <f ca="1">N33/J33*100</f>
        <v>7.2566719092443863</v>
      </c>
      <c r="T33" s="38"/>
      <c r="U33" s="373">
        <f>'Exhibit No.__(JAP-Rate Spread)'!J22</f>
        <v>1561.8656988013433</v>
      </c>
      <c r="V33" s="373">
        <f ca="1">U33-P33</f>
        <v>6.3341531131300144E-8</v>
      </c>
      <c r="Y33" s="190"/>
    </row>
    <row r="34" spans="2:25">
      <c r="B34" s="41"/>
      <c r="F34" s="33"/>
      <c r="G34" s="16"/>
      <c r="H34" s="34"/>
      <c r="J34" s="34"/>
      <c r="L34" s="187"/>
      <c r="M34" s="188"/>
      <c r="N34" s="187"/>
      <c r="O34" s="187"/>
      <c r="P34" s="187"/>
      <c r="Q34" s="370"/>
      <c r="R34" s="35"/>
      <c r="S34" s="36"/>
      <c r="T34" s="38"/>
      <c r="U34" s="454"/>
      <c r="V34" s="454"/>
      <c r="Y34" s="190"/>
    </row>
    <row r="35" spans="2:25">
      <c r="B35" s="41"/>
      <c r="D35" s="32" t="s">
        <v>68</v>
      </c>
      <c r="F35" s="33"/>
      <c r="G35" s="16"/>
      <c r="H35" s="34"/>
      <c r="J35" s="34"/>
      <c r="L35" s="187"/>
      <c r="M35" s="188"/>
      <c r="N35" s="187"/>
      <c r="O35" s="187"/>
      <c r="P35" s="187"/>
      <c r="Q35" s="370"/>
      <c r="R35" s="35"/>
      <c r="S35" s="36"/>
      <c r="T35" s="38"/>
      <c r="U35" s="454"/>
      <c r="V35" s="454"/>
    </row>
    <row r="36" spans="2:25">
      <c r="B36" s="41">
        <f>MAX(B$14:B34)+1</f>
        <v>13</v>
      </c>
      <c r="D36" s="133" t="s">
        <v>64</v>
      </c>
      <c r="F36" s="33">
        <v>46</v>
      </c>
      <c r="G36" s="16"/>
      <c r="H36" s="34">
        <f>'Exhibit No.__(JAP-HV RD)'!C14/12</f>
        <v>5</v>
      </c>
      <c r="J36" s="34">
        <f>'Exhibit No.__(JAP-HV RD)'!C18/1000</f>
        <v>64275.357697999993</v>
      </c>
      <c r="L36" s="187">
        <f>'Exhibit No.__(JAP-HV RD)'!F22/1000</f>
        <v>4202.3490000000002</v>
      </c>
      <c r="M36" s="188"/>
      <c r="N36" s="187">
        <f ca="1">'Exhibit No.__(JAP-HV RD)'!I22/1000</f>
        <v>4256.2510000000002</v>
      </c>
      <c r="O36" s="187"/>
      <c r="P36" s="187">
        <f t="shared" ref="P36:P37" ca="1" si="5">N36-L36</f>
        <v>53.902000000000044</v>
      </c>
      <c r="Q36" s="370">
        <f t="shared" ref="Q36:Q37" ca="1" si="6">P36/L36</f>
        <v>1.2826635769661216E-2</v>
      </c>
      <c r="R36" s="35"/>
      <c r="S36" s="36">
        <f t="shared" ref="S36:S37" ca="1" si="7">N36/J36*100</f>
        <v>6.621901693644622</v>
      </c>
      <c r="T36" s="38"/>
      <c r="U36" s="454"/>
      <c r="V36" s="454"/>
      <c r="Y36" s="190"/>
    </row>
    <row r="37" spans="2:25">
      <c r="B37" s="41">
        <f>MAX(B$14:B36)+1</f>
        <v>14</v>
      </c>
      <c r="D37" s="4" t="s">
        <v>65</v>
      </c>
      <c r="F37" s="33">
        <v>49</v>
      </c>
      <c r="G37" s="16"/>
      <c r="H37" s="34">
        <f>'Exhibit No.__(JAP-HV RD)'!C29/12</f>
        <v>20</v>
      </c>
      <c r="J37" s="34">
        <f>'Exhibit No.__(JAP-HV RD)'!C33/1000</f>
        <v>567983.85900000005</v>
      </c>
      <c r="L37" s="187">
        <f>'Exhibit No.__(JAP-HV RD)'!F37/1000</f>
        <v>36157.741000000002</v>
      </c>
      <c r="M37" s="188"/>
      <c r="N37" s="187">
        <f ca="1">'Exhibit No.__(JAP-HV RD)'!I37/1000</f>
        <v>36597.635000000002</v>
      </c>
      <c r="O37" s="187"/>
      <c r="P37" s="187">
        <f t="shared" ca="1" si="5"/>
        <v>439.89400000000023</v>
      </c>
      <c r="Q37" s="370">
        <f t="shared" ca="1" si="6"/>
        <v>1.216597021368122E-2</v>
      </c>
      <c r="R37" s="35"/>
      <c r="S37" s="36">
        <f t="shared" ca="1" si="7"/>
        <v>6.4434287031385509</v>
      </c>
      <c r="T37" s="38"/>
      <c r="U37" s="454"/>
      <c r="V37" s="454"/>
      <c r="Y37" s="190"/>
    </row>
    <row r="38" spans="2:25">
      <c r="B38" s="41">
        <f>MAX(B$14:B37)+1</f>
        <v>15</v>
      </c>
      <c r="D38" s="136" t="s">
        <v>68</v>
      </c>
      <c r="F38" s="16"/>
      <c r="G38" s="16"/>
      <c r="H38" s="134">
        <f>SUM(H36:H37)</f>
        <v>25</v>
      </c>
      <c r="J38" s="134">
        <f>SUM(J36:J37)</f>
        <v>632259.21669800009</v>
      </c>
      <c r="L38" s="189">
        <f>SUM(L36:L37)</f>
        <v>40360.090000000004</v>
      </c>
      <c r="M38" s="188"/>
      <c r="N38" s="189">
        <f ca="1">SUM(N36:N37)</f>
        <v>40853.885999999999</v>
      </c>
      <c r="O38" s="187"/>
      <c r="P38" s="189">
        <f ca="1">SUM(P36:P37)</f>
        <v>493.79600000000028</v>
      </c>
      <c r="Q38" s="371">
        <f t="shared" ref="Q38" ca="1" si="8">P38/L38</f>
        <v>1.223475963507515E-2</v>
      </c>
      <c r="R38" s="35"/>
      <c r="S38" s="135">
        <f ca="1">N38/J38*100</f>
        <v>6.461572235097039</v>
      </c>
      <c r="T38" s="38"/>
      <c r="U38" s="373">
        <f ca="1">'Exhibit No.__(JAP-Rate Spread)'!J24</f>
        <v>493.59819216494742</v>
      </c>
      <c r="V38" s="373">
        <f ca="1">U38-P38</f>
        <v>-0.19780783505285626</v>
      </c>
      <c r="Y38" s="190"/>
    </row>
    <row r="39" spans="2:25">
      <c r="B39" s="41"/>
      <c r="F39" s="33"/>
      <c r="G39" s="16"/>
      <c r="H39" s="34"/>
      <c r="J39" s="34"/>
      <c r="L39" s="187"/>
      <c r="M39" s="188"/>
      <c r="N39" s="187"/>
      <c r="O39" s="187"/>
      <c r="P39" s="187"/>
      <c r="Q39" s="370"/>
      <c r="R39" s="35"/>
      <c r="S39" s="36"/>
      <c r="T39" s="38"/>
      <c r="U39" s="454"/>
      <c r="V39" s="454"/>
      <c r="Y39" s="190"/>
    </row>
    <row r="40" spans="2:25">
      <c r="B40" s="41">
        <f>MAX(B$14:B39)+1</f>
        <v>16</v>
      </c>
      <c r="D40" s="4" t="s">
        <v>77</v>
      </c>
      <c r="F40" s="33" t="s">
        <v>78</v>
      </c>
      <c r="G40" s="16"/>
      <c r="H40" s="134">
        <f>'Exhibit No.__(JAP-TRANSP RD)'!C14/12</f>
        <v>20</v>
      </c>
      <c r="J40" s="134">
        <f>'Exhibit No.__(JAP-TRANSP RD)'!C19/1000</f>
        <v>2098103.6366259996</v>
      </c>
      <c r="L40" s="189">
        <f>'Exhibit No.__(JAP-TRANSP RD)'!F27/1000</f>
        <v>7513.2849999999999</v>
      </c>
      <c r="M40" s="188"/>
      <c r="N40" s="189">
        <f ca="1">'Exhibit No.__(JAP-TRANSP RD)'!I27/1000</f>
        <v>7958.26</v>
      </c>
      <c r="O40" s="187"/>
      <c r="P40" s="189">
        <f ca="1">N40-L40</f>
        <v>444.97500000000036</v>
      </c>
      <c r="Q40" s="371">
        <f t="shared" ref="Q40" ca="1" si="9">P40/L40</f>
        <v>5.9225092619273778E-2</v>
      </c>
      <c r="R40" s="35"/>
      <c r="S40" s="135">
        <f ca="1">N40/J40*100</f>
        <v>0.37930728783244616</v>
      </c>
      <c r="T40" s="38"/>
      <c r="U40" s="373">
        <f ca="1">'Exhibit No.__(JAP-Rate Spread)'!J26</f>
        <v>444.97500000000002</v>
      </c>
      <c r="V40" s="373">
        <f ca="1">U40-P40</f>
        <v>0</v>
      </c>
      <c r="Y40" s="190"/>
    </row>
    <row r="41" spans="2:25">
      <c r="B41" s="41"/>
      <c r="F41" s="33"/>
      <c r="G41" s="16"/>
      <c r="H41" s="34"/>
      <c r="J41" s="34"/>
      <c r="L41" s="187"/>
      <c r="M41" s="188"/>
      <c r="N41" s="187"/>
      <c r="O41" s="187"/>
      <c r="P41" s="187"/>
      <c r="Q41" s="370"/>
      <c r="R41" s="35"/>
      <c r="S41" s="36"/>
      <c r="T41" s="38"/>
      <c r="U41" s="454"/>
      <c r="V41" s="454"/>
      <c r="Y41" s="190"/>
    </row>
    <row r="42" spans="2:25">
      <c r="B42" s="41">
        <f>MAX(B$14:B41)+1</f>
        <v>17</v>
      </c>
      <c r="D42" s="4" t="s">
        <v>79</v>
      </c>
      <c r="F42" s="33" t="s">
        <v>80</v>
      </c>
      <c r="G42" s="16"/>
      <c r="H42" s="134">
        <f>'Exhibit No.__(JAP-LIGHT RD) '!C22/12</f>
        <v>7226.5</v>
      </c>
      <c r="J42" s="134">
        <f>'Exhibit No.__(JAP-LIGHT RD) '!J22/1000</f>
        <v>77972.349305999989</v>
      </c>
      <c r="L42" s="189">
        <f>'Exhibit No.__(JAP-LIGHT RD) '!F22/1000</f>
        <v>17167.293000000001</v>
      </c>
      <c r="M42" s="188"/>
      <c r="N42" s="189">
        <f ca="1">'Exhibit No.__(JAP-LIGHT RD) '!H22/1000</f>
        <v>17488.471000000001</v>
      </c>
      <c r="O42" s="187"/>
      <c r="P42" s="189">
        <f ca="1">N42-L42</f>
        <v>321.17799999999988</v>
      </c>
      <c r="Q42" s="371">
        <f t="shared" ref="Q42" ca="1" si="10">P42/L42</f>
        <v>1.8708715462595057E-2</v>
      </c>
      <c r="R42" s="35"/>
      <c r="S42" s="135">
        <f ca="1">N42/J42*100</f>
        <v>22.4290676831694</v>
      </c>
      <c r="T42" s="38"/>
      <c r="U42" s="373">
        <f ca="1">'Exhibit No.__(JAP-Rate Spread)'!J28</f>
        <v>323.00548499447603</v>
      </c>
      <c r="V42" s="373">
        <f ca="1">U42-P42</f>
        <v>1.8274849944761513</v>
      </c>
      <c r="Y42" s="190"/>
    </row>
    <row r="43" spans="2:25">
      <c r="B43" s="41"/>
      <c r="F43" s="33"/>
      <c r="G43" s="16"/>
      <c r="H43" s="34"/>
      <c r="J43" s="34"/>
      <c r="L43" s="187"/>
      <c r="M43" s="188"/>
      <c r="N43" s="187"/>
      <c r="O43" s="187"/>
      <c r="P43" s="187"/>
      <c r="Q43" s="370"/>
      <c r="R43" s="35"/>
      <c r="S43" s="36"/>
      <c r="T43" s="38"/>
      <c r="U43" s="454"/>
      <c r="V43" s="454"/>
      <c r="Y43" s="190"/>
    </row>
    <row r="44" spans="2:25">
      <c r="B44" s="41">
        <f>MAX(B$14:B43)+1</f>
        <v>18</v>
      </c>
      <c r="D44" s="136" t="s">
        <v>81</v>
      </c>
      <c r="H44" s="134">
        <f>SUM(H42,H40,H38,H33,H31,H25,H18)</f>
        <v>1152374.9166666667</v>
      </c>
      <c r="J44" s="134">
        <f>SUM(J42,J40,J38,J33,J31,J25,J18)</f>
        <v>22814379.24927425</v>
      </c>
      <c r="L44" s="189">
        <f ca="1">SUM(L42,L40,L38,L33,L31,L25,L18)</f>
        <v>1963184.040801262</v>
      </c>
      <c r="M44" s="188"/>
      <c r="N44" s="189">
        <f ca="1">SUM(N42,N40,N38,N33,N31,N25,N18)</f>
        <v>1996286.1724999999</v>
      </c>
      <c r="O44" s="187"/>
      <c r="P44" s="189">
        <f ca="1">SUM(P42,P40,P38,P33,P31,P25,P18)</f>
        <v>33102.131698737998</v>
      </c>
      <c r="Q44" s="371">
        <f ca="1">P44/L44</f>
        <v>1.6861451097181675E-2</v>
      </c>
      <c r="R44" s="35"/>
      <c r="S44" s="135">
        <f ca="1">N44/J44*100</f>
        <v>8.7501226778436401</v>
      </c>
      <c r="T44" s="38"/>
      <c r="U44" s="373">
        <f ca="1">SUM(U42,U40,U38,U33,U31,U25,U18)</f>
        <v>33103.242161820352</v>
      </c>
      <c r="V44" s="373">
        <f ca="1">U44-P44</f>
        <v>1.1104630823538173</v>
      </c>
      <c r="Y44" s="190"/>
    </row>
    <row r="45" spans="2:25">
      <c r="B45" s="19"/>
      <c r="L45" s="190"/>
      <c r="M45" s="190"/>
      <c r="N45" s="190"/>
      <c r="O45" s="190"/>
      <c r="P45" s="190"/>
      <c r="Q45" s="43"/>
      <c r="T45" s="9"/>
      <c r="U45" s="101"/>
      <c r="V45" s="101"/>
      <c r="Y45" s="190"/>
    </row>
    <row r="46" spans="2:25">
      <c r="B46" s="41">
        <f>MAX(B$14:B45)+1</f>
        <v>19</v>
      </c>
      <c r="D46" s="4" t="s">
        <v>82</v>
      </c>
      <c r="F46" s="33" t="s">
        <v>80</v>
      </c>
      <c r="G46" s="16"/>
      <c r="H46" s="134">
        <f>'Exhibit No.__(JAP-TRANSP RD)'!C34/12</f>
        <v>8</v>
      </c>
      <c r="J46" s="134">
        <f>'Exhibit No.__(JAP-TRANSP RD)'!C39/1000</f>
        <v>6929.8034221808284</v>
      </c>
      <c r="L46" s="189">
        <f>'Exhibit No.__(JAP-TRANSP RD)'!F47/1000</f>
        <v>316.39299999999997</v>
      </c>
      <c r="M46" s="190"/>
      <c r="N46" s="189">
        <f ca="1">'Exhibit No.__(JAP-TRANSP RD)'!I47/1000</f>
        <v>684.43883817964468</v>
      </c>
      <c r="O46" s="187"/>
      <c r="P46" s="189">
        <f ca="1">N46-L46</f>
        <v>368.0458381796447</v>
      </c>
      <c r="Q46" s="371">
        <f t="shared" ref="Q46" ca="1" si="11">P46/L46</f>
        <v>1.1632553127902474</v>
      </c>
      <c r="R46" s="35"/>
      <c r="S46" s="135">
        <f ca="1">N46/J46*100</f>
        <v>9.8767424771228196</v>
      </c>
      <c r="T46" s="9"/>
      <c r="U46" s="373">
        <f ca="1">'Exhibit No.__(JAP-Rate Spread)'!J32</f>
        <v>368.04583817964465</v>
      </c>
      <c r="V46" s="373">
        <f ca="1">U46-P46</f>
        <v>0</v>
      </c>
      <c r="Y46" s="190"/>
    </row>
    <row r="47" spans="2:25">
      <c r="B47" s="19"/>
      <c r="L47" s="190"/>
      <c r="M47" s="190"/>
      <c r="N47" s="190"/>
      <c r="O47" s="190"/>
      <c r="P47" s="190"/>
      <c r="Q47" s="43"/>
      <c r="T47" s="9"/>
      <c r="U47" s="101"/>
      <c r="V47" s="101"/>
      <c r="Y47" s="190"/>
    </row>
    <row r="48" spans="2:25" ht="16.2" thickBot="1">
      <c r="B48" s="41">
        <f>MAX(B$14:B47)+1</f>
        <v>20</v>
      </c>
      <c r="D48" s="137" t="s">
        <v>83</v>
      </c>
      <c r="H48" s="45">
        <f>H46+H44</f>
        <v>1152382.9166666667</v>
      </c>
      <c r="J48" s="45">
        <f>J46+J44</f>
        <v>22821309.052696429</v>
      </c>
      <c r="L48" s="182">
        <f ca="1">L46+L44</f>
        <v>1963500.4338012619</v>
      </c>
      <c r="M48" s="191"/>
      <c r="N48" s="182">
        <f ca="1">N46+N44</f>
        <v>1996970.6113381796</v>
      </c>
      <c r="O48" s="192"/>
      <c r="P48" s="182">
        <f ca="1">P46+P44</f>
        <v>33470.177536917639</v>
      </c>
      <c r="Q48" s="372">
        <f ca="1">P48/L48</f>
        <v>1.7046177816279189E-2</v>
      </c>
      <c r="R48" s="38"/>
      <c r="S48" s="47">
        <f ca="1">N48/J48*100</f>
        <v>8.7504647815206269</v>
      </c>
      <c r="T48" s="38"/>
      <c r="U48" s="455">
        <f t="shared" ref="U48:V48" ca="1" si="12">U46+U44</f>
        <v>33471.287999999993</v>
      </c>
      <c r="V48" s="455">
        <f t="shared" ca="1" si="12"/>
        <v>1.1104630823538173</v>
      </c>
      <c r="Y48" s="190"/>
    </row>
    <row r="49" spans="2:25" ht="16.2" thickTop="1">
      <c r="B49" s="502" t="s">
        <v>0</v>
      </c>
      <c r="C49" s="503"/>
      <c r="D49" s="503"/>
      <c r="H49" s="48"/>
      <c r="J49" s="48"/>
      <c r="L49" s="46"/>
      <c r="M49" s="38"/>
      <c r="N49" s="46"/>
      <c r="O49" s="46"/>
      <c r="P49" s="46"/>
      <c r="Q49" s="40"/>
      <c r="R49" s="38"/>
      <c r="S49" s="38"/>
      <c r="T49" s="38"/>
      <c r="Y49" s="190"/>
    </row>
    <row r="50" spans="2:25" ht="18.75" customHeight="1" thickBot="1">
      <c r="D50" s="4" t="s">
        <v>341</v>
      </c>
      <c r="J50" s="45">
        <f>ROUND('[1]Proforma Revenue'!$D$39,-3)/1000</f>
        <v>22821309</v>
      </c>
      <c r="L50" s="182">
        <f>ROUND('[1]Proforma Revenue'!$K$39,-3)/1000</f>
        <v>1963503</v>
      </c>
      <c r="P50" s="49" t="s">
        <v>0</v>
      </c>
      <c r="Q50" s="50" t="s">
        <v>0</v>
      </c>
      <c r="Y50" s="190"/>
    </row>
    <row r="51" spans="2:25" ht="16.8" thickTop="1" thickBot="1">
      <c r="D51" s="4" t="s">
        <v>341</v>
      </c>
      <c r="J51" s="45">
        <f>J50-J48</f>
        <v>-5.2696429193019867E-2</v>
      </c>
      <c r="L51" s="182">
        <f ca="1">L50-L48</f>
        <v>2.566198738059029</v>
      </c>
      <c r="M51" s="9"/>
      <c r="N51" s="185"/>
      <c r="P51" s="185"/>
      <c r="Q51" s="51"/>
      <c r="R51" s="9"/>
      <c r="S51" s="9"/>
      <c r="T51" s="9"/>
      <c r="Y51" s="190"/>
    </row>
    <row r="52" spans="2:25" ht="16.2" thickTop="1">
      <c r="J52" s="42"/>
      <c r="L52" s="101"/>
      <c r="M52" s="9"/>
      <c r="N52" s="101"/>
      <c r="P52" s="101"/>
      <c r="R52" s="9"/>
      <c r="S52" s="46"/>
      <c r="T52" s="9"/>
    </row>
    <row r="53" spans="2:25">
      <c r="N53" s="37"/>
      <c r="P53" s="53"/>
      <c r="Q53" s="54"/>
    </row>
    <row r="54" spans="2:25">
      <c r="N54" s="9"/>
      <c r="P54" s="55"/>
      <c r="Q54" s="56"/>
    </row>
    <row r="55" spans="2:25">
      <c r="N55" s="31"/>
      <c r="P55" s="57"/>
      <c r="Q55" s="58"/>
    </row>
    <row r="56" spans="2:25">
      <c r="N56" s="59"/>
      <c r="Q56" s="60"/>
    </row>
    <row r="57" spans="2:25">
      <c r="N57" s="5"/>
      <c r="Q57" s="61"/>
    </row>
    <row r="59" spans="2:25">
      <c r="N59" s="31"/>
    </row>
  </sheetData>
  <mergeCells count="11">
    <mergeCell ref="B7:R7"/>
    <mergeCell ref="B2:R2"/>
    <mergeCell ref="B3:R3"/>
    <mergeCell ref="B4:R4"/>
    <mergeCell ref="B5:R5"/>
    <mergeCell ref="B6:R6"/>
    <mergeCell ref="U11:U13"/>
    <mergeCell ref="V11:V13"/>
    <mergeCell ref="N9:Q9"/>
    <mergeCell ref="N10:Q10"/>
    <mergeCell ref="B49:D49"/>
  </mergeCells>
  <printOptions horizontalCentered="1"/>
  <pageMargins left="0.7" right="0.7" top="0.75" bottom="0.77" header="0.3" footer="0.3"/>
  <pageSetup scale="67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pane="bottomLeft" activeCell="G18" sqref="G18"/>
    </sheetView>
  </sheetViews>
  <sheetFormatPr defaultColWidth="10.19921875" defaultRowHeight="15.6"/>
  <cols>
    <col min="1" max="1" width="22.3984375" style="64" bestFit="1" customWidth="1"/>
    <col min="2" max="2" width="1.3984375" style="64" bestFit="1" customWidth="1"/>
    <col min="3" max="3" width="14.19921875" style="64" bestFit="1" customWidth="1"/>
    <col min="4" max="4" width="10.796875" style="64" bestFit="1" customWidth="1"/>
    <col min="5" max="5" width="2" style="64" bestFit="1" customWidth="1"/>
    <col min="6" max="6" width="14.19921875" style="64" bestFit="1" customWidth="1"/>
    <col min="7" max="7" width="17" style="64" customWidth="1"/>
    <col min="8" max="8" width="2" style="64" bestFit="1" customWidth="1"/>
    <col min="9" max="9" width="17" style="64" customWidth="1"/>
    <col min="10" max="10" width="1.59765625" style="64" customWidth="1"/>
    <col min="11" max="11" width="22.5" style="64" bestFit="1" customWidth="1"/>
    <col min="12" max="12" width="16" style="70" bestFit="1" customWidth="1"/>
    <col min="13" max="13" width="12" style="70" customWidth="1"/>
    <col min="14" max="14" width="21" style="70" customWidth="1"/>
    <col min="15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31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508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>
      <c r="A5" s="67" t="s">
        <v>105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>
      <c r="A9" s="71"/>
      <c r="B9" s="71"/>
      <c r="C9" s="72" t="s">
        <v>33</v>
      </c>
      <c r="D9" s="511" t="s">
        <v>3</v>
      </c>
      <c r="E9" s="512"/>
      <c r="F9" s="513"/>
      <c r="G9" s="514" t="s">
        <v>340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>
      <c r="A11" s="139" t="s">
        <v>347</v>
      </c>
      <c r="B11" s="91"/>
      <c r="C11" s="91"/>
      <c r="D11" s="97"/>
      <c r="E11" s="91"/>
      <c r="F11" s="91"/>
      <c r="G11" s="97"/>
      <c r="H11" s="91"/>
      <c r="I11" s="91"/>
      <c r="J11" s="91"/>
      <c r="K11" s="39"/>
      <c r="L11" s="63"/>
      <c r="M11" s="63"/>
    </row>
    <row r="12" spans="1:31">
      <c r="A12" s="140" t="s">
        <v>30</v>
      </c>
      <c r="B12" s="91"/>
      <c r="C12" s="91"/>
      <c r="D12" s="97"/>
      <c r="E12" s="91"/>
      <c r="F12" s="91"/>
      <c r="G12" s="97"/>
      <c r="H12" s="91"/>
      <c r="I12" s="91"/>
      <c r="J12" s="91"/>
      <c r="K12" s="98"/>
      <c r="L12" s="63"/>
      <c r="M12" s="63"/>
    </row>
    <row r="13" spans="1:31">
      <c r="A13" s="91" t="s">
        <v>44</v>
      </c>
      <c r="B13" s="91"/>
      <c r="C13" s="91"/>
      <c r="D13" s="97"/>
      <c r="E13" s="91"/>
      <c r="F13" s="91"/>
      <c r="G13" s="97"/>
      <c r="H13" s="91"/>
      <c r="I13" s="91"/>
      <c r="J13" s="91"/>
      <c r="K13" s="39"/>
      <c r="L13" s="63"/>
      <c r="M13" s="99"/>
    </row>
    <row r="14" spans="1:31">
      <c r="A14" s="91" t="s">
        <v>42</v>
      </c>
      <c r="B14" s="91"/>
      <c r="C14" s="97">
        <f>'[1]Tariff 7'!$D$7</f>
        <v>11996380</v>
      </c>
      <c r="D14" s="144">
        <f>'Exhibit No.__(JAP-Tariff)'!$E$8</f>
        <v>7.49</v>
      </c>
      <c r="E14" s="91"/>
      <c r="F14" s="80">
        <f>ROUND(D14*$C14,0)</f>
        <v>89852886</v>
      </c>
      <c r="G14" s="144">
        <f>D14</f>
        <v>7.49</v>
      </c>
      <c r="H14" s="91"/>
      <c r="I14" s="80">
        <f>ROUND(G14*$C14,0)</f>
        <v>89852886</v>
      </c>
      <c r="J14" s="80"/>
      <c r="K14" s="507" t="s">
        <v>984</v>
      </c>
      <c r="L14" s="507"/>
      <c r="M14" s="507"/>
    </row>
    <row r="15" spans="1:31" ht="15.6" customHeight="1">
      <c r="A15" s="91" t="s">
        <v>43</v>
      </c>
      <c r="B15" s="91"/>
      <c r="C15" s="97">
        <f>'[1]Tariff 7'!$D$8</f>
        <v>2918</v>
      </c>
      <c r="D15" s="144">
        <f>'Exhibit No.__(JAP-Tariff)'!$E$9</f>
        <v>17.989999999999998</v>
      </c>
      <c r="E15" s="91"/>
      <c r="F15" s="80">
        <f>ROUND(D15*$C15,0)</f>
        <v>52495</v>
      </c>
      <c r="G15" s="144">
        <f>D15</f>
        <v>17.989999999999998</v>
      </c>
      <c r="H15" s="91"/>
      <c r="I15" s="80">
        <f>ROUND(G15*$C15,0)</f>
        <v>52495</v>
      </c>
      <c r="J15" s="80"/>
      <c r="K15" s="507" t="s">
        <v>984</v>
      </c>
      <c r="L15" s="507"/>
      <c r="M15" s="507"/>
    </row>
    <row r="16" spans="1:31">
      <c r="A16" s="143" t="s">
        <v>37</v>
      </c>
      <c r="B16" s="91"/>
      <c r="C16" s="146">
        <f>SUM(C14:C15)</f>
        <v>11999298</v>
      </c>
      <c r="D16" s="100"/>
      <c r="E16" s="91"/>
      <c r="F16" s="132">
        <f>SUM(F14:F15)</f>
        <v>89905381</v>
      </c>
      <c r="G16" s="100"/>
      <c r="H16" s="91"/>
      <c r="I16" s="132">
        <f>SUM(I14:I15)</f>
        <v>89905381</v>
      </c>
      <c r="J16" s="80"/>
      <c r="K16" s="507"/>
      <c r="L16" s="507"/>
      <c r="M16" s="507"/>
    </row>
    <row r="17" spans="1:33">
      <c r="A17" s="91" t="s">
        <v>91</v>
      </c>
      <c r="B17" s="91"/>
      <c r="C17" s="128"/>
      <c r="D17" s="100"/>
      <c r="E17" s="91"/>
      <c r="F17" s="83"/>
      <c r="G17" s="100"/>
      <c r="H17" s="91"/>
      <c r="I17" s="83"/>
      <c r="J17" s="80"/>
      <c r="K17" s="193"/>
      <c r="L17" s="193"/>
      <c r="M17" s="193"/>
    </row>
    <row r="18" spans="1:33">
      <c r="A18" s="142" t="s">
        <v>85</v>
      </c>
      <c r="B18" s="91"/>
      <c r="C18" s="97">
        <f>'[1]Tariff 7'!D12</f>
        <v>5973778123</v>
      </c>
      <c r="D18" s="145">
        <f>'Exhibit No.__(JAP-Tariff)'!$E$11</f>
        <v>8.5578000000000001E-2</v>
      </c>
      <c r="E18" s="91"/>
      <c r="F18" s="80">
        <f>ROUND(D18*$C18,0)</f>
        <v>511223984</v>
      </c>
      <c r="G18" s="334">
        <v>8.7335999999999997E-2</v>
      </c>
      <c r="H18" s="91"/>
      <c r="I18" s="80">
        <f>ROUND(G18*$C18,0)</f>
        <v>521725886</v>
      </c>
      <c r="J18" s="80"/>
      <c r="K18" s="507" t="s">
        <v>380</v>
      </c>
      <c r="L18" s="507"/>
      <c r="M18" s="507"/>
    </row>
    <row r="19" spans="1:33" ht="15.6" customHeight="1">
      <c r="A19" s="142" t="s">
        <v>260</v>
      </c>
      <c r="B19" s="91"/>
      <c r="C19" s="97">
        <f>'[1]Tariff 7'!D13</f>
        <v>4254038618</v>
      </c>
      <c r="D19" s="145">
        <f>'Exhibit No.__(JAP-Tariff)'!$E$12</f>
        <v>0.104157</v>
      </c>
      <c r="E19" s="91"/>
      <c r="F19" s="80">
        <f>ROUND(D19*$C19,0)</f>
        <v>443087900</v>
      </c>
      <c r="G19" s="145">
        <f>ROUND(I18/F18*F19/C19,6)</f>
        <v>0.106297</v>
      </c>
      <c r="H19" s="91"/>
      <c r="I19" s="80">
        <f>ROUND(G19*$C19,0)</f>
        <v>452191543</v>
      </c>
      <c r="J19" s="80"/>
      <c r="K19" s="502" t="s">
        <v>348</v>
      </c>
      <c r="L19" s="502"/>
      <c r="M19" s="502"/>
      <c r="N19" s="355"/>
    </row>
    <row r="20" spans="1:33">
      <c r="A20" s="143" t="s">
        <v>37</v>
      </c>
      <c r="B20" s="103"/>
      <c r="C20" s="146">
        <f>SUM(C18:C19)</f>
        <v>10227816741</v>
      </c>
      <c r="D20" s="104"/>
      <c r="E20" s="80"/>
      <c r="F20" s="132">
        <f>SUM(F18:F19)</f>
        <v>954311884</v>
      </c>
      <c r="G20" s="80"/>
      <c r="H20" s="80"/>
      <c r="I20" s="132">
        <f>SUM(I18:I19)</f>
        <v>973917429</v>
      </c>
      <c r="J20" s="80"/>
      <c r="K20" s="507"/>
      <c r="L20" s="507"/>
      <c r="M20" s="507"/>
    </row>
    <row r="21" spans="1:33" ht="15.6" customHeight="1">
      <c r="A21" s="141" t="s">
        <v>84</v>
      </c>
      <c r="B21" s="91"/>
      <c r="C21" s="97">
        <f>'[1]Tariff 7'!$D$15</f>
        <v>242969649</v>
      </c>
      <c r="D21" s="145">
        <f>D19</f>
        <v>0.104157</v>
      </c>
      <c r="E21" s="91"/>
      <c r="F21" s="80">
        <f>ROUND(D21*$C21,0)</f>
        <v>25306990</v>
      </c>
      <c r="G21" s="145">
        <f>G19</f>
        <v>0.106297</v>
      </c>
      <c r="H21" s="91"/>
      <c r="I21" s="80">
        <f>ROUND(G21*$C21,0)</f>
        <v>25826945</v>
      </c>
      <c r="J21" s="80"/>
      <c r="K21" s="506" t="s">
        <v>384</v>
      </c>
      <c r="L21" s="507"/>
      <c r="M21" s="507"/>
    </row>
    <row r="22" spans="1:33">
      <c r="A22" s="141" t="s">
        <v>86</v>
      </c>
      <c r="B22" s="105"/>
      <c r="C22" s="97">
        <f>'[1]Tariff 7'!$D$14</f>
        <v>-28359904.933104038</v>
      </c>
      <c r="D22" s="145">
        <f>ROUND(SUM($F$16,$F$20,$F$21)/SUM($C$20:$C$21),6)</f>
        <v>0.102144</v>
      </c>
      <c r="E22" s="84"/>
      <c r="F22" s="80">
        <f>ROUND(D22*$C22,0)</f>
        <v>-2896794</v>
      </c>
      <c r="G22" s="145">
        <f ca="1">D22*(1+M23)</f>
        <v>0.1040658114419887</v>
      </c>
      <c r="H22" s="84"/>
      <c r="I22" s="80">
        <f ca="1">ROUND(G22*$C22,0)</f>
        <v>-2951297</v>
      </c>
      <c r="J22" s="83"/>
      <c r="K22" s="507" t="s">
        <v>87</v>
      </c>
      <c r="L22" s="507"/>
      <c r="M22" s="507"/>
    </row>
    <row r="23" spans="1:33" ht="16.2" thickBot="1">
      <c r="A23" s="91" t="s">
        <v>38</v>
      </c>
      <c r="B23" s="91"/>
      <c r="C23" s="147">
        <f>SUM(C20:C22)</f>
        <v>10442426485.066896</v>
      </c>
      <c r="D23" s="145"/>
      <c r="E23" s="84"/>
      <c r="F23" s="131">
        <f>SUM(F20:F22,F16)</f>
        <v>1066627461</v>
      </c>
      <c r="G23" s="84"/>
      <c r="H23" s="84"/>
      <c r="I23" s="131">
        <f ca="1">SUM(I20:I22,I16)</f>
        <v>1086698458</v>
      </c>
      <c r="J23" s="85"/>
      <c r="K23" s="86" t="s">
        <v>39</v>
      </c>
      <c r="L23" s="183">
        <f ca="1">'Exhibit No.__(JAP-Rate Spread)'!K8*1000</f>
        <v>1086695765.1479592</v>
      </c>
      <c r="M23" s="88">
        <f ca="1">L23/F23-1</f>
        <v>1.8814726679870608E-2</v>
      </c>
    </row>
    <row r="24" spans="1:33" ht="16.2" thickTop="1">
      <c r="A24" s="91"/>
      <c r="B24" s="91"/>
      <c r="C24" s="89"/>
      <c r="D24" s="83"/>
      <c r="E24" s="83"/>
      <c r="F24" s="83"/>
      <c r="G24" s="83"/>
      <c r="H24" s="83"/>
      <c r="I24" s="83"/>
      <c r="J24" s="83"/>
      <c r="K24" s="92" t="s">
        <v>40</v>
      </c>
      <c r="L24" s="237">
        <f ca="1">L23-I23</f>
        <v>-2692.8520407676697</v>
      </c>
      <c r="M24" s="94"/>
    </row>
    <row r="25" spans="1:33">
      <c r="C25" s="90"/>
      <c r="D25" s="84"/>
      <c r="E25" s="90"/>
      <c r="F25" s="78"/>
      <c r="G25" s="91" t="s">
        <v>0</v>
      </c>
      <c r="H25" s="90"/>
      <c r="I25" s="80" t="s">
        <v>0</v>
      </c>
      <c r="J25" s="80"/>
      <c r="K25" s="401"/>
      <c r="L25" s="299"/>
      <c r="M25" s="299"/>
      <c r="N25" s="63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91"/>
      <c r="B26" s="91"/>
      <c r="C26" s="89"/>
      <c r="D26" s="145"/>
      <c r="E26" s="83"/>
      <c r="F26" s="78"/>
      <c r="G26" s="83"/>
      <c r="H26" s="83"/>
      <c r="I26" s="83"/>
      <c r="J26" s="83"/>
      <c r="K26" s="39"/>
      <c r="L26" s="334"/>
      <c r="M26" s="63"/>
      <c r="N26" s="363"/>
      <c r="O26" s="82"/>
      <c r="P26" s="82"/>
      <c r="Z26" s="39"/>
      <c r="AA26" s="39"/>
      <c r="AB26" s="39"/>
      <c r="AC26" s="39"/>
      <c r="AD26" s="39"/>
      <c r="AE26" s="39"/>
      <c r="AG26" s="81"/>
    </row>
    <row r="27" spans="1:33">
      <c r="A27" s="91"/>
      <c r="B27" s="106"/>
      <c r="C27" s="97"/>
      <c r="D27" s="91"/>
      <c r="E27" s="91"/>
      <c r="F27" s="78"/>
      <c r="G27" s="91" t="s">
        <v>0</v>
      </c>
      <c r="H27" s="91"/>
      <c r="I27" s="80" t="s">
        <v>0</v>
      </c>
      <c r="J27" s="80"/>
      <c r="K27" s="39"/>
      <c r="L27" s="63"/>
      <c r="M27" s="63"/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G27" s="81"/>
    </row>
    <row r="28" spans="1:33">
      <c r="F28" s="78"/>
    </row>
    <row r="29" spans="1:33">
      <c r="C29" s="90"/>
      <c r="D29" s="84"/>
      <c r="E29" s="90"/>
      <c r="F29" s="78"/>
      <c r="G29" s="91" t="s">
        <v>0</v>
      </c>
      <c r="H29" s="90"/>
      <c r="I29" s="80" t="s">
        <v>0</v>
      </c>
      <c r="J29" s="80"/>
      <c r="K29" s="39"/>
      <c r="L29" s="63"/>
      <c r="M29" s="63"/>
    </row>
    <row r="30" spans="1:33">
      <c r="F30" s="78"/>
    </row>
    <row r="31" spans="1:33">
      <c r="F31" s="78"/>
    </row>
    <row r="32" spans="1:33">
      <c r="F32" s="78"/>
    </row>
    <row r="33" spans="7:11">
      <c r="G33" s="166"/>
      <c r="K33" s="165"/>
    </row>
    <row r="34" spans="7:11">
      <c r="G34" s="166"/>
      <c r="K34" s="165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M143"/>
  <sheetViews>
    <sheetView zoomScale="80" zoomScaleNormal="80" zoomScaleSheetLayoutView="80" workbookViewId="0">
      <pane ySplit="10" topLeftCell="A117" activePane="bottomLeft" state="frozen"/>
      <selection pane="bottomLeft" activeCell="G121" sqref="G121"/>
    </sheetView>
  </sheetViews>
  <sheetFormatPr defaultColWidth="10.19921875" defaultRowHeight="15.6"/>
  <cols>
    <col min="1" max="1" width="42.3984375" style="82" bestFit="1" customWidth="1"/>
    <col min="2" max="2" width="1.3984375" style="82" bestFit="1" customWidth="1"/>
    <col min="3" max="3" width="13.19921875" style="82" bestFit="1" customWidth="1"/>
    <col min="4" max="4" width="12.796875" style="82" bestFit="1" customWidth="1"/>
    <col min="5" max="5" width="2" style="82" bestFit="1" customWidth="1"/>
    <col min="6" max="6" width="12.59765625" style="82" bestFit="1" customWidth="1"/>
    <col min="7" max="7" width="14.5" style="82" customWidth="1"/>
    <col min="8" max="8" width="2" style="82" bestFit="1" customWidth="1"/>
    <col min="9" max="9" width="14.5" style="82" customWidth="1"/>
    <col min="10" max="10" width="1.59765625" style="82" customWidth="1"/>
    <col min="11" max="11" width="49.19921875" style="82" customWidth="1"/>
    <col min="12" max="12" width="13.8984375" style="244" bestFit="1" customWidth="1"/>
    <col min="13" max="13" width="10.296875" style="244" bestFit="1" customWidth="1"/>
    <col min="14" max="14" width="33.5" style="244" bestFit="1" customWidth="1"/>
    <col min="15" max="16" width="12.296875" style="82" bestFit="1" customWidth="1"/>
    <col min="17" max="17" width="14.09765625" style="82" bestFit="1" customWidth="1"/>
    <col min="18" max="18" width="1.3984375" style="82" bestFit="1" customWidth="1"/>
    <col min="19" max="19" width="13.19921875" style="82" bestFit="1" customWidth="1"/>
    <col min="20" max="20" width="13" style="82" bestFit="1" customWidth="1"/>
    <col min="21" max="21" width="12.19921875" style="82" bestFit="1" customWidth="1"/>
    <col min="22" max="22" width="5.5" style="82" bestFit="1" customWidth="1"/>
    <col min="23" max="23" width="1.3984375" style="82" bestFit="1" customWidth="1"/>
    <col min="24" max="24" width="10.19921875" style="82" customWidth="1"/>
    <col min="25" max="25" width="12.09765625" style="82" customWidth="1"/>
    <col min="26" max="16384" width="10.19921875" style="82"/>
  </cols>
  <sheetData>
    <row r="1" spans="1:39" ht="17.399999999999999">
      <c r="A1" s="520" t="s">
        <v>55</v>
      </c>
      <c r="B1" s="520"/>
      <c r="C1" s="520"/>
      <c r="D1" s="520"/>
      <c r="E1" s="520"/>
      <c r="F1" s="520"/>
      <c r="G1" s="520"/>
      <c r="H1" s="520"/>
      <c r="I1" s="520"/>
      <c r="J1" s="520"/>
      <c r="K1" s="238"/>
      <c r="L1" s="239"/>
      <c r="M1" s="239"/>
      <c r="N1" s="239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9" ht="17.399999999999999">
      <c r="A2" s="520" t="s">
        <v>31</v>
      </c>
      <c r="B2" s="520"/>
      <c r="C2" s="520"/>
      <c r="D2" s="520"/>
      <c r="E2" s="520"/>
      <c r="F2" s="520"/>
      <c r="G2" s="520"/>
      <c r="H2" s="520"/>
      <c r="I2" s="520"/>
      <c r="J2" s="240"/>
      <c r="K2" s="238"/>
      <c r="L2" s="239"/>
      <c r="M2" s="239"/>
      <c r="N2" s="239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9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241"/>
      <c r="K3" s="238"/>
      <c r="L3" s="239"/>
      <c r="M3" s="239"/>
      <c r="N3" s="239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</row>
    <row r="4" spans="1:39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238"/>
      <c r="L4" s="239"/>
      <c r="M4" s="239"/>
      <c r="N4" s="239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</row>
    <row r="5" spans="1:39">
      <c r="A5" s="67" t="s">
        <v>106</v>
      </c>
      <c r="B5" s="242"/>
      <c r="C5" s="242"/>
      <c r="D5" s="243"/>
      <c r="E5" s="243"/>
      <c r="F5" s="242"/>
      <c r="G5" s="243"/>
      <c r="H5" s="242"/>
      <c r="I5" s="242"/>
      <c r="J5" s="242"/>
      <c r="K5" s="238"/>
      <c r="L5" s="239"/>
      <c r="M5" s="239"/>
      <c r="N5" s="239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</row>
    <row r="6" spans="1:39">
      <c r="A6" s="67"/>
      <c r="B6" s="242"/>
      <c r="C6" s="242"/>
      <c r="D6" s="243"/>
      <c r="E6" s="243"/>
      <c r="F6" s="242"/>
      <c r="G6" s="243"/>
      <c r="H6" s="242"/>
      <c r="I6" s="242"/>
      <c r="J6" s="242"/>
      <c r="K6" s="238"/>
      <c r="L6" s="239"/>
      <c r="M6" s="239"/>
      <c r="N6" s="239"/>
      <c r="O6" s="239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</row>
    <row r="7" spans="1:39">
      <c r="A7" s="242"/>
      <c r="B7" s="242"/>
      <c r="C7" s="242"/>
      <c r="D7" s="243"/>
      <c r="E7" s="243"/>
      <c r="F7" s="242"/>
      <c r="G7" s="243"/>
      <c r="H7" s="242"/>
      <c r="I7" s="242"/>
      <c r="J7" s="242"/>
      <c r="K7" s="238"/>
      <c r="L7" s="239"/>
      <c r="M7" s="239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</row>
    <row r="8" spans="1:39">
      <c r="A8" s="73"/>
      <c r="B8" s="73"/>
      <c r="C8" s="72"/>
      <c r="D8" s="73"/>
      <c r="E8" s="73"/>
      <c r="G8" s="73"/>
      <c r="H8" s="74"/>
      <c r="I8" s="74"/>
      <c r="J8" s="74"/>
      <c r="K8" s="238"/>
      <c r="L8" s="239"/>
      <c r="M8" s="239"/>
      <c r="N8" s="239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</row>
    <row r="9" spans="1:39">
      <c r="A9" s="73"/>
      <c r="B9" s="73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238"/>
      <c r="L9" s="239"/>
      <c r="M9" s="239"/>
      <c r="N9" s="239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</row>
    <row r="10" spans="1:39">
      <c r="A10" s="73"/>
      <c r="B10" s="73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238"/>
      <c r="L10" s="239"/>
      <c r="M10" s="239"/>
      <c r="N10" s="239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</row>
    <row r="11" spans="1:39">
      <c r="A11" s="91"/>
      <c r="B11" s="106"/>
      <c r="C11" s="97"/>
      <c r="D11" s="91" t="s">
        <v>0</v>
      </c>
      <c r="E11" s="91"/>
      <c r="G11" s="91" t="s">
        <v>0</v>
      </c>
      <c r="H11" s="91"/>
      <c r="I11" s="80" t="s">
        <v>0</v>
      </c>
      <c r="J11" s="80"/>
      <c r="K11" s="238"/>
      <c r="L11" s="239"/>
      <c r="M11" s="239"/>
      <c r="N11" s="239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F11" s="245"/>
    </row>
    <row r="12" spans="1:39">
      <c r="A12" s="139" t="s">
        <v>114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238"/>
      <c r="L12" s="239"/>
      <c r="M12" s="239"/>
      <c r="N12" s="239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F12" s="245"/>
    </row>
    <row r="13" spans="1:39">
      <c r="A13" s="140" t="s">
        <v>96</v>
      </c>
      <c r="B13" s="91"/>
      <c r="C13" s="91"/>
      <c r="D13" s="80"/>
      <c r="E13" s="91"/>
      <c r="F13" s="91"/>
      <c r="G13" s="80"/>
      <c r="H13" s="91"/>
      <c r="I13" s="91"/>
      <c r="J13" s="91"/>
      <c r="K13" s="238"/>
      <c r="L13" s="239"/>
      <c r="M13" s="239"/>
      <c r="N13" s="239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F13" s="245"/>
    </row>
    <row r="14" spans="1:39">
      <c r="A14" s="91" t="s">
        <v>44</v>
      </c>
      <c r="B14" s="91"/>
      <c r="C14" s="246"/>
      <c r="D14" s="80"/>
      <c r="E14" s="91"/>
      <c r="F14" s="91"/>
      <c r="G14" s="80"/>
      <c r="H14" s="91"/>
      <c r="I14" s="91"/>
      <c r="J14" s="91"/>
      <c r="M14" s="247"/>
      <c r="N14" s="247"/>
      <c r="Q14" s="245"/>
      <c r="R14" s="108"/>
      <c r="S14" s="245"/>
      <c r="T14" s="245"/>
      <c r="U14" s="108"/>
      <c r="V14" s="52"/>
      <c r="W14" s="245"/>
      <c r="X14" s="245"/>
      <c r="AF14" s="238"/>
      <c r="AG14" s="238"/>
      <c r="AH14" s="238"/>
      <c r="AI14" s="238"/>
      <c r="AJ14" s="238"/>
      <c r="AK14" s="238"/>
      <c r="AM14" s="245"/>
    </row>
    <row r="15" spans="1:39">
      <c r="A15" s="91" t="s">
        <v>42</v>
      </c>
      <c r="B15" s="91"/>
      <c r="C15" s="246">
        <f>SUM('[1]Tariff 24'!D7,'[1]Tariff 24'!D9)</f>
        <v>1066088</v>
      </c>
      <c r="D15" s="144">
        <f>'Exhibit No.__(JAP-Tariff)'!E15</f>
        <v>9.66</v>
      </c>
      <c r="E15" s="248"/>
      <c r="F15" s="80">
        <f>ROUND(D15*$C15,0)</f>
        <v>10298410</v>
      </c>
      <c r="G15" s="144">
        <f ca="1">ROUND(D15*(1+$M$25),2)</f>
        <v>9.8000000000000007</v>
      </c>
      <c r="H15" s="248"/>
      <c r="I15" s="80">
        <f ca="1">ROUND(G15*$C15,0)</f>
        <v>10447662</v>
      </c>
      <c r="J15" s="249"/>
      <c r="K15" s="502" t="s">
        <v>94</v>
      </c>
      <c r="L15" s="502"/>
      <c r="M15" s="502"/>
      <c r="N15" s="43"/>
      <c r="P15" s="245"/>
      <c r="Q15" s="245"/>
      <c r="R15" s="108"/>
      <c r="S15" s="245"/>
      <c r="T15" s="245"/>
      <c r="U15" s="108"/>
      <c r="V15" s="52"/>
      <c r="W15" s="245"/>
      <c r="X15" s="245"/>
      <c r="AF15" s="238"/>
      <c r="AG15" s="238"/>
      <c r="AH15" s="238"/>
      <c r="AI15" s="238"/>
      <c r="AJ15" s="238"/>
      <c r="AK15" s="238"/>
      <c r="AM15" s="245"/>
    </row>
    <row r="16" spans="1:39">
      <c r="A16" s="91" t="s">
        <v>43</v>
      </c>
      <c r="B16" s="91"/>
      <c r="C16" s="246">
        <f>SUM('[1]Tariff 24'!D8,'[1]Tariff 24'!D10)</f>
        <v>455911</v>
      </c>
      <c r="D16" s="144">
        <f>'Exhibit No.__(JAP-Tariff)'!E16</f>
        <v>24.55</v>
      </c>
      <c r="E16" s="113"/>
      <c r="F16" s="80">
        <f>ROUND(D16*$C16,0)</f>
        <v>11192615</v>
      </c>
      <c r="G16" s="144">
        <f ca="1">ROUND(D16*(1+$M$25),2)</f>
        <v>24.9</v>
      </c>
      <c r="H16" s="113"/>
      <c r="I16" s="80">
        <f ca="1">ROUND(G16*$C16,0)</f>
        <v>11352184</v>
      </c>
      <c r="J16" s="249"/>
      <c r="K16" s="502" t="s">
        <v>94</v>
      </c>
      <c r="L16" s="502"/>
      <c r="M16" s="502"/>
      <c r="N16" s="43"/>
      <c r="O16" s="244"/>
      <c r="P16" s="245"/>
      <c r="Q16" s="245"/>
      <c r="R16" s="250"/>
      <c r="S16" s="245"/>
      <c r="T16" s="245"/>
      <c r="U16" s="250"/>
      <c r="W16" s="238"/>
      <c r="X16" s="238"/>
      <c r="Y16" s="238"/>
      <c r="Z16" s="238"/>
      <c r="AA16" s="238"/>
      <c r="AB16" s="238"/>
      <c r="AC16" s="238"/>
      <c r="AD16" s="238"/>
      <c r="AF16" s="245"/>
    </row>
    <row r="17" spans="1:32">
      <c r="A17" s="143" t="s">
        <v>37</v>
      </c>
      <c r="B17" s="91"/>
      <c r="C17" s="146">
        <f>SUM(C15:C16)</f>
        <v>1521999</v>
      </c>
      <c r="D17" s="100"/>
      <c r="E17" s="248"/>
      <c r="F17" s="132">
        <f>SUM(F15:F16)</f>
        <v>21491025</v>
      </c>
      <c r="G17" s="100"/>
      <c r="H17" s="248"/>
      <c r="I17" s="132">
        <f ca="1">SUM(I15:I16)</f>
        <v>21799846</v>
      </c>
      <c r="J17" s="249"/>
      <c r="K17" s="251"/>
      <c r="M17" s="247"/>
      <c r="N17" s="247"/>
      <c r="O17" s="244"/>
      <c r="W17" s="238"/>
      <c r="X17" s="238"/>
      <c r="Y17" s="238"/>
      <c r="Z17" s="238"/>
      <c r="AA17" s="238"/>
      <c r="AB17" s="238"/>
      <c r="AC17" s="238"/>
      <c r="AD17" s="238"/>
      <c r="AF17" s="245"/>
    </row>
    <row r="18" spans="1:32">
      <c r="A18" s="91" t="s">
        <v>91</v>
      </c>
      <c r="B18" s="91"/>
      <c r="C18" s="246"/>
      <c r="D18" s="100"/>
      <c r="E18" s="248"/>
      <c r="F18" s="83"/>
      <c r="G18" s="100"/>
      <c r="H18" s="248"/>
      <c r="I18" s="83"/>
      <c r="J18" s="249"/>
      <c r="K18" s="251"/>
      <c r="M18" s="247"/>
      <c r="N18" s="247"/>
      <c r="O18" s="244"/>
      <c r="W18" s="238"/>
      <c r="X18" s="238"/>
      <c r="Y18" s="238"/>
      <c r="Z18" s="238"/>
      <c r="AA18" s="238"/>
      <c r="AB18" s="238"/>
      <c r="AC18" s="238"/>
      <c r="AD18" s="238"/>
      <c r="AF18" s="245"/>
    </row>
    <row r="19" spans="1:32">
      <c r="A19" s="142" t="s">
        <v>89</v>
      </c>
      <c r="B19" s="91"/>
      <c r="C19" s="246">
        <f>SUM('[1]Tariff 24'!D14,'[1]Tariff 24'!D16)</f>
        <v>1448651253</v>
      </c>
      <c r="D19" s="145">
        <f>'Exhibit No.__(JAP-Tariff)'!E18</f>
        <v>8.9456999999999995E-2</v>
      </c>
      <c r="E19" s="248"/>
      <c r="F19" s="80">
        <f t="shared" ref="F19:F20" si="0">ROUND(D19*$C19,0)</f>
        <v>129591995</v>
      </c>
      <c r="G19" s="334">
        <f ca="1">ROUND(D19*(1+$M$25),6)+L27</f>
        <v>9.071499999999999E-2</v>
      </c>
      <c r="H19" s="248"/>
      <c r="I19" s="80">
        <f t="shared" ref="I19:I20" ca="1" si="1">ROUND(G19*$C19,0)</f>
        <v>131414398</v>
      </c>
      <c r="J19" s="249"/>
      <c r="K19" s="502" t="s">
        <v>95</v>
      </c>
      <c r="L19" s="502"/>
      <c r="M19" s="502"/>
      <c r="N19" s="43"/>
      <c r="O19" s="244"/>
      <c r="P19" s="51"/>
      <c r="Q19" s="51"/>
      <c r="R19" s="51"/>
      <c r="S19" s="51"/>
      <c r="T19" s="51"/>
      <c r="W19" s="238"/>
      <c r="X19" s="238"/>
      <c r="Y19" s="238"/>
      <c r="Z19" s="238"/>
      <c r="AA19" s="238"/>
      <c r="AB19" s="238"/>
      <c r="AC19" s="238"/>
      <c r="AD19" s="238"/>
      <c r="AF19" s="245"/>
    </row>
    <row r="20" spans="1:32">
      <c r="A20" s="141" t="s">
        <v>90</v>
      </c>
      <c r="B20" s="91"/>
      <c r="C20" s="246">
        <f>SUM('[1]Tariff 24'!D15,'[1]Tariff 24'!D17)</f>
        <v>1297361453</v>
      </c>
      <c r="D20" s="145">
        <f>'Exhibit No.__(JAP-Tariff)'!E19</f>
        <v>8.6359000000000005E-2</v>
      </c>
      <c r="E20" s="248"/>
      <c r="F20" s="80">
        <f t="shared" si="0"/>
        <v>112038838</v>
      </c>
      <c r="G20" s="145">
        <f ca="1">ROUND(D20*(1+$M$25),6)</f>
        <v>8.7578000000000003E-2</v>
      </c>
      <c r="H20" s="248"/>
      <c r="I20" s="80">
        <f t="shared" ca="1" si="1"/>
        <v>113620321</v>
      </c>
      <c r="J20" s="249"/>
      <c r="K20" s="502" t="s">
        <v>94</v>
      </c>
      <c r="L20" s="502"/>
      <c r="M20" s="502"/>
      <c r="N20" s="43"/>
      <c r="O20" s="244"/>
      <c r="W20" s="238"/>
      <c r="X20" s="238"/>
      <c r="Y20" s="238"/>
      <c r="Z20" s="238"/>
      <c r="AA20" s="238"/>
      <c r="AB20" s="238"/>
      <c r="AC20" s="238"/>
      <c r="AD20" s="238"/>
      <c r="AF20" s="245"/>
    </row>
    <row r="21" spans="1:32">
      <c r="A21" s="143" t="s">
        <v>37</v>
      </c>
      <c r="B21" s="252"/>
      <c r="C21" s="146">
        <f>SUM(C19:C20)</f>
        <v>2746012706</v>
      </c>
      <c r="D21" s="114"/>
      <c r="E21" s="248"/>
      <c r="F21" s="132">
        <f>SUM(F19:F20)</f>
        <v>241630833</v>
      </c>
      <c r="G21" s="114"/>
      <c r="H21" s="248"/>
      <c r="I21" s="132">
        <f ca="1">SUM(I19:I20)</f>
        <v>245034719</v>
      </c>
      <c r="J21" s="249"/>
      <c r="K21" s="251"/>
      <c r="W21" s="238"/>
      <c r="X21" s="238"/>
      <c r="Y21" s="238"/>
      <c r="Z21" s="238"/>
      <c r="AA21" s="238"/>
      <c r="AB21" s="238"/>
      <c r="AC21" s="238"/>
      <c r="AD21" s="238"/>
      <c r="AF21" s="245"/>
    </row>
    <row r="22" spans="1:32">
      <c r="A22" s="142" t="s">
        <v>92</v>
      </c>
      <c r="B22" s="252"/>
      <c r="C22" s="246">
        <f>SUM('[1]Tariff 24'!$E$19:$J$19)</f>
        <v>21337341.172849126</v>
      </c>
      <c r="D22" s="145">
        <f>D19</f>
        <v>8.9456999999999995E-2</v>
      </c>
      <c r="E22" s="248"/>
      <c r="F22" s="80">
        <f t="shared" ref="F22:F24" si="2">ROUND(D22*$C22,0)</f>
        <v>1908775</v>
      </c>
      <c r="G22" s="145">
        <f ca="1">G19</f>
        <v>9.071499999999999E-2</v>
      </c>
      <c r="H22" s="248"/>
      <c r="I22" s="80">
        <f t="shared" ref="I22:I24" ca="1" si="3">ROUND(G22*$C22,0)</f>
        <v>1935617</v>
      </c>
      <c r="J22" s="249"/>
      <c r="K22" s="502" t="s">
        <v>94</v>
      </c>
      <c r="L22" s="502"/>
      <c r="M22" s="502"/>
      <c r="W22" s="238"/>
      <c r="X22" s="238"/>
      <c r="Y22" s="238"/>
      <c r="Z22" s="238"/>
      <c r="AA22" s="238"/>
      <c r="AB22" s="238"/>
      <c r="AC22" s="238"/>
      <c r="AD22" s="238"/>
      <c r="AF22" s="245"/>
    </row>
    <row r="23" spans="1:32">
      <c r="A23" s="142" t="s">
        <v>93</v>
      </c>
      <c r="B23" s="252"/>
      <c r="C23" s="246">
        <f>SUM('[1]Tariff 24'!$K$19:$P$19)</f>
        <v>1211126.9944080415</v>
      </c>
      <c r="D23" s="145">
        <f>D20</f>
        <v>8.6359000000000005E-2</v>
      </c>
      <c r="E23" s="145"/>
      <c r="F23" s="80">
        <f t="shared" si="2"/>
        <v>104592</v>
      </c>
      <c r="G23" s="145">
        <f ca="1">G20</f>
        <v>8.7578000000000003E-2</v>
      </c>
      <c r="H23" s="248"/>
      <c r="I23" s="80">
        <f t="shared" ca="1" si="3"/>
        <v>106068</v>
      </c>
      <c r="J23" s="249"/>
      <c r="K23" s="502" t="s">
        <v>94</v>
      </c>
      <c r="L23" s="502"/>
      <c r="M23" s="502"/>
      <c r="W23" s="238"/>
      <c r="X23" s="238"/>
      <c r="Y23" s="238"/>
      <c r="Z23" s="238"/>
      <c r="AA23" s="238"/>
      <c r="AB23" s="238"/>
      <c r="AC23" s="238"/>
      <c r="AD23" s="238"/>
      <c r="AF23" s="245"/>
    </row>
    <row r="24" spans="1:32">
      <c r="A24" s="141" t="s">
        <v>86</v>
      </c>
      <c r="B24" s="107"/>
      <c r="C24" s="253">
        <f>'[1]Tariff 24'!$D$18</f>
        <v>19022939.703836836</v>
      </c>
      <c r="D24" s="145">
        <f>ROUND(SUM(F17,F21:F23)/SUM(C21:C23),6)</f>
        <v>9.5766000000000004E-2</v>
      </c>
      <c r="E24" s="248"/>
      <c r="F24" s="80">
        <f t="shared" si="2"/>
        <v>1821751</v>
      </c>
      <c r="G24" s="145">
        <f ca="1">ROUND(SUM(I17,I21:I23)/SUM(C21:C23),6)</f>
        <v>9.7117999999999996E-2</v>
      </c>
      <c r="H24" s="248"/>
      <c r="I24" s="80">
        <f t="shared" ca="1" si="3"/>
        <v>1847470</v>
      </c>
      <c r="J24" s="83"/>
      <c r="K24" s="502" t="s">
        <v>94</v>
      </c>
      <c r="L24" s="502"/>
      <c r="M24" s="502"/>
      <c r="N24" s="52"/>
      <c r="W24" s="238"/>
      <c r="X24" s="238"/>
      <c r="Y24" s="238"/>
      <c r="Z24" s="238"/>
      <c r="AA24" s="238"/>
      <c r="AB24" s="238"/>
      <c r="AC24" s="238"/>
      <c r="AD24" s="238"/>
      <c r="AF24" s="245"/>
    </row>
    <row r="25" spans="1:32" ht="16.2" thickBot="1">
      <c r="A25" s="91" t="s">
        <v>41</v>
      </c>
      <c r="B25" s="91"/>
      <c r="C25" s="254">
        <f>SUM(C21:C24)</f>
        <v>2787584113.8710942</v>
      </c>
      <c r="D25" s="255"/>
      <c r="E25" s="121"/>
      <c r="F25" s="131">
        <f>SUM(F21:F24,F17)</f>
        <v>266956976</v>
      </c>
      <c r="G25" s="255"/>
      <c r="H25" s="121"/>
      <c r="I25" s="131">
        <f ca="1">SUM(I21:I24,I17)</f>
        <v>270723720</v>
      </c>
      <c r="J25" s="256"/>
      <c r="K25" s="257" t="s">
        <v>45</v>
      </c>
      <c r="L25" s="258">
        <f ca="1">'Exhibit No.__(JAP-Rate Spread)'!K11*1000</f>
        <v>270724130.40566456</v>
      </c>
      <c r="M25" s="259">
        <f ca="1">L25/F25-1</f>
        <v>1.4111466432195963E-2</v>
      </c>
      <c r="N25" s="119"/>
      <c r="O25" s="43" t="s">
        <v>0</v>
      </c>
      <c r="W25" s="238"/>
      <c r="X25" s="238"/>
      <c r="Y25" s="238"/>
      <c r="Z25" s="238"/>
      <c r="AA25" s="238"/>
      <c r="AB25" s="238"/>
      <c r="AC25" s="238"/>
      <c r="AD25" s="238"/>
      <c r="AF25" s="245"/>
    </row>
    <row r="26" spans="1:32" ht="16.2" thickTop="1">
      <c r="A26" s="91"/>
      <c r="B26" s="91"/>
      <c r="C26" s="260"/>
      <c r="D26" s="255"/>
      <c r="E26" s="121"/>
      <c r="F26" s="249"/>
      <c r="G26" s="122"/>
      <c r="H26" s="121"/>
      <c r="I26" s="249"/>
      <c r="J26" s="249"/>
      <c r="K26" s="261" t="s">
        <v>40</v>
      </c>
      <c r="L26" s="262">
        <f ca="1">L25-I25</f>
        <v>410.40566456317902</v>
      </c>
      <c r="M26" s="123"/>
      <c r="N26" s="119"/>
      <c r="O26" s="43"/>
      <c r="W26" s="238"/>
      <c r="X26" s="238"/>
      <c r="Y26" s="238"/>
      <c r="Z26" s="238"/>
      <c r="AA26" s="238"/>
      <c r="AB26" s="238"/>
      <c r="AC26" s="238"/>
      <c r="AD26" s="238"/>
      <c r="AF26" s="245"/>
    </row>
    <row r="27" spans="1:32">
      <c r="A27" s="91"/>
      <c r="B27" s="91"/>
      <c r="C27" s="97"/>
      <c r="D27" s="444">
        <f>ROUND(SUM(F21:F24)/SUM(C25),6)</f>
        <v>8.8056999999999996E-2</v>
      </c>
      <c r="E27" s="91"/>
      <c r="F27" s="80"/>
      <c r="G27" s="444">
        <f ca="1">ROUND(SUM(I21:I24)/SUM(C25),6)</f>
        <v>8.9297000000000001E-2</v>
      </c>
      <c r="H27" s="91"/>
      <c r="I27" s="80" t="s">
        <v>0</v>
      </c>
      <c r="J27" s="80"/>
      <c r="K27" s="401" t="s">
        <v>419</v>
      </c>
      <c r="L27" s="299">
        <v>-3.9999999999999998E-6</v>
      </c>
      <c r="M27" s="299">
        <f ca="1">L26/C19</f>
        <v>2.8330190838773191E-7</v>
      </c>
      <c r="N27" s="239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</row>
    <row r="28" spans="1:32">
      <c r="A28" s="139" t="s">
        <v>116</v>
      </c>
      <c r="B28" s="91"/>
      <c r="C28" s="125"/>
      <c r="D28" s="80"/>
      <c r="E28" s="91"/>
      <c r="F28" s="91"/>
      <c r="G28" s="80"/>
      <c r="H28" s="91"/>
      <c r="I28" s="80" t="s">
        <v>0</v>
      </c>
      <c r="J28" s="80"/>
      <c r="K28" s="238"/>
      <c r="L28" s="239"/>
      <c r="M28" s="239"/>
      <c r="N28" s="239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</row>
    <row r="29" spans="1:32">
      <c r="A29" s="140" t="s">
        <v>98</v>
      </c>
      <c r="B29" s="91"/>
      <c r="C29" s="91" t="s">
        <v>0</v>
      </c>
      <c r="D29" s="80"/>
      <c r="E29" s="91"/>
      <c r="F29" s="91"/>
      <c r="G29" s="80"/>
      <c r="H29" s="91"/>
      <c r="I29" s="91"/>
      <c r="J29" s="91"/>
      <c r="K29" s="238"/>
      <c r="L29" s="239"/>
      <c r="M29" s="239"/>
      <c r="N29" s="239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</row>
    <row r="30" spans="1:32">
      <c r="A30" s="248"/>
      <c r="B30" s="91"/>
      <c r="C30" s="91"/>
      <c r="D30" s="80"/>
      <c r="E30" s="91"/>
      <c r="F30" s="91"/>
      <c r="G30" s="80"/>
      <c r="H30" s="91"/>
      <c r="I30" s="91"/>
      <c r="J30" s="91"/>
      <c r="K30" s="238"/>
      <c r="L30" s="239"/>
      <c r="M30" s="239"/>
      <c r="N30" s="239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</row>
    <row r="31" spans="1:32">
      <c r="A31" s="248" t="s">
        <v>44</v>
      </c>
      <c r="B31" s="91"/>
      <c r="C31" s="246">
        <f>SUM('[1]Tariff 7A'!$D$6,'[1]Tariff 25'!$D$8)</f>
        <v>86639</v>
      </c>
      <c r="D31" s="148">
        <f>'Exhibit No.__(JAP-Tariff)'!E22</f>
        <v>51.67</v>
      </c>
      <c r="E31" s="248"/>
      <c r="F31" s="263">
        <f>ROUND(D31*$C31,0)</f>
        <v>4476637</v>
      </c>
      <c r="G31" s="148">
        <f ca="1">ROUND(D31*(1+$M$47),2)</f>
        <v>52.3</v>
      </c>
      <c r="H31" s="248"/>
      <c r="I31" s="263">
        <f ca="1">ROUND(G31*$C31,0)</f>
        <v>4531220</v>
      </c>
      <c r="J31" s="263"/>
      <c r="K31" s="502" t="s">
        <v>94</v>
      </c>
      <c r="L31" s="502"/>
      <c r="M31" s="502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</row>
    <row r="32" spans="1:32">
      <c r="A32" s="248" t="s">
        <v>47</v>
      </c>
      <c r="B32" s="91"/>
      <c r="C32" s="246"/>
      <c r="D32" s="126"/>
      <c r="E32" s="263"/>
      <c r="F32" s="263"/>
      <c r="G32" s="148"/>
      <c r="H32" s="263"/>
      <c r="I32" s="263"/>
      <c r="J32" s="263"/>
      <c r="K32" s="238"/>
      <c r="L32" s="239"/>
      <c r="M32" s="239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</row>
    <row r="33" spans="1:30">
      <c r="A33" s="142" t="s">
        <v>100</v>
      </c>
      <c r="B33" s="91"/>
      <c r="C33" s="246">
        <f>SUM('[1]Tariff 7A'!D9,'[1]Tariff 25'!D11,'[1]Tariff 25'!D14)</f>
        <v>729616257</v>
      </c>
      <c r="D33" s="150">
        <f>'Exhibit No.__(JAP-Tariff)'!E24</f>
        <v>8.9582999999999996E-2</v>
      </c>
      <c r="E33" s="263"/>
      <c r="F33" s="263">
        <f>ROUND($C33*D33,0)</f>
        <v>65361213</v>
      </c>
      <c r="G33" s="374">
        <f ca="1">ROUND(G35+(1+$L$57)*(D33-D35),6)+L49</f>
        <v>9.0753E-2</v>
      </c>
      <c r="H33" s="263"/>
      <c r="I33" s="263">
        <f ca="1">ROUND($C33*G33,0)</f>
        <v>66214864</v>
      </c>
      <c r="J33" s="263"/>
      <c r="K33" s="519" t="s">
        <v>386</v>
      </c>
      <c r="L33" s="518"/>
      <c r="M33" s="51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</row>
    <row r="34" spans="1:30">
      <c r="A34" s="142" t="s">
        <v>99</v>
      </c>
      <c r="B34" s="91"/>
      <c r="C34" s="246">
        <f>SUM('[1]Tariff 7A'!D10,'[1]Tariff 25'!D12,'[1]Tariff 25'!D15)</f>
        <v>700134665</v>
      </c>
      <c r="D34" s="150">
        <f>'Exhibit No.__(JAP-Tariff)'!E25</f>
        <v>8.1430000000000002E-2</v>
      </c>
      <c r="E34" s="263"/>
      <c r="F34" s="263">
        <f t="shared" ref="F34:F37" si="4">ROUND($C34*D34,0)</f>
        <v>57011966</v>
      </c>
      <c r="G34" s="374">
        <f ca="1">ROUND(G35+(1+$L$57)*(D34-D35),6)+L49</f>
        <v>8.2225999999999994E-2</v>
      </c>
      <c r="H34" s="263"/>
      <c r="I34" s="263">
        <f t="shared" ref="I34:I38" ca="1" si="5">ROUND($C34*G34,0)</f>
        <v>57569273</v>
      </c>
      <c r="J34" s="263"/>
      <c r="K34" s="519" t="s">
        <v>386</v>
      </c>
      <c r="L34" s="518"/>
      <c r="M34" s="51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</row>
    <row r="35" spans="1:30">
      <c r="A35" s="142" t="s">
        <v>101</v>
      </c>
      <c r="B35" s="91"/>
      <c r="C35" s="246">
        <f>SUM('[1]Tariff 7A'!D11,'[1]Tariff 25'!D13,'[1]Tariff 25'!D16)</f>
        <v>1368735464</v>
      </c>
      <c r="D35" s="150">
        <f>'Exhibit No.__(JAP-Tariff)'!E26</f>
        <v>6.4072000000000004E-2</v>
      </c>
      <c r="E35" s="263"/>
      <c r="F35" s="263">
        <f t="shared" si="4"/>
        <v>87697619</v>
      </c>
      <c r="G35" s="150">
        <f>D35</f>
        <v>6.4072000000000004E-2</v>
      </c>
      <c r="H35" s="263"/>
      <c r="I35" s="263">
        <f t="shared" si="5"/>
        <v>87697619</v>
      </c>
      <c r="J35" s="263"/>
      <c r="K35" s="518" t="s">
        <v>385</v>
      </c>
      <c r="L35" s="518"/>
      <c r="M35" s="51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</row>
    <row r="36" spans="1:30">
      <c r="A36" s="143" t="s">
        <v>37</v>
      </c>
      <c r="B36" s="91"/>
      <c r="C36" s="264">
        <f>SUM(C33:C35)</f>
        <v>2798486386</v>
      </c>
      <c r="D36" s="114"/>
      <c r="E36" s="248"/>
      <c r="F36" s="132">
        <f>SUM(F33:F35)</f>
        <v>210070798</v>
      </c>
      <c r="G36" s="114"/>
      <c r="H36" s="248"/>
      <c r="I36" s="132">
        <f ca="1">SUM(I33:I35)</f>
        <v>211481756</v>
      </c>
      <c r="J36" s="80"/>
      <c r="K36" s="238"/>
      <c r="L36" s="239"/>
      <c r="M36" s="239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</row>
    <row r="37" spans="1:30">
      <c r="A37" s="142" t="s">
        <v>84</v>
      </c>
      <c r="B37" s="91"/>
      <c r="C37" s="246">
        <f>SUM('[1]Tariff 7A'!$D$13,'[1]Tariff 25'!$D$18)</f>
        <v>11247064.07998576</v>
      </c>
      <c r="D37" s="150">
        <f>D35</f>
        <v>6.4072000000000004E-2</v>
      </c>
      <c r="E37" s="248"/>
      <c r="F37" s="263">
        <f t="shared" si="4"/>
        <v>720622</v>
      </c>
      <c r="G37" s="150">
        <f>G35</f>
        <v>6.4072000000000004E-2</v>
      </c>
      <c r="H37" s="248"/>
      <c r="I37" s="263">
        <f t="shared" si="5"/>
        <v>720622</v>
      </c>
      <c r="J37" s="80"/>
      <c r="K37" s="518" t="s">
        <v>385</v>
      </c>
      <c r="L37" s="518"/>
      <c r="M37" s="51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</row>
    <row r="38" spans="1:30">
      <c r="A38" s="141" t="s">
        <v>86</v>
      </c>
      <c r="B38" s="91"/>
      <c r="C38" s="246">
        <f>SUM('[1]Tariff 7A'!$D$12,'[1]Tariff 25'!$D$17)</f>
        <v>29725507.391902685</v>
      </c>
      <c r="D38" s="150">
        <f>ROUND(F38/C38,6)</f>
        <v>8.8917999999999997E-2</v>
      </c>
      <c r="E38" s="248"/>
      <c r="F38" s="263">
        <f>SUM('[1]Tariff 25'!$D$45:$D$46)</f>
        <v>2643147</v>
      </c>
      <c r="G38" s="150">
        <f ca="1">ROUND(D38*(1+$M$47),6)</f>
        <v>9.0005000000000002E-2</v>
      </c>
      <c r="H38" s="248"/>
      <c r="I38" s="263">
        <f t="shared" ca="1" si="5"/>
        <v>2675444</v>
      </c>
      <c r="J38" s="83"/>
      <c r="K38" s="502" t="s">
        <v>94</v>
      </c>
      <c r="L38" s="502"/>
      <c r="M38" s="502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</row>
    <row r="39" spans="1:30">
      <c r="A39" s="143" t="s">
        <v>37</v>
      </c>
      <c r="B39" s="91"/>
      <c r="C39" s="264">
        <f>SUM(C36:C38)</f>
        <v>2839458957.4718885</v>
      </c>
      <c r="D39" s="248"/>
      <c r="E39" s="248"/>
      <c r="F39" s="132">
        <f>SUM(F36:F38)</f>
        <v>213434567</v>
      </c>
      <c r="G39" s="248"/>
      <c r="H39" s="248"/>
      <c r="I39" s="132">
        <f ca="1">SUM(I36:I38)</f>
        <v>214877822</v>
      </c>
      <c r="J39" s="83"/>
      <c r="K39" s="266"/>
      <c r="L39" s="267"/>
      <c r="M39" s="239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</row>
    <row r="40" spans="1:30">
      <c r="A40" s="248" t="s">
        <v>46</v>
      </c>
      <c r="B40" s="91"/>
      <c r="C40" s="246"/>
      <c r="D40" s="102"/>
      <c r="E40" s="248"/>
      <c r="F40" s="263"/>
      <c r="G40" s="102"/>
      <c r="H40" s="248"/>
      <c r="I40" s="263"/>
      <c r="J40" s="263"/>
      <c r="K40" s="238"/>
      <c r="L40" s="239"/>
      <c r="M40" s="239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</row>
    <row r="41" spans="1:30">
      <c r="A41" s="142" t="s">
        <v>102</v>
      </c>
      <c r="B41" s="91"/>
      <c r="C41" s="246">
        <f>SUM('[1]Tariff 25'!D22,'[1]Tariff 25'!D24,'[1]Tariff 7A'!D17)</f>
        <v>2199361</v>
      </c>
      <c r="D41" s="148">
        <f>'Exhibit No.__(JAP-Tariff)'!E29</f>
        <v>9.01</v>
      </c>
      <c r="E41" s="248"/>
      <c r="F41" s="263">
        <f>ROUND(D41*$C41,0)</f>
        <v>19816243</v>
      </c>
      <c r="G41" s="148">
        <f ca="1">ROUND(D41*(1+$L$57),2)</f>
        <v>9.42</v>
      </c>
      <c r="H41" s="248"/>
      <c r="I41" s="263">
        <f ca="1">ROUND(G41*$C41,0)</f>
        <v>20717981</v>
      </c>
      <c r="J41" s="263"/>
      <c r="K41" s="518" t="s">
        <v>389</v>
      </c>
      <c r="L41" s="518"/>
      <c r="M41" s="518"/>
      <c r="P41" s="382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</row>
    <row r="42" spans="1:30">
      <c r="A42" s="142" t="s">
        <v>103</v>
      </c>
      <c r="B42" s="91"/>
      <c r="C42" s="246">
        <f>SUM('[1]Tariff 25'!D23,'[1]Tariff 25'!D25,'[1]Tariff 7A'!D18)</f>
        <v>2139466</v>
      </c>
      <c r="D42" s="148">
        <f>'Exhibit No.__(JAP-Tariff)'!E30</f>
        <v>6.01</v>
      </c>
      <c r="E42" s="248"/>
      <c r="F42" s="263">
        <f>ROUND(D42*$C42,0)</f>
        <v>12858191</v>
      </c>
      <c r="G42" s="148">
        <f ca="1">ROUND(D42*(1+$L$57),2)</f>
        <v>6.29</v>
      </c>
      <c r="H42" s="248"/>
      <c r="I42" s="263">
        <f ca="1">ROUND(G42*$C42,0)</f>
        <v>13457241</v>
      </c>
      <c r="J42" s="263"/>
      <c r="K42" s="518" t="s">
        <v>389</v>
      </c>
      <c r="L42" s="518"/>
      <c r="M42" s="518"/>
      <c r="P42" s="382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</row>
    <row r="43" spans="1:30">
      <c r="A43" s="143" t="s">
        <v>37</v>
      </c>
      <c r="B43" s="91"/>
      <c r="C43" s="264">
        <f>SUM(C41:C42)</f>
        <v>4338827</v>
      </c>
      <c r="D43" s="102"/>
      <c r="E43" s="248"/>
      <c r="F43" s="268">
        <f>SUM(F41:F42)</f>
        <v>32674434</v>
      </c>
      <c r="G43" s="102"/>
      <c r="H43" s="248"/>
      <c r="I43" s="268">
        <f ca="1">SUM(I41:I42)</f>
        <v>34175222</v>
      </c>
      <c r="J43" s="263"/>
      <c r="K43" s="238"/>
      <c r="L43" s="239"/>
      <c r="M43" s="239"/>
      <c r="N43" s="239"/>
      <c r="O43" s="384"/>
      <c r="P43" s="382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</row>
    <row r="44" spans="1:30">
      <c r="A44" s="91"/>
      <c r="B44" s="91"/>
      <c r="C44" s="260"/>
      <c r="D44" s="260"/>
      <c r="E44" s="248"/>
      <c r="F44" s="83"/>
      <c r="G44" s="260"/>
      <c r="H44" s="248"/>
      <c r="I44" s="83"/>
      <c r="J44" s="83"/>
      <c r="K44" s="266"/>
      <c r="L44" s="267"/>
      <c r="M44" s="239"/>
      <c r="N44" s="239"/>
      <c r="O44" s="384"/>
      <c r="P44" s="382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</row>
    <row r="45" spans="1:30">
      <c r="A45" s="91" t="s">
        <v>104</v>
      </c>
      <c r="B45" s="91"/>
      <c r="C45" s="246">
        <f>SUM('[1]Tariff 7A'!$D$21,'[1]Tariff 25'!$D$30)</f>
        <v>686869215</v>
      </c>
      <c r="D45" s="149">
        <f>'Exhibit No.__(JAP-Tariff)'!E32</f>
        <v>2.8300000000000001E-3</v>
      </c>
      <c r="E45" s="248"/>
      <c r="F45" s="263">
        <f>ROUND(D45*$C45,0)</f>
        <v>1943840</v>
      </c>
      <c r="G45" s="149">
        <f ca="1">ROUND(D45*(1+$L$57),5)</f>
        <v>2.96E-3</v>
      </c>
      <c r="H45" s="248"/>
      <c r="I45" s="263">
        <f ca="1">ROUND(G45*$C45,0)</f>
        <v>2033133</v>
      </c>
      <c r="J45" s="83"/>
      <c r="K45" s="518" t="s">
        <v>389</v>
      </c>
      <c r="L45" s="518"/>
      <c r="M45" s="518"/>
      <c r="N45" s="239"/>
      <c r="O45" s="384"/>
      <c r="P45" s="382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</row>
    <row r="46" spans="1:30">
      <c r="A46" s="91"/>
      <c r="B46" s="91"/>
      <c r="C46" s="260"/>
      <c r="D46" s="260"/>
      <c r="E46" s="248"/>
      <c r="F46" s="83"/>
      <c r="G46" s="260"/>
      <c r="H46" s="248"/>
      <c r="I46" s="83"/>
      <c r="J46" s="83"/>
      <c r="N46" s="239"/>
      <c r="O46" s="384"/>
      <c r="P46" s="382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</row>
    <row r="47" spans="1:30" ht="16.2" thickBot="1">
      <c r="A47" s="91" t="s">
        <v>41</v>
      </c>
      <c r="B47" s="91"/>
      <c r="C47" s="260"/>
      <c r="D47" s="260"/>
      <c r="E47" s="248"/>
      <c r="F47" s="256">
        <f>SUM(F31,F39,F43,F45)</f>
        <v>252529478</v>
      </c>
      <c r="G47" s="260"/>
      <c r="H47" s="248"/>
      <c r="I47" s="256">
        <f ca="1">SUM(I31,I39,I43,I45)</f>
        <v>255617397</v>
      </c>
      <c r="J47" s="249"/>
      <c r="K47" s="269" t="s">
        <v>121</v>
      </c>
      <c r="L47" s="258">
        <f ca="1">'Exhibit No.__(JAP-Rate Spread)'!K12*1000</f>
        <v>256769054.42493081</v>
      </c>
      <c r="M47" s="259">
        <f ca="1">L47/SUM(F136,F47)-1</f>
        <v>1.2227951155924011E-2</v>
      </c>
      <c r="N47" s="239"/>
      <c r="O47" s="384"/>
      <c r="P47" s="382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</row>
    <row r="48" spans="1:30" ht="16.2" thickTop="1">
      <c r="A48" s="91"/>
      <c r="B48" s="270"/>
      <c r="C48" s="260"/>
      <c r="D48" s="260"/>
      <c r="E48" s="91"/>
      <c r="F48" s="80"/>
      <c r="G48" s="260"/>
      <c r="H48" s="91"/>
      <c r="I48" s="80"/>
      <c r="J48" s="80"/>
      <c r="K48" s="261" t="s">
        <v>40</v>
      </c>
      <c r="L48" s="262">
        <f ca="1">L47-I136-I47</f>
        <v>-13.575069189071655</v>
      </c>
      <c r="M48" s="129" t="s">
        <v>0</v>
      </c>
      <c r="N48" s="239"/>
      <c r="O48" s="384"/>
      <c r="P48" s="382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</row>
    <row r="49" spans="1:30">
      <c r="A49" s="389" t="s">
        <v>416</v>
      </c>
      <c r="B49" s="390"/>
      <c r="C49" s="390"/>
      <c r="D49" s="260"/>
      <c r="E49" s="91"/>
      <c r="F49" s="80"/>
      <c r="J49" s="80"/>
      <c r="K49" s="375" t="s">
        <v>387</v>
      </c>
      <c r="L49" s="299">
        <v>-9.9999999999999995E-7</v>
      </c>
      <c r="M49" s="299">
        <f ca="1">L48/SUM(C33:C34)</f>
        <v>-9.4947091694001059E-9</v>
      </c>
      <c r="N49" s="239"/>
      <c r="O49" s="384"/>
      <c r="P49" s="382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</row>
    <row r="50" spans="1:30">
      <c r="A50" s="239"/>
      <c r="C50" s="381"/>
      <c r="D50" s="382"/>
      <c r="K50" s="376" t="s">
        <v>391</v>
      </c>
      <c r="L50" s="377">
        <f ca="1">'Exhibit No.__(JAP-Rate Spread)'!M12</f>
        <v>3102308.4249307895</v>
      </c>
      <c r="O50" s="384"/>
      <c r="P50" s="382"/>
      <c r="Q50" s="238"/>
    </row>
    <row r="51" spans="1:30">
      <c r="A51" s="385" t="s">
        <v>402</v>
      </c>
      <c r="D51" s="383"/>
      <c r="F51" s="383">
        <f>D33-D35</f>
        <v>2.5510999999999992E-2</v>
      </c>
      <c r="G51" s="383">
        <f ca="1">G33-G35</f>
        <v>2.6680999999999996E-2</v>
      </c>
      <c r="K51" s="378" t="s">
        <v>395</v>
      </c>
      <c r="L51" s="379">
        <f ca="1">+I136-F136</f>
        <v>13925</v>
      </c>
      <c r="O51" s="384"/>
      <c r="P51" s="382"/>
      <c r="Q51" s="238"/>
    </row>
    <row r="52" spans="1:30">
      <c r="A52" s="385" t="s">
        <v>403</v>
      </c>
      <c r="D52" s="383"/>
      <c r="F52" s="383">
        <f>D34-D35</f>
        <v>1.7357999999999998E-2</v>
      </c>
      <c r="G52" s="383">
        <f ca="1">G34-G35</f>
        <v>1.815399999999999E-2</v>
      </c>
      <c r="K52" s="378" t="s">
        <v>394</v>
      </c>
      <c r="L52" s="379">
        <f ca="1">+L50-L51</f>
        <v>3088383.4249307895</v>
      </c>
      <c r="O52" s="384"/>
      <c r="P52" s="382"/>
      <c r="Q52" s="238"/>
    </row>
    <row r="53" spans="1:30">
      <c r="A53" s="385" t="s">
        <v>400</v>
      </c>
      <c r="D53" s="383"/>
      <c r="F53" s="381">
        <f>C33</f>
        <v>729616257</v>
      </c>
      <c r="G53" s="244">
        <f>F53</f>
        <v>729616257</v>
      </c>
      <c r="K53" s="378" t="s">
        <v>396</v>
      </c>
      <c r="L53" s="379">
        <f ca="1">-(I31-F31)</f>
        <v>-54583</v>
      </c>
      <c r="O53" s="384"/>
      <c r="P53" s="382"/>
      <c r="Q53" s="238"/>
    </row>
    <row r="54" spans="1:30">
      <c r="A54" s="385" t="s">
        <v>401</v>
      </c>
      <c r="D54" s="383"/>
      <c r="F54" s="381">
        <f>C34</f>
        <v>700134665</v>
      </c>
      <c r="G54" s="244">
        <f>F54</f>
        <v>700134665</v>
      </c>
      <c r="K54" s="378" t="s">
        <v>397</v>
      </c>
      <c r="L54" s="379">
        <f ca="1">-(I38-F38)</f>
        <v>-32297</v>
      </c>
      <c r="O54" s="384"/>
      <c r="P54" s="382"/>
      <c r="Q54" s="238"/>
    </row>
    <row r="55" spans="1:30">
      <c r="A55" s="385" t="s">
        <v>399</v>
      </c>
      <c r="D55" s="381"/>
      <c r="F55" s="384">
        <f>F53*F51+F52*F54</f>
        <v>30766177.847396992</v>
      </c>
      <c r="G55" s="384">
        <f ca="1">G53*G51+G52*G54</f>
        <v>32177136.06142699</v>
      </c>
      <c r="K55" s="378" t="s">
        <v>398</v>
      </c>
      <c r="L55" s="379">
        <f ca="1">SUM(L52:L54)</f>
        <v>3001503.4249307895</v>
      </c>
      <c r="O55" s="384"/>
      <c r="P55" s="382"/>
      <c r="Q55" s="238"/>
    </row>
    <row r="56" spans="1:30">
      <c r="A56" s="385" t="s">
        <v>417</v>
      </c>
      <c r="D56" s="384"/>
      <c r="F56" s="384">
        <f>SUM(F43,F45)</f>
        <v>34618274</v>
      </c>
      <c r="G56" s="384">
        <f ca="1">SUM(I43,I45)</f>
        <v>36208355</v>
      </c>
      <c r="K56" s="378" t="s">
        <v>404</v>
      </c>
      <c r="L56" s="379">
        <f>F57</f>
        <v>65384451.847396992</v>
      </c>
      <c r="O56" s="384"/>
      <c r="P56" s="382"/>
      <c r="Q56" s="238"/>
    </row>
    <row r="57" spans="1:30">
      <c r="A57" s="385" t="s">
        <v>418</v>
      </c>
      <c r="D57" s="382"/>
      <c r="F57" s="384">
        <f>SUM(F55:F56)</f>
        <v>65384451.847396992</v>
      </c>
      <c r="G57" s="384">
        <f ca="1">SUM(G55:G56)</f>
        <v>68385491.061426997</v>
      </c>
      <c r="K57" s="378" t="s">
        <v>390</v>
      </c>
      <c r="L57" s="388">
        <f ca="1">+L55/L56</f>
        <v>4.590546131572841E-2</v>
      </c>
      <c r="O57" s="384"/>
      <c r="P57" s="382"/>
      <c r="Q57" s="238"/>
    </row>
    <row r="58" spans="1:30">
      <c r="D58" s="382"/>
      <c r="G58" s="400"/>
    </row>
    <row r="59" spans="1:30">
      <c r="A59" s="385" t="s">
        <v>810</v>
      </c>
      <c r="C59" s="384"/>
      <c r="D59" s="383">
        <f>ROUND(SUM(F33:F34)/SUM($C$33:$C$34),6)</f>
        <v>8.5591E-2</v>
      </c>
      <c r="G59" s="383">
        <f ca="1">ROUND(SUM(I33:I34)/SUM($C$33:$C$34),6)</f>
        <v>8.6577000000000001E-2</v>
      </c>
      <c r="K59" s="378"/>
      <c r="L59" s="380"/>
    </row>
    <row r="60" spans="1:30">
      <c r="A60" s="385" t="s">
        <v>809</v>
      </c>
      <c r="C60" s="384"/>
      <c r="D60" s="445">
        <f>ROUND(SUM(F43)/SUM($C$43),2)</f>
        <v>7.53</v>
      </c>
      <c r="G60" s="445">
        <f ca="1">ROUND(SUM(I43)/SUM($C$43),2)</f>
        <v>7.88</v>
      </c>
      <c r="K60" s="378"/>
      <c r="L60" s="380"/>
    </row>
    <row r="61" spans="1:30">
      <c r="D61" s="382"/>
    </row>
    <row r="62" spans="1:30">
      <c r="A62" s="139" t="s">
        <v>115</v>
      </c>
      <c r="B62" s="91"/>
      <c r="C62" s="125"/>
      <c r="D62" s="80"/>
      <c r="E62" s="91"/>
      <c r="F62" s="91"/>
      <c r="G62" s="80"/>
      <c r="H62" s="91"/>
      <c r="I62" s="80" t="s">
        <v>0</v>
      </c>
      <c r="J62" s="80"/>
      <c r="L62" s="82"/>
      <c r="M62" s="82"/>
    </row>
    <row r="63" spans="1:30">
      <c r="A63" s="140" t="s">
        <v>107</v>
      </c>
      <c r="B63" s="91"/>
      <c r="C63" s="91" t="s">
        <v>0</v>
      </c>
      <c r="D63" s="80"/>
      <c r="E63" s="91"/>
      <c r="F63" s="91"/>
      <c r="G63" s="80"/>
      <c r="H63" s="91"/>
      <c r="I63" s="91"/>
      <c r="J63" s="91"/>
      <c r="L63" s="82"/>
      <c r="M63" s="82"/>
    </row>
    <row r="64" spans="1:30">
      <c r="A64" s="248"/>
      <c r="B64" s="91"/>
      <c r="C64" s="91"/>
      <c r="D64" s="80"/>
      <c r="E64" s="91"/>
      <c r="F64" s="91"/>
      <c r="G64" s="80"/>
      <c r="H64" s="91"/>
      <c r="I64" s="91"/>
      <c r="J64" s="91"/>
      <c r="K64" s="238"/>
      <c r="L64" s="239"/>
      <c r="M64" s="239"/>
    </row>
    <row r="65" spans="1:13">
      <c r="A65" s="248" t="s">
        <v>44</v>
      </c>
      <c r="B65" s="91"/>
      <c r="C65" s="246">
        <f>'[1]Tariff 26'!$D$9</f>
        <v>9687</v>
      </c>
      <c r="D65" s="148">
        <f>'Exhibit No.__(JAP-Tariff)'!E35</f>
        <v>104.46</v>
      </c>
      <c r="E65" s="248"/>
      <c r="F65" s="263">
        <f>ROUND(D65*$C65,0)</f>
        <v>1011904</v>
      </c>
      <c r="G65" s="148">
        <f ca="1">ROUND(D65*(1+$M$81),2)</f>
        <v>105.74</v>
      </c>
      <c r="H65" s="248"/>
      <c r="I65" s="263">
        <f ca="1">ROUND(G65*$C65,0)</f>
        <v>1024303</v>
      </c>
      <c r="J65" s="263"/>
      <c r="K65" s="502" t="s">
        <v>94</v>
      </c>
      <c r="L65" s="502"/>
      <c r="M65" s="502"/>
    </row>
    <row r="66" spans="1:13">
      <c r="A66" s="248" t="s">
        <v>47</v>
      </c>
      <c r="B66" s="91"/>
      <c r="C66" s="246"/>
      <c r="D66" s="126"/>
      <c r="E66" s="263"/>
      <c r="F66" s="263"/>
      <c r="G66" s="126"/>
      <c r="H66" s="263"/>
      <c r="I66" s="263"/>
      <c r="J66" s="263"/>
      <c r="K66" s="238"/>
      <c r="L66" s="239"/>
      <c r="M66" s="239"/>
    </row>
    <row r="67" spans="1:13">
      <c r="A67" s="142" t="s">
        <v>53</v>
      </c>
      <c r="B67" s="91"/>
      <c r="C67" s="246">
        <f>'[1]Tariff 26'!$D$15</f>
        <v>1877448961</v>
      </c>
      <c r="D67" s="150">
        <f>'Exhibit No.__(JAP-Tariff)'!E37</f>
        <v>5.6732999999999999E-2</v>
      </c>
      <c r="E67" s="263"/>
      <c r="F67" s="263">
        <f t="shared" ref="F67" si="6">ROUND($C67*D67,0)</f>
        <v>106513312</v>
      </c>
      <c r="G67" s="334">
        <f ca="1">ROUND((1+$L$109)*'Exhibit No.__(JAP-PV RD)'!G17,6)+L83</f>
        <v>5.7180999999999996E-2</v>
      </c>
      <c r="H67" s="263"/>
      <c r="I67" s="263">
        <f t="shared" ref="I67" ca="1" si="7">ROUND($C67*G67,0)</f>
        <v>107354409</v>
      </c>
      <c r="J67" s="263"/>
      <c r="K67" s="502" t="s">
        <v>122</v>
      </c>
      <c r="L67" s="502"/>
      <c r="M67" s="502"/>
    </row>
    <row r="68" spans="1:13">
      <c r="A68" s="143" t="s">
        <v>37</v>
      </c>
      <c r="B68" s="91"/>
      <c r="C68" s="264">
        <f>SUM(C67:C67)</f>
        <v>1877448961</v>
      </c>
      <c r="D68" s="114"/>
      <c r="E68" s="248"/>
      <c r="F68" s="132">
        <f>SUM(F67:F67)</f>
        <v>106513312</v>
      </c>
      <c r="G68" s="114"/>
      <c r="H68" s="248"/>
      <c r="I68" s="132">
        <f ca="1">SUM(I67:I67)</f>
        <v>107354409</v>
      </c>
      <c r="J68" s="80"/>
      <c r="K68" s="238"/>
      <c r="L68" s="239"/>
      <c r="M68" s="239"/>
    </row>
    <row r="69" spans="1:13">
      <c r="A69" s="142" t="s">
        <v>84</v>
      </c>
      <c r="B69" s="91"/>
      <c r="C69" s="246">
        <f>'[1]Tariff 26'!$D$17</f>
        <v>-231987.67610922537</v>
      </c>
      <c r="D69" s="150">
        <f>D67</f>
        <v>5.6732999999999999E-2</v>
      </c>
      <c r="E69" s="248"/>
      <c r="F69" s="263">
        <f t="shared" ref="F69:F70" si="8">ROUND($C69*D69,0)</f>
        <v>-13161</v>
      </c>
      <c r="G69" s="150">
        <f ca="1">G67</f>
        <v>5.7180999999999996E-2</v>
      </c>
      <c r="H69" s="248"/>
      <c r="I69" s="263">
        <f t="shared" ref="I69:I70" ca="1" si="9">ROUND($C69*G69,0)</f>
        <v>-13265</v>
      </c>
      <c r="J69" s="80"/>
      <c r="K69" s="265"/>
      <c r="L69" s="239"/>
      <c r="M69" s="239"/>
    </row>
    <row r="70" spans="1:13">
      <c r="A70" s="141" t="s">
        <v>86</v>
      </c>
      <c r="B70" s="91"/>
      <c r="C70" s="260">
        <f>'[1]Tariff 26'!$D$16</f>
        <v>1605471.0577550698</v>
      </c>
      <c r="D70" s="150">
        <f>ROUND(SUM(F65,F68:F69,F75,F77)/SUM(C68:C69),6)</f>
        <v>8.1344E-2</v>
      </c>
      <c r="E70" s="248"/>
      <c r="F70" s="263">
        <f t="shared" si="8"/>
        <v>130595</v>
      </c>
      <c r="G70" s="150">
        <f ca="1">ROUND(SUM(I65,I68:I69,I75,I77)/SUM(C68:C69),6)</f>
        <v>8.2340999999999998E-2</v>
      </c>
      <c r="H70" s="248"/>
      <c r="I70" s="263">
        <f t="shared" ca="1" si="9"/>
        <v>132196</v>
      </c>
      <c r="J70" s="83"/>
      <c r="K70" s="502" t="s">
        <v>94</v>
      </c>
      <c r="L70" s="502"/>
      <c r="M70" s="502"/>
    </row>
    <row r="71" spans="1:13">
      <c r="A71" s="143" t="s">
        <v>37</v>
      </c>
      <c r="B71" s="91"/>
      <c r="C71" s="264">
        <f>SUM(C68:C70)</f>
        <v>1878822444.3816457</v>
      </c>
      <c r="D71" s="248"/>
      <c r="E71" s="248"/>
      <c r="F71" s="132">
        <f>SUM(F68:F70)</f>
        <v>106630746</v>
      </c>
      <c r="G71" s="248"/>
      <c r="H71" s="248"/>
      <c r="I71" s="132">
        <f ca="1">SUM(I68:I70)</f>
        <v>107473340</v>
      </c>
      <c r="J71" s="83"/>
      <c r="K71" s="265"/>
      <c r="L71" s="239"/>
      <c r="M71" s="239"/>
    </row>
    <row r="72" spans="1:13">
      <c r="A72" s="248" t="s">
        <v>46</v>
      </c>
      <c r="B72" s="91"/>
      <c r="C72" s="246"/>
      <c r="D72" s="102"/>
      <c r="E72" s="248"/>
      <c r="F72" s="263"/>
      <c r="G72" s="102"/>
      <c r="H72" s="248"/>
      <c r="I72" s="263"/>
      <c r="J72" s="263"/>
      <c r="K72" s="265"/>
      <c r="L72" s="267"/>
      <c r="M72" s="239"/>
    </row>
    <row r="73" spans="1:13">
      <c r="A73" s="142" t="s">
        <v>108</v>
      </c>
      <c r="B73" s="91"/>
      <c r="C73" s="246">
        <f>'[1]Tariff 26'!$D$24</f>
        <v>2228349</v>
      </c>
      <c r="D73" s="148">
        <f>'Exhibit No.__(JAP-Tariff)'!E39</f>
        <v>11.65</v>
      </c>
      <c r="E73" s="248"/>
      <c r="F73" s="263">
        <f>ROUND(D73*$C73,0)</f>
        <v>25960266</v>
      </c>
      <c r="G73" s="148">
        <f ca="1">ROUND((1+$L$109)*'Exhibit No.__(JAP-PV RD)'!G23,2)</f>
        <v>11.91</v>
      </c>
      <c r="H73" s="248"/>
      <c r="I73" s="263">
        <f ca="1">ROUND(G73*$C73,0)</f>
        <v>26539637</v>
      </c>
      <c r="J73" s="263"/>
      <c r="K73" s="502" t="s">
        <v>128</v>
      </c>
      <c r="L73" s="502"/>
      <c r="M73" s="502"/>
    </row>
    <row r="74" spans="1:13">
      <c r="A74" s="142" t="s">
        <v>109</v>
      </c>
      <c r="B74" s="91"/>
      <c r="C74" s="246">
        <f>'[1]Tariff 26'!$D$29</f>
        <v>2345120</v>
      </c>
      <c r="D74" s="148">
        <f>'Exhibit No.__(JAP-Tariff)'!E40</f>
        <v>7.76</v>
      </c>
      <c r="E74" s="248"/>
      <c r="F74" s="263">
        <f>ROUND(D74*$C74,0)</f>
        <v>18198131</v>
      </c>
      <c r="G74" s="148">
        <f ca="1">ROUND((1+$L$109)*'Exhibit No.__(JAP-PV RD)'!G24,2)</f>
        <v>7.94</v>
      </c>
      <c r="H74" s="248"/>
      <c r="I74" s="263">
        <f ca="1">ROUND(G74*$C74,0)</f>
        <v>18620253</v>
      </c>
      <c r="J74" s="263"/>
      <c r="K74" s="502" t="s">
        <v>128</v>
      </c>
      <c r="L74" s="502"/>
      <c r="M74" s="502"/>
    </row>
    <row r="75" spans="1:13">
      <c r="A75" s="143" t="s">
        <v>37</v>
      </c>
      <c r="B75" s="91"/>
      <c r="C75" s="264">
        <f>SUM(C73:C74)</f>
        <v>4573469</v>
      </c>
      <c r="D75" s="102"/>
      <c r="E75" s="248"/>
      <c r="F75" s="268">
        <f>SUM(F73:F74)</f>
        <v>44158397</v>
      </c>
      <c r="G75" s="102"/>
      <c r="H75" s="248"/>
      <c r="I75" s="268">
        <f ca="1">SUM(I73:I74)</f>
        <v>45159890</v>
      </c>
      <c r="J75" s="263"/>
      <c r="K75" s="265"/>
      <c r="L75" s="239"/>
      <c r="M75" s="239"/>
    </row>
    <row r="76" spans="1:13">
      <c r="A76" s="91"/>
      <c r="B76" s="91"/>
      <c r="C76" s="260"/>
      <c r="D76" s="260"/>
      <c r="E76" s="248"/>
      <c r="F76" s="83"/>
      <c r="G76" s="260"/>
      <c r="H76" s="248"/>
      <c r="I76" s="83"/>
      <c r="J76" s="83"/>
      <c r="K76" s="265"/>
      <c r="L76" s="239"/>
      <c r="M76" s="239"/>
    </row>
    <row r="77" spans="1:13">
      <c r="A77" s="91" t="s">
        <v>104</v>
      </c>
      <c r="B77" s="91"/>
      <c r="C77" s="246">
        <f>'[1]Tariff 26'!$D$35</f>
        <v>829881702</v>
      </c>
      <c r="D77" s="149">
        <f>'Exhibit No.__(JAP-Tariff)'!E42</f>
        <v>1.24E-3</v>
      </c>
      <c r="E77" s="248"/>
      <c r="F77" s="263">
        <f>ROUND(D77*$C77,0)</f>
        <v>1029053</v>
      </c>
      <c r="G77" s="149">
        <f ca="1">ROUND(D77*(1+$M$81),5)</f>
        <v>1.2600000000000001E-3</v>
      </c>
      <c r="H77" s="248"/>
      <c r="I77" s="263">
        <f ca="1">ROUND(G77*$C77,0)</f>
        <v>1045651</v>
      </c>
      <c r="J77" s="83"/>
      <c r="K77" s="502" t="s">
        <v>94</v>
      </c>
      <c r="L77" s="502"/>
      <c r="M77" s="502"/>
    </row>
    <row r="78" spans="1:13">
      <c r="A78" s="91"/>
      <c r="B78" s="91"/>
      <c r="C78" s="260"/>
      <c r="D78" s="260"/>
      <c r="E78" s="248"/>
      <c r="F78" s="83"/>
      <c r="G78" s="260"/>
      <c r="H78" s="248"/>
      <c r="I78" s="83"/>
      <c r="J78" s="83"/>
      <c r="K78" s="266"/>
      <c r="L78" s="267"/>
      <c r="M78" s="239"/>
    </row>
    <row r="79" spans="1:13" ht="16.2" thickBot="1">
      <c r="A79" s="91" t="s">
        <v>41</v>
      </c>
      <c r="B79" s="91"/>
      <c r="C79" s="260"/>
      <c r="D79" s="260"/>
      <c r="E79" s="248"/>
      <c r="F79" s="256">
        <f>SUM(F65,F71,F75,F77)</f>
        <v>152830100</v>
      </c>
      <c r="G79" s="260"/>
      <c r="H79" s="248"/>
      <c r="I79" s="256">
        <f ca="1">SUM(I65,I71,I75,I77)</f>
        <v>154703184</v>
      </c>
      <c r="J79" s="249"/>
      <c r="K79" s="265"/>
      <c r="L79" s="267"/>
      <c r="M79" s="239"/>
    </row>
    <row r="80" spans="1:13" ht="16.2" thickTop="1">
      <c r="A80" s="91"/>
      <c r="B80" s="270"/>
      <c r="C80" s="260"/>
      <c r="D80" s="260"/>
      <c r="E80" s="91"/>
      <c r="F80" s="80"/>
      <c r="G80" s="260"/>
      <c r="H80" s="91"/>
      <c r="I80" s="80"/>
      <c r="J80" s="80"/>
      <c r="K80" s="266"/>
      <c r="L80" s="267"/>
      <c r="M80" s="239"/>
    </row>
    <row r="81" spans="1:13">
      <c r="A81" s="244" t="str">
        <f>A60</f>
        <v>Avg Demand</v>
      </c>
      <c r="D81" s="445">
        <f>ROUND(SUM(F75)/SUM($C$75),2)</f>
        <v>9.66</v>
      </c>
      <c r="G81" s="445">
        <f ca="1">ROUND(SUM(I75)/SUM($C$75),2)</f>
        <v>9.8699999999999992</v>
      </c>
      <c r="K81" s="269" t="s">
        <v>123</v>
      </c>
      <c r="L81" s="258">
        <f ca="1">'Exhibit No.__(JAP-Rate Spread)'!K13*1000</f>
        <v>155746297.75726226</v>
      </c>
      <c r="M81" s="259">
        <f ca="1">L81/SUM(F105,F79)-1</f>
        <v>1.2229858559902995E-2</v>
      </c>
    </row>
    <row r="82" spans="1:13">
      <c r="B82" s="91"/>
      <c r="C82" s="125"/>
      <c r="D82" s="80"/>
      <c r="E82" s="91"/>
      <c r="F82" s="91"/>
      <c r="G82" s="80"/>
      <c r="H82" s="91"/>
      <c r="I82" s="80" t="s">
        <v>0</v>
      </c>
      <c r="J82" s="80"/>
      <c r="K82" s="261" t="s">
        <v>40</v>
      </c>
      <c r="L82" s="262">
        <f ca="1">L81-I79-I105</f>
        <v>797.75726225972176</v>
      </c>
      <c r="M82" s="129" t="s">
        <v>0</v>
      </c>
    </row>
    <row r="83" spans="1:13">
      <c r="A83" s="139" t="s">
        <v>110</v>
      </c>
      <c r="B83" s="91"/>
      <c r="C83" s="91" t="s">
        <v>0</v>
      </c>
      <c r="D83" s="80"/>
      <c r="E83" s="91"/>
      <c r="F83" s="91"/>
      <c r="G83" s="80"/>
      <c r="H83" s="91"/>
      <c r="I83" s="91"/>
      <c r="J83" s="91"/>
      <c r="K83" s="401" t="s">
        <v>420</v>
      </c>
      <c r="L83" s="299">
        <v>-9.9999999999999995E-7</v>
      </c>
      <c r="M83" s="299">
        <f ca="1">L82/C67</f>
        <v>4.2491555234332774E-7</v>
      </c>
    </row>
    <row r="84" spans="1:13">
      <c r="A84" s="140" t="s">
        <v>107</v>
      </c>
      <c r="B84" s="91"/>
      <c r="C84" s="91"/>
      <c r="D84" s="80"/>
      <c r="E84" s="91"/>
      <c r="F84" s="91"/>
      <c r="G84" s="80"/>
      <c r="H84" s="91"/>
      <c r="I84" s="91"/>
      <c r="J84" s="91"/>
      <c r="K84" s="238"/>
      <c r="L84" s="239"/>
      <c r="M84" s="239"/>
    </row>
    <row r="85" spans="1:13">
      <c r="A85" s="248" t="s">
        <v>44</v>
      </c>
      <c r="B85" s="91"/>
      <c r="C85" s="246">
        <f>'[1]Tariff 26P'!$D$6</f>
        <v>24</v>
      </c>
      <c r="D85" s="148">
        <f>D65</f>
        <v>104.46</v>
      </c>
      <c r="E85" s="248"/>
      <c r="F85" s="263">
        <f>ROUND(D85*$C85,0)</f>
        <v>2507</v>
      </c>
      <c r="G85" s="148">
        <f ca="1">G65</f>
        <v>105.74</v>
      </c>
      <c r="H85" s="248"/>
      <c r="I85" s="263">
        <f ca="1">ROUND(G85*$C85,0)</f>
        <v>2538</v>
      </c>
      <c r="J85" s="263"/>
      <c r="K85" s="502" t="s">
        <v>112</v>
      </c>
      <c r="L85" s="502"/>
      <c r="M85" s="502"/>
    </row>
    <row r="86" spans="1:13">
      <c r="A86" s="271" t="s">
        <v>111</v>
      </c>
      <c r="B86" s="91"/>
      <c r="C86" s="246">
        <f>C85</f>
        <v>24</v>
      </c>
      <c r="D86" s="148">
        <f>'Exhibit No.__(JAP-Tariff)'!E45</f>
        <v>235.05</v>
      </c>
      <c r="E86" s="248"/>
      <c r="F86" s="263">
        <f t="shared" ref="F86" si="10">ROUND(D86*$C86,0)</f>
        <v>5641</v>
      </c>
      <c r="G86" s="148">
        <f ca="1">L108</f>
        <v>237.92000000000002</v>
      </c>
      <c r="H86" s="248"/>
      <c r="I86" s="263">
        <f ca="1">ROUND(G86*$C86,0)</f>
        <v>5710</v>
      </c>
      <c r="J86" s="263"/>
      <c r="K86" s="238"/>
      <c r="L86" s="239"/>
      <c r="M86" s="239"/>
    </row>
    <row r="87" spans="1:13">
      <c r="A87" s="143" t="s">
        <v>37</v>
      </c>
      <c r="B87" s="91"/>
      <c r="C87" s="246"/>
      <c r="D87" s="148"/>
      <c r="E87" s="248"/>
      <c r="F87" s="132">
        <f>SUM(F85:F86)</f>
        <v>8148</v>
      </c>
      <c r="G87" s="148"/>
      <c r="H87" s="248"/>
      <c r="I87" s="132">
        <f ca="1">SUM(I85:I86)</f>
        <v>8248</v>
      </c>
      <c r="J87" s="263"/>
      <c r="K87" s="502" t="s">
        <v>133</v>
      </c>
      <c r="L87" s="502"/>
      <c r="M87" s="502"/>
    </row>
    <row r="88" spans="1:13">
      <c r="A88" s="248" t="s">
        <v>47</v>
      </c>
      <c r="B88" s="91"/>
      <c r="C88" s="246"/>
      <c r="D88" s="126"/>
      <c r="E88" s="263"/>
      <c r="F88" s="263"/>
      <c r="G88" s="126"/>
      <c r="H88" s="263"/>
      <c r="I88" s="263"/>
      <c r="J88" s="263"/>
      <c r="K88" s="265"/>
      <c r="L88" s="239"/>
      <c r="M88" s="239"/>
    </row>
    <row r="89" spans="1:13">
      <c r="A89" s="142" t="s">
        <v>53</v>
      </c>
      <c r="B89" s="91"/>
      <c r="C89" s="246">
        <f>'[1]Tariff 26P'!$D$9</f>
        <v>13232300</v>
      </c>
      <c r="D89" s="150">
        <f>D67</f>
        <v>5.6732999999999999E-2</v>
      </c>
      <c r="E89" s="263"/>
      <c r="F89" s="263">
        <f t="shared" ref="F89:F90" si="11">ROUND($C89*D89,0)</f>
        <v>750708</v>
      </c>
      <c r="G89" s="150">
        <f ca="1">G67</f>
        <v>5.7180999999999996E-2</v>
      </c>
      <c r="H89" s="263"/>
      <c r="I89" s="263">
        <f t="shared" ref="I89:I90" ca="1" si="12">ROUND($C89*G89,0)</f>
        <v>756636</v>
      </c>
      <c r="J89" s="263"/>
      <c r="K89" s="502" t="s">
        <v>112</v>
      </c>
      <c r="L89" s="502"/>
      <c r="M89" s="502"/>
    </row>
    <row r="90" spans="1:13">
      <c r="A90" s="142" t="s">
        <v>113</v>
      </c>
      <c r="B90" s="91"/>
      <c r="C90" s="246">
        <f>C89</f>
        <v>13232300</v>
      </c>
      <c r="D90" s="150">
        <f>'Exhibit No.__(JAP-Tariff)'!E51-D89</f>
        <v>-1.9570000000000004E-3</v>
      </c>
      <c r="E90" s="263"/>
      <c r="F90" s="263">
        <f t="shared" si="11"/>
        <v>-25896</v>
      </c>
      <c r="G90" s="150">
        <f ca="1">-M110</f>
        <v>-2.2529999999999998E-3</v>
      </c>
      <c r="H90" s="263"/>
      <c r="I90" s="263">
        <f t="shared" ca="1" si="12"/>
        <v>-29812</v>
      </c>
      <c r="J90" s="263"/>
      <c r="K90" s="502" t="s">
        <v>135</v>
      </c>
      <c r="L90" s="502"/>
      <c r="M90" s="502"/>
    </row>
    <row r="91" spans="1:13">
      <c r="A91" s="143" t="s">
        <v>37</v>
      </c>
      <c r="B91" s="91"/>
      <c r="C91" s="264">
        <f>SUM(C89:C89)</f>
        <v>13232300</v>
      </c>
      <c r="D91" s="114"/>
      <c r="E91" s="248"/>
      <c r="F91" s="132">
        <f>SUM(F89:F90)</f>
        <v>724812</v>
      </c>
      <c r="G91" s="114"/>
      <c r="H91" s="248"/>
      <c r="I91" s="132">
        <f ca="1">SUM(I89:I90)</f>
        <v>726824</v>
      </c>
      <c r="J91" s="80"/>
      <c r="K91" s="265"/>
      <c r="L91" s="239"/>
      <c r="M91" s="239"/>
    </row>
    <row r="92" spans="1:13">
      <c r="A92" s="142" t="s">
        <v>84</v>
      </c>
      <c r="B92" s="91"/>
      <c r="C92" s="246">
        <f>'[1]Tariff 26P'!$D$11</f>
        <v>0</v>
      </c>
      <c r="D92" s="150">
        <f>D89</f>
        <v>5.6732999999999999E-2</v>
      </c>
      <c r="E92" s="248"/>
      <c r="F92" s="263">
        <f t="shared" ref="F92:F93" si="13">ROUND($C92*D92,0)</f>
        <v>0</v>
      </c>
      <c r="G92" s="150"/>
      <c r="H92" s="248"/>
      <c r="I92" s="263">
        <f t="shared" ref="I92:I93" si="14">ROUND($C92*G92,0)</f>
        <v>0</v>
      </c>
      <c r="J92" s="80"/>
      <c r="K92" s="265"/>
      <c r="L92" s="239"/>
      <c r="M92" s="239"/>
    </row>
    <row r="93" spans="1:13">
      <c r="A93" s="141" t="s">
        <v>86</v>
      </c>
      <c r="B93" s="91"/>
      <c r="C93" s="260">
        <f>'[1]Tariff 26P'!$D$10</f>
        <v>0</v>
      </c>
      <c r="D93" s="150">
        <f>ROUND(SUM(F87,F91,F92,F99,F103)/SUM(C91:C92),6)</f>
        <v>7.8176999999999996E-2</v>
      </c>
      <c r="E93" s="248"/>
      <c r="F93" s="263">
        <f t="shared" si="13"/>
        <v>0</v>
      </c>
      <c r="G93" s="150">
        <f ca="1">ROUND(SUM(I87,I91,I92,I99,I103)/SUM(C91:C92),6)</f>
        <v>7.8770999999999994E-2</v>
      </c>
      <c r="H93" s="248"/>
      <c r="I93" s="263">
        <f t="shared" ca="1" si="14"/>
        <v>0</v>
      </c>
      <c r="J93" s="83"/>
      <c r="K93" s="238"/>
      <c r="L93" s="239"/>
      <c r="M93" s="239"/>
    </row>
    <row r="94" spans="1:13">
      <c r="A94" s="143" t="s">
        <v>37</v>
      </c>
      <c r="B94" s="91"/>
      <c r="C94" s="264">
        <f>SUM(C91:C93)</f>
        <v>13232300</v>
      </c>
      <c r="D94" s="248"/>
      <c r="E94" s="248"/>
      <c r="F94" s="132">
        <f>SUM(F91:F93)</f>
        <v>724812</v>
      </c>
      <c r="G94" s="248"/>
      <c r="H94" s="248"/>
      <c r="I94" s="132">
        <f ca="1">SUM(I91:I93)</f>
        <v>726824</v>
      </c>
      <c r="J94" s="83"/>
      <c r="K94" s="265"/>
      <c r="L94" s="239"/>
      <c r="M94" s="239"/>
    </row>
    <row r="95" spans="1:13">
      <c r="A95" s="248" t="s">
        <v>46</v>
      </c>
      <c r="B95" s="91"/>
      <c r="C95" s="246"/>
      <c r="D95" s="102"/>
      <c r="E95" s="248"/>
      <c r="F95" s="263"/>
      <c r="G95" s="102"/>
      <c r="H95" s="248"/>
      <c r="I95" s="263"/>
      <c r="J95" s="263"/>
      <c r="K95" s="265"/>
      <c r="L95" s="267"/>
      <c r="M95" s="239"/>
    </row>
    <row r="96" spans="1:13">
      <c r="A96" s="142" t="s">
        <v>108</v>
      </c>
      <c r="B96" s="91"/>
      <c r="C96" s="246">
        <f>'[1]Tariff 26P'!$D$15</f>
        <v>16911</v>
      </c>
      <c r="D96" s="148">
        <f>D73</f>
        <v>11.65</v>
      </c>
      <c r="E96" s="248"/>
      <c r="F96" s="263">
        <f>ROUND(D96*$C96,0)</f>
        <v>197013</v>
      </c>
      <c r="G96" s="148">
        <f ca="1">G73</f>
        <v>11.91</v>
      </c>
      <c r="H96" s="248"/>
      <c r="I96" s="263">
        <f ca="1">ROUND(G96*$C96,0)</f>
        <v>201410</v>
      </c>
      <c r="J96" s="263"/>
      <c r="K96" s="502" t="s">
        <v>112</v>
      </c>
      <c r="L96" s="502"/>
      <c r="M96" s="502"/>
    </row>
    <row r="97" spans="1:13">
      <c r="A97" s="142" t="s">
        <v>109</v>
      </c>
      <c r="B97" s="91"/>
      <c r="C97" s="246">
        <f>'[1]Tariff 26P'!$D$16</f>
        <v>14150</v>
      </c>
      <c r="D97" s="148">
        <f>D74</f>
        <v>7.76</v>
      </c>
      <c r="E97" s="248"/>
      <c r="F97" s="263">
        <f>ROUND(D97*$C97,0)</f>
        <v>109804</v>
      </c>
      <c r="G97" s="148">
        <f ca="1">G74</f>
        <v>7.94</v>
      </c>
      <c r="H97" s="248"/>
      <c r="I97" s="263">
        <f ca="1">ROUND(G97*$C97,0)</f>
        <v>112351</v>
      </c>
      <c r="J97" s="263"/>
      <c r="K97" s="502" t="s">
        <v>112</v>
      </c>
      <c r="L97" s="502"/>
      <c r="M97" s="502"/>
    </row>
    <row r="98" spans="1:13">
      <c r="A98" s="142" t="s">
        <v>113</v>
      </c>
      <c r="B98" s="91"/>
      <c r="C98" s="246">
        <f>C97+C96</f>
        <v>31061</v>
      </c>
      <c r="D98" s="148">
        <f>'Exhibit No.__(JAP-Tariff)'!E46</f>
        <v>-0.35</v>
      </c>
      <c r="E98" s="248"/>
      <c r="F98" s="263">
        <f>ROUND(D98*$C98,0)</f>
        <v>-10871</v>
      </c>
      <c r="G98" s="148">
        <f ca="1">-M109</f>
        <v>-0.39</v>
      </c>
      <c r="H98" s="248"/>
      <c r="I98" s="263">
        <f ca="1">ROUND(G98*$C98,0)</f>
        <v>-12114</v>
      </c>
      <c r="J98" s="263"/>
      <c r="K98" s="502" t="s">
        <v>135</v>
      </c>
      <c r="L98" s="502"/>
      <c r="M98" s="502"/>
    </row>
    <row r="99" spans="1:13">
      <c r="A99" s="143" t="s">
        <v>37</v>
      </c>
      <c r="B99" s="91"/>
      <c r="C99" s="264">
        <f>SUM(C96:C97)</f>
        <v>31061</v>
      </c>
      <c r="D99" s="102"/>
      <c r="E99" s="248"/>
      <c r="F99" s="268">
        <f>SUM(F96:F98)</f>
        <v>295946</v>
      </c>
      <c r="G99" s="102"/>
      <c r="H99" s="248"/>
      <c r="I99" s="268">
        <f ca="1">SUM(I96:I98)</f>
        <v>301647</v>
      </c>
      <c r="J99" s="263"/>
      <c r="K99" s="265"/>
      <c r="L99" s="239"/>
      <c r="M99" s="239"/>
    </row>
    <row r="100" spans="1:13">
      <c r="A100" s="91"/>
      <c r="B100" s="91"/>
      <c r="C100" s="260"/>
      <c r="D100" s="260"/>
      <c r="E100" s="248"/>
      <c r="F100" s="83"/>
      <c r="G100" s="260"/>
      <c r="H100" s="248"/>
      <c r="I100" s="83"/>
      <c r="J100" s="83"/>
      <c r="K100" s="265"/>
      <c r="L100" s="239"/>
      <c r="M100" s="239"/>
    </row>
    <row r="101" spans="1:13">
      <c r="A101" s="91" t="s">
        <v>104</v>
      </c>
      <c r="B101" s="91"/>
      <c r="C101" s="246">
        <f>'[1]Tariff 26P'!$D$19</f>
        <v>4625110</v>
      </c>
      <c r="D101" s="149">
        <f>D77</f>
        <v>1.24E-3</v>
      </c>
      <c r="E101" s="248"/>
      <c r="F101" s="263">
        <f>ROUND(D101*$C101,0)</f>
        <v>5735</v>
      </c>
      <c r="G101" s="149">
        <f ca="1">G77</f>
        <v>1.2600000000000001E-3</v>
      </c>
      <c r="H101" s="248"/>
      <c r="I101" s="263">
        <f ca="1">ROUND(G101*$C101,0)</f>
        <v>5828</v>
      </c>
      <c r="J101" s="83"/>
      <c r="K101" s="502" t="s">
        <v>112</v>
      </c>
      <c r="L101" s="502"/>
      <c r="M101" s="502"/>
    </row>
    <row r="102" spans="1:13">
      <c r="A102" s="142" t="s">
        <v>113</v>
      </c>
      <c r="B102" s="91"/>
      <c r="C102" s="246">
        <f>C101+C100</f>
        <v>4625110</v>
      </c>
      <c r="D102" s="149">
        <f>'Exhibit No.__(JAP-Tariff)'!E52-'Exhibit No.__(JAP-SV RD)'!D101</f>
        <v>-4.0000000000000105E-5</v>
      </c>
      <c r="E102" s="248"/>
      <c r="F102" s="263">
        <f>ROUND(D102*$C102,0)</f>
        <v>-185</v>
      </c>
      <c r="G102" s="149">
        <f ca="1">-M111</f>
        <v>-5.0000000000000002E-5</v>
      </c>
      <c r="H102" s="248"/>
      <c r="I102" s="263">
        <f ca="1">ROUND(G102*$C102,0)</f>
        <v>-231</v>
      </c>
      <c r="J102" s="83"/>
      <c r="K102" s="502" t="s">
        <v>135</v>
      </c>
      <c r="L102" s="502"/>
      <c r="M102" s="502"/>
    </row>
    <row r="103" spans="1:13">
      <c r="A103" s="143" t="s">
        <v>37</v>
      </c>
      <c r="B103" s="91"/>
      <c r="C103" s="246"/>
      <c r="D103" s="149"/>
      <c r="E103" s="248"/>
      <c r="F103" s="132">
        <f>SUM(F100:F102)</f>
        <v>5550</v>
      </c>
      <c r="G103" s="148"/>
      <c r="H103" s="248"/>
      <c r="I103" s="132">
        <f ca="1">SUM(I100:I102)</f>
        <v>5597</v>
      </c>
      <c r="J103" s="83"/>
      <c r="K103" s="265"/>
      <c r="L103" s="267"/>
      <c r="M103" s="239"/>
    </row>
    <row r="104" spans="1:13">
      <c r="A104" s="91"/>
      <c r="B104" s="91"/>
      <c r="C104" s="260"/>
      <c r="D104" s="260"/>
      <c r="E104" s="248"/>
      <c r="F104" s="83"/>
      <c r="G104" s="260"/>
      <c r="H104" s="248"/>
      <c r="I104" s="83"/>
      <c r="J104" s="83"/>
      <c r="K104" s="265"/>
      <c r="L104" s="267"/>
      <c r="M104" s="239"/>
    </row>
    <row r="105" spans="1:13" ht="16.2" thickBot="1">
      <c r="A105" s="91" t="s">
        <v>41</v>
      </c>
      <c r="B105" s="91"/>
      <c r="C105" s="260"/>
      <c r="D105" s="260"/>
      <c r="E105" s="248"/>
      <c r="F105" s="256">
        <f>SUM(F103,F99,F94,F87)</f>
        <v>1034456</v>
      </c>
      <c r="G105" s="260"/>
      <c r="H105" s="248"/>
      <c r="I105" s="256">
        <f ca="1">SUM(I103,I99,I94,I87)</f>
        <v>1042316</v>
      </c>
      <c r="J105" s="249"/>
      <c r="K105" s="265"/>
      <c r="L105" s="267"/>
      <c r="M105" s="239"/>
    </row>
    <row r="106" spans="1:13" ht="16.8" thickTop="1" thickBot="1">
      <c r="A106" s="91"/>
      <c r="B106" s="270"/>
      <c r="C106" s="260"/>
      <c r="D106" s="260"/>
      <c r="E106" s="248"/>
      <c r="F106" s="80"/>
      <c r="G106" s="260"/>
      <c r="H106" s="248"/>
      <c r="I106" s="80"/>
      <c r="J106" s="80"/>
      <c r="K106" s="266"/>
      <c r="L106" s="267"/>
      <c r="M106" s="239"/>
    </row>
    <row r="107" spans="1:13" ht="16.2" thickBot="1">
      <c r="K107" s="515" t="s">
        <v>124</v>
      </c>
      <c r="L107" s="516"/>
      <c r="M107" s="517"/>
    </row>
    <row r="108" spans="1:13">
      <c r="B108" s="91"/>
      <c r="C108" s="125"/>
      <c r="D108" s="80"/>
      <c r="E108" s="91"/>
      <c r="F108" s="91"/>
      <c r="G108" s="80"/>
      <c r="H108" s="91"/>
      <c r="I108" s="80" t="s">
        <v>0</v>
      </c>
      <c r="J108" s="80"/>
      <c r="K108" s="276" t="s">
        <v>125</v>
      </c>
      <c r="L108" s="277">
        <f ca="1">'Exhibit No.__(JAP-PV RD)'!G15-'Exhibit No.__(JAP-SV RD)'!G65</f>
        <v>237.92000000000002</v>
      </c>
      <c r="M108" s="278"/>
    </row>
    <row r="109" spans="1:13">
      <c r="B109" s="91"/>
      <c r="C109" s="91" t="s">
        <v>0</v>
      </c>
      <c r="D109" s="80"/>
      <c r="E109" s="91"/>
      <c r="F109" s="91"/>
      <c r="G109" s="80"/>
      <c r="H109" s="91"/>
      <c r="I109" s="91"/>
      <c r="J109" s="91"/>
      <c r="K109" s="276" t="s">
        <v>126</v>
      </c>
      <c r="L109" s="279">
        <v>3.9399999999999998E-2</v>
      </c>
      <c r="M109" s="280">
        <f ca="1">ROUND(+L109*(I75/C75),2)</f>
        <v>0.39</v>
      </c>
    </row>
    <row r="110" spans="1:13">
      <c r="A110" s="248"/>
      <c r="B110" s="91"/>
      <c r="C110" s="91"/>
      <c r="D110" s="80"/>
      <c r="E110" s="91"/>
      <c r="F110" s="91"/>
      <c r="G110" s="80"/>
      <c r="H110" s="91"/>
      <c r="I110" s="91"/>
      <c r="J110" s="91"/>
      <c r="K110" s="276" t="s">
        <v>127</v>
      </c>
      <c r="L110" s="281">
        <f>+L109</f>
        <v>3.9399999999999998E-2</v>
      </c>
      <c r="M110" s="282">
        <f ca="1">ROUND(+L110*G67,6)</f>
        <v>2.2529999999999998E-3</v>
      </c>
    </row>
    <row r="111" spans="1:13" ht="16.2" thickBot="1">
      <c r="A111" s="248"/>
      <c r="B111" s="91"/>
      <c r="C111" s="91"/>
      <c r="D111" s="80"/>
      <c r="E111" s="91"/>
      <c r="F111" s="91"/>
      <c r="G111" s="80"/>
      <c r="H111" s="91"/>
      <c r="I111" s="91"/>
      <c r="J111" s="91"/>
      <c r="K111" s="283" t="s">
        <v>136</v>
      </c>
      <c r="L111" s="284">
        <f>+L110</f>
        <v>3.9399999999999998E-2</v>
      </c>
      <c r="M111" s="285">
        <f ca="1">ROUND(+L111*G77,5)</f>
        <v>5.0000000000000002E-5</v>
      </c>
    </row>
    <row r="112" spans="1:13">
      <c r="A112" s="139" t="s">
        <v>117</v>
      </c>
      <c r="B112" s="91"/>
      <c r="C112" s="91"/>
      <c r="D112" s="80"/>
      <c r="E112" s="91"/>
      <c r="F112" s="91"/>
      <c r="G112" s="80"/>
      <c r="H112" s="91"/>
      <c r="I112" s="91"/>
      <c r="J112" s="91"/>
      <c r="K112" s="186"/>
      <c r="L112" s="272"/>
      <c r="M112" s="273"/>
    </row>
    <row r="113" spans="1:15">
      <c r="A113" s="140" t="s">
        <v>118</v>
      </c>
      <c r="B113" s="91"/>
      <c r="C113" s="91"/>
      <c r="D113" s="80"/>
      <c r="E113" s="91"/>
      <c r="F113" s="91"/>
      <c r="G113" s="80"/>
      <c r="H113" s="91"/>
      <c r="I113" s="91"/>
      <c r="J113" s="91"/>
      <c r="K113" s="186"/>
      <c r="L113" s="272"/>
      <c r="M113" s="273"/>
    </row>
    <row r="114" spans="1:15">
      <c r="A114" s="248"/>
      <c r="B114" s="91"/>
      <c r="C114" s="91"/>
      <c r="D114" s="80"/>
      <c r="E114" s="91"/>
      <c r="F114" s="91"/>
      <c r="G114" s="80"/>
      <c r="H114" s="91"/>
      <c r="I114" s="91"/>
      <c r="J114" s="91"/>
      <c r="K114" s="186"/>
      <c r="L114" s="272"/>
      <c r="M114" s="273"/>
      <c r="N114" s="274"/>
      <c r="O114" s="275"/>
    </row>
    <row r="115" spans="1:15">
      <c r="A115" s="91" t="s">
        <v>44</v>
      </c>
      <c r="B115" s="91"/>
      <c r="C115" s="246"/>
      <c r="D115" s="148"/>
      <c r="E115" s="248"/>
      <c r="F115" s="263"/>
      <c r="G115" s="148"/>
      <c r="H115" s="248"/>
      <c r="I115" s="263"/>
      <c r="J115" s="263"/>
      <c r="K115" s="238"/>
      <c r="L115" s="239"/>
      <c r="M115" s="239"/>
    </row>
    <row r="116" spans="1:15">
      <c r="A116" s="91" t="s">
        <v>42</v>
      </c>
      <c r="B116" s="91"/>
      <c r="C116" s="246">
        <f>'[1]Tariff 29'!$D$7</f>
        <v>2248</v>
      </c>
      <c r="D116" s="148">
        <f>'Exhibit No.__(JAP-Tariff)'!E55</f>
        <v>9.56</v>
      </c>
      <c r="E116" s="248"/>
      <c r="F116" s="263">
        <f t="shared" ref="F116:F117" si="15">ROUND(D116*$C116,0)</f>
        <v>21491</v>
      </c>
      <c r="G116" s="148">
        <f ca="1">ROUND(D116*(1+$I$138),2)</f>
        <v>9.68</v>
      </c>
      <c r="H116" s="248"/>
      <c r="I116" s="263">
        <f t="shared" ref="I116:I117" ca="1" si="16">ROUND(G116*$C116,0)</f>
        <v>21761</v>
      </c>
      <c r="J116" s="263"/>
      <c r="K116" s="502" t="s">
        <v>94</v>
      </c>
      <c r="L116" s="502"/>
      <c r="M116" s="502"/>
    </row>
    <row r="117" spans="1:15">
      <c r="A117" s="91" t="s">
        <v>43</v>
      </c>
      <c r="B117" s="91"/>
      <c r="C117" s="246">
        <f>'[1]Tariff 29'!$D$8</f>
        <v>5042</v>
      </c>
      <c r="D117" s="148">
        <f>'Exhibit No.__(JAP-Tariff)'!E56</f>
        <v>24.28</v>
      </c>
      <c r="E117" s="248"/>
      <c r="F117" s="263">
        <f t="shared" si="15"/>
        <v>122420</v>
      </c>
      <c r="G117" s="148">
        <f ca="1">ROUND(D117*(1+$I$138),2)</f>
        <v>24.58</v>
      </c>
      <c r="H117" s="248"/>
      <c r="I117" s="263">
        <f t="shared" ca="1" si="16"/>
        <v>123932</v>
      </c>
      <c r="J117" s="263"/>
      <c r="K117" s="502" t="s">
        <v>94</v>
      </c>
      <c r="L117" s="502"/>
      <c r="M117" s="502"/>
    </row>
    <row r="118" spans="1:15">
      <c r="A118" s="143" t="s">
        <v>37</v>
      </c>
      <c r="B118" s="91"/>
      <c r="C118" s="264">
        <f>SUM(C116:C117)</f>
        <v>7290</v>
      </c>
      <c r="D118" s="148"/>
      <c r="E118" s="248"/>
      <c r="F118" s="132">
        <f>SUM(F116:F117)</f>
        <v>143911</v>
      </c>
      <c r="G118" s="148"/>
      <c r="H118" s="248"/>
      <c r="I118" s="132">
        <f ca="1">SUM(I116:I117)</f>
        <v>145693</v>
      </c>
      <c r="J118" s="263"/>
      <c r="K118" s="502"/>
      <c r="L118" s="502"/>
      <c r="M118" s="502"/>
    </row>
    <row r="119" spans="1:15">
      <c r="A119" s="248" t="s">
        <v>47</v>
      </c>
      <c r="B119" s="91"/>
      <c r="C119" s="246"/>
      <c r="D119" s="126"/>
      <c r="E119" s="263"/>
      <c r="F119" s="263"/>
      <c r="G119" s="126"/>
      <c r="H119" s="263"/>
      <c r="I119" s="263"/>
      <c r="J119" s="263"/>
      <c r="K119" s="265"/>
      <c r="L119" s="239"/>
      <c r="M119" s="239"/>
    </row>
    <row r="120" spans="1:15">
      <c r="A120" s="142" t="s">
        <v>100</v>
      </c>
      <c r="B120" s="91"/>
      <c r="C120" s="246">
        <f>'[1]Tariff 29'!D12</f>
        <v>1724764</v>
      </c>
      <c r="D120" s="150">
        <f>'Exhibit No.__(JAP-Tariff)'!E58</f>
        <v>8.9582999999999996E-2</v>
      </c>
      <c r="E120" s="263"/>
      <c r="F120" s="263">
        <f>ROUND($C120*D120,0)</f>
        <v>154510</v>
      </c>
      <c r="G120" s="387">
        <f ca="1">ROUND(D120*(1+$I$138),6)</f>
        <v>9.0677999999999995E-2</v>
      </c>
      <c r="H120" s="263"/>
      <c r="I120" s="263">
        <f ca="1">ROUND($C120*G120,0)</f>
        <v>156398</v>
      </c>
      <c r="J120" s="263"/>
      <c r="K120" s="502" t="s">
        <v>94</v>
      </c>
      <c r="L120" s="502"/>
      <c r="M120" s="502"/>
    </row>
    <row r="121" spans="1:15">
      <c r="A121" s="142" t="s">
        <v>120</v>
      </c>
      <c r="B121" s="91"/>
      <c r="C121" s="246">
        <f>'[1]Tariff 29'!D13</f>
        <v>19062</v>
      </c>
      <c r="D121" s="150">
        <f>'Exhibit No.__(JAP-Tariff)'!E59</f>
        <v>6.8035999999999999E-2</v>
      </c>
      <c r="E121" s="263"/>
      <c r="F121" s="263">
        <f>ROUND($C121*D121,0)</f>
        <v>1297</v>
      </c>
      <c r="G121" s="387">
        <f ca="1">ROUND(D121*(1+$I$138),6)</f>
        <v>6.8867999999999999E-2</v>
      </c>
      <c r="H121" s="263"/>
      <c r="I121" s="263">
        <f ca="1">ROUND($C121*G121,0)</f>
        <v>1313</v>
      </c>
      <c r="J121" s="263"/>
      <c r="K121" s="502" t="s">
        <v>94</v>
      </c>
      <c r="L121" s="502"/>
      <c r="M121" s="502"/>
    </row>
    <row r="122" spans="1:15">
      <c r="A122" s="142" t="s">
        <v>99</v>
      </c>
      <c r="B122" s="91"/>
      <c r="C122" s="246">
        <f>'[1]Tariff 29'!D14</f>
        <v>10852548</v>
      </c>
      <c r="D122" s="150">
        <f>'Exhibit No.__(JAP-Tariff)'!E60</f>
        <v>6.2075999999999999E-2</v>
      </c>
      <c r="E122" s="263"/>
      <c r="F122" s="263">
        <f t="shared" ref="F122:F123" si="17">ROUND($C122*D122,0)</f>
        <v>673683</v>
      </c>
      <c r="G122" s="387">
        <f ca="1">ROUND(D122*(1+$I$138),6)</f>
        <v>6.2835000000000002E-2</v>
      </c>
      <c r="H122" s="263"/>
      <c r="I122" s="263">
        <f t="shared" ref="I122:I123" ca="1" si="18">ROUND($C122*G122,0)</f>
        <v>681920</v>
      </c>
      <c r="J122" s="263"/>
      <c r="K122" s="502" t="s">
        <v>94</v>
      </c>
      <c r="L122" s="502"/>
      <c r="M122" s="502"/>
    </row>
    <row r="123" spans="1:15">
      <c r="A123" s="142" t="s">
        <v>119</v>
      </c>
      <c r="B123" s="91"/>
      <c r="C123" s="246">
        <f>'[1]Tariff 29'!D15</f>
        <v>368027</v>
      </c>
      <c r="D123" s="150">
        <f>'Exhibit No.__(JAP-Tariff)'!E61</f>
        <v>5.3189E-2</v>
      </c>
      <c r="E123" s="263"/>
      <c r="F123" s="263">
        <f t="shared" si="17"/>
        <v>19575</v>
      </c>
      <c r="G123" s="387">
        <f ca="1">ROUND(D123*(1+$I$138),6)</f>
        <v>5.3838999999999998E-2</v>
      </c>
      <c r="H123" s="263"/>
      <c r="I123" s="263">
        <f t="shared" ca="1" si="18"/>
        <v>19814</v>
      </c>
      <c r="J123" s="263"/>
      <c r="K123" s="502" t="s">
        <v>94</v>
      </c>
      <c r="L123" s="502"/>
      <c r="M123" s="502"/>
    </row>
    <row r="124" spans="1:15">
      <c r="A124" s="143" t="s">
        <v>37</v>
      </c>
      <c r="B124" s="91"/>
      <c r="C124" s="264">
        <f>SUM(C120:C123)</f>
        <v>12964401</v>
      </c>
      <c r="D124" s="114"/>
      <c r="E124" s="248"/>
      <c r="F124" s="132">
        <f>SUM(F120:F123)</f>
        <v>849065</v>
      </c>
      <c r="G124" s="114"/>
      <c r="H124" s="248"/>
      <c r="I124" s="132">
        <f ca="1">SUM(I120:I123)</f>
        <v>859445</v>
      </c>
      <c r="J124" s="80"/>
      <c r="K124" s="265"/>
      <c r="L124" s="239"/>
      <c r="M124" s="239"/>
    </row>
    <row r="125" spans="1:15">
      <c r="A125" s="142" t="s">
        <v>92</v>
      </c>
      <c r="B125" s="91"/>
      <c r="C125" s="246">
        <f>SUM('[1]Tariff 29'!$E$17:$J$17)</f>
        <v>0</v>
      </c>
      <c r="D125" s="150">
        <f>D121</f>
        <v>6.8035999999999999E-2</v>
      </c>
      <c r="E125" s="248"/>
      <c r="F125" s="263">
        <f t="shared" ref="F125:F127" si="19">ROUND($C125*D125,0)</f>
        <v>0</v>
      </c>
      <c r="G125" s="150">
        <f ca="1">G121</f>
        <v>6.8867999999999999E-2</v>
      </c>
      <c r="H125" s="248"/>
      <c r="I125" s="263">
        <f t="shared" ref="I125:I127" ca="1" si="20">ROUND($C125*G125,0)</f>
        <v>0</v>
      </c>
      <c r="J125" s="80"/>
      <c r="K125" s="265"/>
      <c r="L125" s="239"/>
      <c r="M125" s="239"/>
    </row>
    <row r="126" spans="1:15">
      <c r="A126" s="142" t="s">
        <v>93</v>
      </c>
      <c r="B126" s="91"/>
      <c r="C126" s="246">
        <f>SUM('[1]Tariff 29'!$K$17:$P$17)</f>
        <v>-158746.83383420159</v>
      </c>
      <c r="D126" s="150">
        <f>D123</f>
        <v>5.3189E-2</v>
      </c>
      <c r="E126" s="248"/>
      <c r="F126" s="263">
        <f t="shared" si="19"/>
        <v>-8444</v>
      </c>
      <c r="G126" s="150">
        <f ca="1">G123</f>
        <v>5.3838999999999998E-2</v>
      </c>
      <c r="H126" s="248"/>
      <c r="I126" s="263">
        <f t="shared" ca="1" si="20"/>
        <v>-8547</v>
      </c>
      <c r="J126" s="80"/>
      <c r="K126" s="238"/>
      <c r="L126" s="239"/>
      <c r="M126" s="239"/>
    </row>
    <row r="127" spans="1:15">
      <c r="A127" s="141" t="s">
        <v>86</v>
      </c>
      <c r="B127" s="91"/>
      <c r="C127" s="260">
        <f>'[1]Tariff 29'!$D$16</f>
        <v>1521175.2230270188</v>
      </c>
      <c r="D127" s="150">
        <f>ROUND(SUM(E105,F118,F124:F126,F132,F134)/SUM(C124:C126),6)</f>
        <v>7.9413999999999998E-2</v>
      </c>
      <c r="E127" s="248"/>
      <c r="F127" s="263">
        <f t="shared" si="19"/>
        <v>120803</v>
      </c>
      <c r="G127" s="150">
        <f ca="1">ROUND(SUM(H105,I118,I124:I126,I132,I134)/SUM(C124:C126),6)</f>
        <v>8.0385999999999999E-2</v>
      </c>
      <c r="H127" s="248"/>
      <c r="I127" s="263">
        <f t="shared" ca="1" si="20"/>
        <v>122281</v>
      </c>
      <c r="J127" s="83"/>
      <c r="K127" s="502" t="s">
        <v>94</v>
      </c>
      <c r="L127" s="502"/>
      <c r="M127" s="502"/>
    </row>
    <row r="128" spans="1:15">
      <c r="A128" s="143" t="s">
        <v>37</v>
      </c>
      <c r="B128" s="91"/>
      <c r="C128" s="264">
        <f>SUM(C124:C127)</f>
        <v>14326829.389192818</v>
      </c>
      <c r="D128" s="248"/>
      <c r="E128" s="248"/>
      <c r="F128" s="132">
        <f>SUM(F124:F127)</f>
        <v>961424</v>
      </c>
      <c r="G128" s="248"/>
      <c r="H128" s="248"/>
      <c r="I128" s="132">
        <f ca="1">SUM(I124:I127)</f>
        <v>973179</v>
      </c>
      <c r="J128" s="83"/>
      <c r="K128" s="265"/>
      <c r="L128" s="239"/>
      <c r="M128" s="239"/>
    </row>
    <row r="129" spans="1:13">
      <c r="A129" s="248" t="s">
        <v>46</v>
      </c>
      <c r="B129" s="91"/>
      <c r="C129" s="246"/>
      <c r="D129" s="102"/>
      <c r="E129" s="248"/>
      <c r="F129" s="263"/>
      <c r="G129" s="102"/>
      <c r="H129" s="248"/>
      <c r="I129" s="263"/>
      <c r="J129" s="263"/>
      <c r="K129" s="265"/>
      <c r="L129" s="267"/>
      <c r="M129" s="239"/>
    </row>
    <row r="130" spans="1:13">
      <c r="A130" s="142" t="s">
        <v>102</v>
      </c>
      <c r="B130" s="91"/>
      <c r="C130" s="246">
        <f>'[1]Tariff 29'!D21</f>
        <v>1931</v>
      </c>
      <c r="D130" s="148">
        <f>'Exhibit No.__(JAP-Tariff)'!E64</f>
        <v>8.83</v>
      </c>
      <c r="E130" s="248"/>
      <c r="F130" s="263">
        <f>ROUND(D130*$C130,0)</f>
        <v>17051</v>
      </c>
      <c r="G130" s="148">
        <f t="shared" ref="G130:G131" ca="1" si="21">ROUND(D130*(1+$I$138),2)</f>
        <v>8.94</v>
      </c>
      <c r="H130" s="248"/>
      <c r="I130" s="263">
        <f ca="1">ROUND(G130*$C130,0)</f>
        <v>17263</v>
      </c>
      <c r="J130" s="263"/>
      <c r="K130" s="502" t="s">
        <v>94</v>
      </c>
      <c r="L130" s="502"/>
      <c r="M130" s="502"/>
    </row>
    <row r="131" spans="1:13">
      <c r="A131" s="142" t="s">
        <v>103</v>
      </c>
      <c r="B131" s="91"/>
      <c r="C131" s="246">
        <f>'[1]Tariff 29'!D22</f>
        <v>3438</v>
      </c>
      <c r="D131" s="148">
        <f>'Exhibit No.__(JAP-Tariff)'!E65</f>
        <v>4.3499999999999996</v>
      </c>
      <c r="E131" s="248"/>
      <c r="F131" s="263">
        <f>ROUND(D131*$C131,0)</f>
        <v>14955</v>
      </c>
      <c r="G131" s="148">
        <f t="shared" ca="1" si="21"/>
        <v>4.4000000000000004</v>
      </c>
      <c r="H131" s="248"/>
      <c r="I131" s="263">
        <f ca="1">ROUND(G131*$C131,0)</f>
        <v>15127</v>
      </c>
      <c r="J131" s="263"/>
      <c r="K131" s="502" t="s">
        <v>94</v>
      </c>
      <c r="L131" s="502"/>
      <c r="M131" s="502"/>
    </row>
    <row r="132" spans="1:13">
      <c r="A132" s="143" t="s">
        <v>37</v>
      </c>
      <c r="B132" s="91"/>
      <c r="C132" s="264">
        <f>SUM(C130:C131)</f>
        <v>5369</v>
      </c>
      <c r="D132" s="102"/>
      <c r="E132" s="248"/>
      <c r="F132" s="268">
        <f>SUM(F130:F131)</f>
        <v>32006</v>
      </c>
      <c r="G132" s="102"/>
      <c r="H132" s="248"/>
      <c r="I132" s="268">
        <f ca="1">SUM(I130:I131)</f>
        <v>32390</v>
      </c>
      <c r="J132" s="263"/>
      <c r="K132" s="265"/>
      <c r="L132" s="239"/>
      <c r="M132" s="239"/>
    </row>
    <row r="133" spans="1:13">
      <c r="A133" s="91"/>
      <c r="B133" s="91"/>
      <c r="C133" s="260"/>
      <c r="D133" s="260"/>
      <c r="E133" s="248"/>
      <c r="F133" s="83"/>
      <c r="G133" s="260"/>
      <c r="H133" s="248"/>
      <c r="I133" s="83"/>
      <c r="J133" s="83"/>
      <c r="K133" s="265"/>
      <c r="L133" s="239"/>
      <c r="M133" s="239"/>
    </row>
    <row r="134" spans="1:13">
      <c r="A134" s="91" t="s">
        <v>104</v>
      </c>
      <c r="B134" s="91"/>
      <c r="C134" s="246">
        <f>'[1]Tariff 29'!$D$25</f>
        <v>144115</v>
      </c>
      <c r="D134" s="149">
        <f>'Exhibit No.__(JAP-Tariff)'!E67</f>
        <v>2.81E-3</v>
      </c>
      <c r="E134" s="248"/>
      <c r="F134" s="263">
        <f>ROUND(D134*$C134,0)</f>
        <v>405</v>
      </c>
      <c r="G134" s="386">
        <f ca="1">ROUND(D134*(1+$I$138),5)</f>
        <v>2.8400000000000001E-3</v>
      </c>
      <c r="H134" s="248"/>
      <c r="I134" s="263">
        <f ca="1">ROUND(G134*$C134,0)</f>
        <v>409</v>
      </c>
      <c r="J134" s="83"/>
      <c r="K134" s="502" t="s">
        <v>94</v>
      </c>
      <c r="L134" s="502"/>
      <c r="M134" s="502"/>
    </row>
    <row r="135" spans="1:13">
      <c r="A135" s="91"/>
      <c r="B135" s="91"/>
      <c r="C135" s="260"/>
      <c r="D135" s="260"/>
      <c r="E135" s="248"/>
      <c r="F135" s="83"/>
      <c r="G135" s="260"/>
      <c r="H135" s="248"/>
      <c r="I135" s="83"/>
      <c r="J135" s="83"/>
      <c r="K135" s="266"/>
      <c r="L135" s="267"/>
      <c r="M135" s="239"/>
    </row>
    <row r="136" spans="1:13" ht="16.2" thickBot="1">
      <c r="A136" s="91" t="s">
        <v>41</v>
      </c>
      <c r="B136" s="91"/>
      <c r="C136" s="260"/>
      <c r="D136" s="260"/>
      <c r="E136" s="248"/>
      <c r="F136" s="256">
        <f>SUM(F118,F128,F132,F134)</f>
        <v>1137746</v>
      </c>
      <c r="G136" s="260"/>
      <c r="H136" s="248"/>
      <c r="I136" s="256">
        <f ca="1">SUM(I118,I128,I132,I134)</f>
        <v>1151671</v>
      </c>
      <c r="J136" s="249"/>
      <c r="K136" s="265"/>
      <c r="L136" s="267"/>
      <c r="M136" s="239"/>
    </row>
    <row r="137" spans="1:13" ht="16.2" thickTop="1">
      <c r="A137" s="91"/>
      <c r="B137" s="270"/>
      <c r="C137" s="260"/>
      <c r="D137" s="260"/>
      <c r="E137" s="91"/>
      <c r="F137" s="80"/>
      <c r="G137" s="260"/>
      <c r="H137" s="91"/>
      <c r="I137" s="80"/>
      <c r="J137" s="80"/>
      <c r="K137" s="266"/>
      <c r="L137" s="267"/>
      <c r="M137" s="239"/>
    </row>
    <row r="138" spans="1:13">
      <c r="A138" s="82" t="s">
        <v>393</v>
      </c>
      <c r="I138" s="247">
        <f ca="1">M47</f>
        <v>1.2227951155924011E-2</v>
      </c>
      <c r="K138" s="266"/>
      <c r="L138" s="267"/>
      <c r="M138" s="239"/>
    </row>
    <row r="139" spans="1:13">
      <c r="K139" s="266"/>
      <c r="L139" s="267"/>
      <c r="M139" s="239"/>
    </row>
    <row r="141" spans="1:13">
      <c r="A141" s="385" t="s">
        <v>810</v>
      </c>
      <c r="C141" s="384"/>
      <c r="D141" s="383">
        <f>ROUND(SUM(F120,F122)/SUM($C$120,$C$122),6)</f>
        <v>6.5848000000000004E-2</v>
      </c>
      <c r="G141" s="383">
        <f ca="1">ROUND(SUM(I120,I122)/SUM($C$120,$C$122),6)</f>
        <v>6.6653000000000004E-2</v>
      </c>
    </row>
    <row r="142" spans="1:13">
      <c r="A142" s="385" t="s">
        <v>811</v>
      </c>
      <c r="C142" s="384"/>
      <c r="D142" s="383">
        <f>ROUND(SUM(F121,F123)/SUM($C$121,$C$123),6)</f>
        <v>5.3920000000000003E-2</v>
      </c>
      <c r="G142" s="383">
        <f ca="1">ROUND(SUM(I121,I123)/SUM($C$121,$C$123),6)</f>
        <v>5.4579000000000003E-2</v>
      </c>
    </row>
    <row r="143" spans="1:13">
      <c r="A143" s="385" t="s">
        <v>809</v>
      </c>
      <c r="C143" s="384"/>
      <c r="D143" s="445">
        <f>ROUND(SUM(F132)/SUM($C$132),2)</f>
        <v>5.96</v>
      </c>
      <c r="G143" s="445">
        <f ca="1">ROUND(SUM(I132)/SUM($C$132),2)</f>
        <v>6.03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180283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B89D7F-25FA-4E5A-94A1-66392131C81D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7034711-4743-4774-9194-0C9E5F201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Exhibit No.__(JAP-TRANSP RD)</vt:lpstr>
      <vt:lpstr>Exhibit No.__(JAP-LIGHT RD) </vt:lpstr>
      <vt:lpstr>'Exhibit No.__(JAP-CAMP RD)'!Print_Area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No.__(JAP-CAMP RD)'!Print_Titles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  <vt:lpstr>'Exhibit No.__(JAP-Prof-Prop)'!TABLEA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kbarnard</cp:lastModifiedBy>
  <cp:lastPrinted>2018-03-02T17:40:15Z</cp:lastPrinted>
  <dcterms:created xsi:type="dcterms:W3CDTF">2016-04-04T22:09:28Z</dcterms:created>
  <dcterms:modified xsi:type="dcterms:W3CDTF">2018-04-05T15:51:28Z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